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ate1904="1" codeName="ThisWorkbook" hidePivotFieldList="1"/>
  <mc:AlternateContent xmlns:mc="http://schemas.openxmlformats.org/markup-compatibility/2006">
    <mc:Choice Requires="x15">
      <x15ac:absPath xmlns:x15ac="http://schemas.microsoft.com/office/spreadsheetml/2010/11/ac" url="Q:\Finances Communales\1. Péréquations\2024\2. Décomptes\Définitifs\1. Calcul péréquation\"/>
    </mc:Choice>
  </mc:AlternateContent>
  <xr:revisionPtr revIDLastSave="0" documentId="13_ncr:1_{BD19026F-F6CE-4171-9F34-051749981D6C}" xr6:coauthVersionLast="47" xr6:coauthVersionMax="47" xr10:uidLastSave="{00000000-0000-0000-0000-000000000000}"/>
  <bookViews>
    <workbookView xWindow="-120" yWindow="-120" windowWidth="29040" windowHeight="15720" tabRatio="923" xr2:uid="{00000000-000D-0000-FFFF-FFFF00000000}"/>
  </bookViews>
  <sheets>
    <sheet name="Table des matières" sheetId="56" r:id="rId1"/>
    <sheet name="Paramètres" sheetId="40" r:id="rId2"/>
    <sheet name="Recherche" sheetId="48" r:id="rId3"/>
    <sheet name="Données" sheetId="42" r:id="rId4"/>
    <sheet name="Rendements" sheetId="58" r:id="rId5"/>
    <sheet name="VPI" sheetId="19" r:id="rId6"/>
    <sheet name="PCS" sheetId="9" r:id="rId7"/>
    <sheet name="Ecrêtage" sheetId="33" r:id="rId8"/>
    <sheet name="Péréquation directe" sheetId="34" r:id="rId9"/>
    <sheet name="Population" sheetId="36" r:id="rId10"/>
    <sheet name="Solidarité" sheetId="37" r:id="rId11"/>
    <sheet name="DT" sheetId="11" r:id="rId12"/>
    <sheet name="Effort" sheetId="12" r:id="rId13"/>
    <sheet name="Aide" sheetId="39" r:id="rId14"/>
    <sheet name="Taux" sheetId="13" r:id="rId15"/>
    <sheet name="Police" sheetId="49" r:id="rId16"/>
    <sheet name="Synthèse" sheetId="25" r:id="rId17"/>
    <sheet name="Décompte vs acomptes" sheetId="54" r:id="rId18"/>
  </sheets>
  <definedNames>
    <definedName name="_xlnm._FilterDatabase" localSheetId="6" hidden="1">PCS!$A$10:$I$312</definedName>
    <definedName name="_xlnm._FilterDatabase" localSheetId="8" hidden="1">'Péréquation directe'!$A$10:$J$312</definedName>
    <definedName name="_xlnm._FilterDatabase" localSheetId="2" hidden="1">Recherche!$C$3:$E$3</definedName>
    <definedName name="_xlnm._FilterDatabase" localSheetId="16" hidden="1">Synthèse!$A$4:$G$307</definedName>
    <definedName name="_xlnm.Database" localSheetId="17">#REF!</definedName>
    <definedName name="_xlnm.Database" localSheetId="4">#REF!</definedName>
    <definedName name="_xlnm.Database">#REF!</definedName>
    <definedName name="_xlnm.Print_Titles" localSheetId="11">DT!$4:$5</definedName>
    <definedName name="_xlnm.Print_Titles" localSheetId="12">Effort!$4:$5</definedName>
    <definedName name="_xlnm.Print_Titles" localSheetId="6">PCS!$10:$11</definedName>
    <definedName name="_xlnm.Print_Titles" localSheetId="15">Police!$4:$4</definedName>
    <definedName name="_xlnm.Print_Titles" localSheetId="16">Synthèse!$4:$4</definedName>
    <definedName name="_xlnm.Print_Titles" localSheetId="14">Taux!$4:$5</definedName>
    <definedName name="ind">2</definedName>
    <definedName name="_xlnm.Print_Area" localSheetId="3">Données!#REF!</definedName>
    <definedName name="_xlnm.Print_Area" localSheetId="8">'Péréquation directe'!$303:$334</definedName>
    <definedName name="_xlnm.Print_Area" localSheetId="15">Police!$A$1:$M$306</definedName>
    <definedName name="_xlnm.Print_Area" localSheetId="2">Recherche!$B$6:$F$68</definedName>
    <definedName name="_xlnm.Print_Area" localSheetId="4">Rendements!$B$6:$D$41</definedName>
    <definedName name="_xlnm.Print_Area" localSheetId="16">Synthèse!$A$1:$J$305</definedName>
    <definedName name="_xlnm.Print_Area" localSheetId="14">Taux!$A$1:$P$307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48" l="1"/>
  <c r="D289" i="13" l="1"/>
  <c r="D6" i="13" l="1"/>
  <c r="D7" i="13"/>
  <c r="E287" i="54"/>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124" i="13"/>
  <c r="D125" i="13"/>
  <c r="D126" i="13"/>
  <c r="D127" i="13"/>
  <c r="D128" i="13"/>
  <c r="D129" i="13"/>
  <c r="D130" i="13"/>
  <c r="D131" i="13"/>
  <c r="D132" i="13"/>
  <c r="D133" i="13"/>
  <c r="D134" i="13"/>
  <c r="D135" i="13"/>
  <c r="D136" i="13"/>
  <c r="D137" i="13"/>
  <c r="D138" i="13"/>
  <c r="D139" i="13"/>
  <c r="D140" i="13"/>
  <c r="D141" i="13"/>
  <c r="D142" i="13"/>
  <c r="D143" i="13"/>
  <c r="D144" i="13"/>
  <c r="D145" i="13"/>
  <c r="D146" i="13"/>
  <c r="D147" i="13"/>
  <c r="D148" i="13"/>
  <c r="D149" i="13"/>
  <c r="D150" i="13"/>
  <c r="D151" i="13"/>
  <c r="D152" i="13"/>
  <c r="D153" i="13"/>
  <c r="D154" i="13"/>
  <c r="D155" i="13"/>
  <c r="D156" i="13"/>
  <c r="D157" i="13"/>
  <c r="D158" i="13"/>
  <c r="D159" i="13"/>
  <c r="D160" i="13"/>
  <c r="D161" i="13"/>
  <c r="D162" i="13"/>
  <c r="D163" i="13"/>
  <c r="D164" i="13"/>
  <c r="D165" i="13"/>
  <c r="D166" i="13"/>
  <c r="D167" i="13"/>
  <c r="D168" i="13"/>
  <c r="D169" i="13"/>
  <c r="D170" i="13"/>
  <c r="D171" i="13"/>
  <c r="D172" i="13"/>
  <c r="D173" i="13"/>
  <c r="D174" i="13"/>
  <c r="D175" i="13"/>
  <c r="D176" i="13"/>
  <c r="D177" i="13"/>
  <c r="D178" i="13"/>
  <c r="D179" i="13"/>
  <c r="D180" i="13"/>
  <c r="D181" i="13"/>
  <c r="D182" i="13"/>
  <c r="D183" i="13"/>
  <c r="D184" i="13"/>
  <c r="D185" i="13"/>
  <c r="D186" i="13"/>
  <c r="D187" i="13"/>
  <c r="D188" i="13"/>
  <c r="D189" i="13"/>
  <c r="D190" i="13"/>
  <c r="D191" i="13"/>
  <c r="D192" i="13"/>
  <c r="D193" i="13"/>
  <c r="D194" i="13"/>
  <c r="D195" i="13"/>
  <c r="D196" i="13"/>
  <c r="D197" i="13"/>
  <c r="D198" i="13"/>
  <c r="D199" i="13"/>
  <c r="D200" i="13"/>
  <c r="D201" i="13"/>
  <c r="D202" i="13"/>
  <c r="D203" i="13"/>
  <c r="D204" i="13"/>
  <c r="D205" i="13"/>
  <c r="D206" i="13"/>
  <c r="D207" i="13"/>
  <c r="D208" i="13"/>
  <c r="D209" i="13"/>
  <c r="D210" i="13"/>
  <c r="D211" i="13"/>
  <c r="D212" i="13"/>
  <c r="D213" i="13"/>
  <c r="D214" i="13"/>
  <c r="D215" i="13"/>
  <c r="D216" i="13"/>
  <c r="D217" i="13"/>
  <c r="D218" i="13"/>
  <c r="D219" i="13"/>
  <c r="D220" i="13"/>
  <c r="D221" i="13"/>
  <c r="D222" i="13"/>
  <c r="D223" i="13"/>
  <c r="D224" i="13"/>
  <c r="D225" i="13"/>
  <c r="D226" i="13"/>
  <c r="D227" i="13"/>
  <c r="D228" i="13"/>
  <c r="D229" i="13"/>
  <c r="D230" i="13"/>
  <c r="D231" i="13"/>
  <c r="D232" i="13"/>
  <c r="D233" i="13"/>
  <c r="D234" i="13"/>
  <c r="D235" i="13"/>
  <c r="D236" i="13"/>
  <c r="D237" i="13"/>
  <c r="D238" i="13"/>
  <c r="D239" i="13"/>
  <c r="D240" i="13"/>
  <c r="D241" i="13"/>
  <c r="D242" i="13"/>
  <c r="D243" i="13"/>
  <c r="D244" i="13"/>
  <c r="D245" i="13"/>
  <c r="D246" i="13"/>
  <c r="D247" i="13"/>
  <c r="D248" i="13"/>
  <c r="D249" i="13"/>
  <c r="D250" i="13"/>
  <c r="D251" i="13"/>
  <c r="D252" i="13"/>
  <c r="D253" i="13"/>
  <c r="D254" i="13"/>
  <c r="D255" i="13"/>
  <c r="D256" i="13"/>
  <c r="D257" i="13"/>
  <c r="D258" i="13"/>
  <c r="D259" i="13"/>
  <c r="D260" i="13"/>
  <c r="D261" i="13"/>
  <c r="D262" i="13"/>
  <c r="D263" i="13"/>
  <c r="D264" i="13"/>
  <c r="D265" i="13"/>
  <c r="D266" i="13"/>
  <c r="D267" i="13"/>
  <c r="D268" i="13"/>
  <c r="D269" i="13"/>
  <c r="D270" i="13"/>
  <c r="D271" i="13"/>
  <c r="D272" i="13"/>
  <c r="D273" i="13"/>
  <c r="D274" i="13"/>
  <c r="D275" i="13"/>
  <c r="D276" i="13"/>
  <c r="D277" i="13"/>
  <c r="D278" i="13"/>
  <c r="D279" i="13"/>
  <c r="D280" i="13"/>
  <c r="D281" i="13"/>
  <c r="D282" i="13"/>
  <c r="D283" i="13"/>
  <c r="D284" i="13"/>
  <c r="D285" i="13"/>
  <c r="D286" i="13"/>
  <c r="D287" i="13"/>
  <c r="D288" i="13"/>
  <c r="D290" i="13"/>
  <c r="D291" i="13"/>
  <c r="D292" i="13"/>
  <c r="D293" i="13"/>
  <c r="D294" i="13"/>
  <c r="D295" i="13"/>
  <c r="D296" i="13"/>
  <c r="D297" i="13"/>
  <c r="D298" i="13"/>
  <c r="D299" i="13"/>
  <c r="D300" i="13"/>
  <c r="D301" i="13"/>
  <c r="D302" i="13"/>
  <c r="D303" i="13"/>
  <c r="D304" i="13"/>
  <c r="D305" i="13"/>
  <c r="C219" i="42" l="1"/>
  <c r="A7" i="39" l="1"/>
  <c r="B7" i="39"/>
  <c r="A8" i="39"/>
  <c r="B8" i="39"/>
  <c r="A9" i="39"/>
  <c r="B9" i="39"/>
  <c r="A10" i="39"/>
  <c r="B10" i="39"/>
  <c r="A11" i="39"/>
  <c r="B11" i="39"/>
  <c r="A12" i="39"/>
  <c r="B12" i="39"/>
  <c r="A13" i="39"/>
  <c r="B13" i="39"/>
  <c r="A14" i="39"/>
  <c r="B14" i="39"/>
  <c r="A15" i="39"/>
  <c r="B15" i="39"/>
  <c r="A16" i="39"/>
  <c r="B16" i="39"/>
  <c r="A17" i="39"/>
  <c r="B17" i="39"/>
  <c r="A18" i="39"/>
  <c r="B18" i="39"/>
  <c r="A19" i="39"/>
  <c r="B19" i="39"/>
  <c r="A20" i="39"/>
  <c r="B20" i="39"/>
  <c r="A21" i="39"/>
  <c r="B21" i="39"/>
  <c r="A22" i="39"/>
  <c r="B22" i="39"/>
  <c r="A23" i="39"/>
  <c r="B23" i="39"/>
  <c r="A24" i="39"/>
  <c r="B24" i="39"/>
  <c r="A25" i="39"/>
  <c r="B25" i="39"/>
  <c r="A26" i="39"/>
  <c r="B26" i="39"/>
  <c r="A27" i="39"/>
  <c r="B27" i="39"/>
  <c r="A28" i="39"/>
  <c r="B28" i="39"/>
  <c r="A29" i="39"/>
  <c r="B29" i="39"/>
  <c r="A30" i="39"/>
  <c r="B30" i="39"/>
  <c r="A31" i="39"/>
  <c r="B31" i="39"/>
  <c r="A32" i="39"/>
  <c r="B32" i="39"/>
  <c r="A33" i="39"/>
  <c r="B33" i="39"/>
  <c r="A34" i="39"/>
  <c r="B34" i="39"/>
  <c r="A35" i="39"/>
  <c r="B35" i="39"/>
  <c r="A36" i="39"/>
  <c r="B36" i="39"/>
  <c r="A37" i="39"/>
  <c r="B37" i="39"/>
  <c r="A38" i="39"/>
  <c r="B38" i="39"/>
  <c r="A39" i="39"/>
  <c r="B39" i="39"/>
  <c r="A40" i="39"/>
  <c r="B40" i="39"/>
  <c r="A41" i="39"/>
  <c r="B41" i="39"/>
  <c r="A42" i="39"/>
  <c r="B42" i="39"/>
  <c r="A43" i="39"/>
  <c r="B43" i="39"/>
  <c r="A44" i="39"/>
  <c r="B44" i="39"/>
  <c r="A45" i="39"/>
  <c r="B45" i="39"/>
  <c r="A46" i="39"/>
  <c r="B46" i="39"/>
  <c r="A47" i="39"/>
  <c r="B47" i="39"/>
  <c r="A48" i="39"/>
  <c r="B48" i="39"/>
  <c r="A49" i="39"/>
  <c r="B49" i="39"/>
  <c r="A50" i="39"/>
  <c r="B50" i="39"/>
  <c r="A51" i="39"/>
  <c r="B51" i="39"/>
  <c r="A52" i="39"/>
  <c r="B52" i="39"/>
  <c r="A53" i="39"/>
  <c r="B53" i="39"/>
  <c r="A54" i="39"/>
  <c r="B54" i="39"/>
  <c r="A55" i="39"/>
  <c r="B55" i="39"/>
  <c r="A56" i="39"/>
  <c r="B56" i="39"/>
  <c r="A57" i="39"/>
  <c r="B57" i="39"/>
  <c r="A58" i="39"/>
  <c r="B58" i="39"/>
  <c r="A59" i="39"/>
  <c r="B59" i="39"/>
  <c r="A60" i="39"/>
  <c r="B60" i="39"/>
  <c r="A61" i="39"/>
  <c r="B61" i="39"/>
  <c r="A62" i="39"/>
  <c r="B62" i="39"/>
  <c r="A63" i="39"/>
  <c r="B63" i="39"/>
  <c r="A64" i="39"/>
  <c r="B64" i="39"/>
  <c r="A65" i="39"/>
  <c r="B65" i="39"/>
  <c r="A66" i="39"/>
  <c r="B66" i="39"/>
  <c r="A67" i="39"/>
  <c r="B67" i="39"/>
  <c r="A68" i="39"/>
  <c r="B68" i="39"/>
  <c r="A69" i="39"/>
  <c r="B69" i="39"/>
  <c r="A70" i="39"/>
  <c r="B70" i="39"/>
  <c r="A71" i="39"/>
  <c r="B71" i="39"/>
  <c r="A72" i="39"/>
  <c r="B72" i="39"/>
  <c r="A73" i="39"/>
  <c r="B73" i="39"/>
  <c r="A74" i="39"/>
  <c r="B74" i="39"/>
  <c r="A75" i="39"/>
  <c r="B75" i="39"/>
  <c r="A76" i="39"/>
  <c r="B76" i="39"/>
  <c r="A77" i="39"/>
  <c r="B77" i="39"/>
  <c r="A78" i="39"/>
  <c r="B78" i="39"/>
  <c r="A79" i="39"/>
  <c r="B79" i="39"/>
  <c r="A80" i="39"/>
  <c r="B80" i="39"/>
  <c r="A81" i="39"/>
  <c r="B81" i="39"/>
  <c r="A82" i="39"/>
  <c r="B82" i="39"/>
  <c r="A83" i="39"/>
  <c r="B83" i="39"/>
  <c r="A84" i="39"/>
  <c r="B84" i="39"/>
  <c r="A85" i="39"/>
  <c r="B85" i="39"/>
  <c r="A86" i="39"/>
  <c r="B86" i="39"/>
  <c r="A87" i="39"/>
  <c r="B87" i="39"/>
  <c r="A88" i="39"/>
  <c r="B88" i="39"/>
  <c r="A89" i="39"/>
  <c r="B89" i="39"/>
  <c r="A90" i="39"/>
  <c r="B90" i="39"/>
  <c r="A91" i="39"/>
  <c r="B91" i="39"/>
  <c r="A92" i="39"/>
  <c r="B92" i="39"/>
  <c r="A93" i="39"/>
  <c r="B93" i="39"/>
  <c r="A94" i="39"/>
  <c r="B94" i="39"/>
  <c r="A95" i="39"/>
  <c r="B95" i="39"/>
  <c r="A96" i="39"/>
  <c r="B96" i="39"/>
  <c r="A97" i="39"/>
  <c r="B97" i="39"/>
  <c r="A98" i="39"/>
  <c r="B98" i="39"/>
  <c r="A99" i="39"/>
  <c r="B99" i="39"/>
  <c r="A100" i="39"/>
  <c r="B100" i="39"/>
  <c r="A101" i="39"/>
  <c r="B101" i="39"/>
  <c r="A102" i="39"/>
  <c r="B102" i="39"/>
  <c r="A103" i="39"/>
  <c r="B103" i="39"/>
  <c r="A104" i="39"/>
  <c r="B104" i="39"/>
  <c r="A105" i="39"/>
  <c r="B105" i="39"/>
  <c r="A106" i="39"/>
  <c r="B106" i="39"/>
  <c r="A107" i="39"/>
  <c r="B107" i="39"/>
  <c r="A108" i="39"/>
  <c r="B108" i="39"/>
  <c r="A109" i="39"/>
  <c r="B109" i="39"/>
  <c r="A110" i="39"/>
  <c r="B110" i="39"/>
  <c r="A111" i="39"/>
  <c r="B111" i="39"/>
  <c r="A112" i="39"/>
  <c r="B112" i="39"/>
  <c r="A113" i="39"/>
  <c r="B113" i="39"/>
  <c r="A114" i="39"/>
  <c r="B114" i="39"/>
  <c r="A115" i="39"/>
  <c r="B115" i="39"/>
  <c r="A116" i="39"/>
  <c r="B116" i="39"/>
  <c r="A117" i="39"/>
  <c r="B117" i="39"/>
  <c r="A118" i="39"/>
  <c r="B118" i="39"/>
  <c r="A119" i="39"/>
  <c r="B119" i="39"/>
  <c r="A120" i="39"/>
  <c r="B120" i="39"/>
  <c r="A121" i="39"/>
  <c r="B121" i="39"/>
  <c r="A122" i="39"/>
  <c r="B122" i="39"/>
  <c r="A123" i="39"/>
  <c r="B123" i="39"/>
  <c r="A124" i="39"/>
  <c r="B124" i="39"/>
  <c r="A125" i="39"/>
  <c r="B125" i="39"/>
  <c r="A126" i="39"/>
  <c r="B126" i="39"/>
  <c r="A127" i="39"/>
  <c r="B127" i="39"/>
  <c r="A128" i="39"/>
  <c r="B128" i="39"/>
  <c r="A129" i="39"/>
  <c r="B129" i="39"/>
  <c r="A130" i="39"/>
  <c r="B130" i="39"/>
  <c r="A131" i="39"/>
  <c r="B131" i="39"/>
  <c r="A132" i="39"/>
  <c r="B132" i="39"/>
  <c r="A133" i="39"/>
  <c r="B133" i="39"/>
  <c r="A134" i="39"/>
  <c r="B134" i="39"/>
  <c r="A135" i="39"/>
  <c r="B135" i="39"/>
  <c r="A136" i="39"/>
  <c r="B136" i="39"/>
  <c r="A137" i="39"/>
  <c r="B137" i="39"/>
  <c r="A138" i="39"/>
  <c r="B138" i="39"/>
  <c r="A139" i="39"/>
  <c r="B139" i="39"/>
  <c r="A140" i="39"/>
  <c r="B140" i="39"/>
  <c r="A141" i="39"/>
  <c r="B141" i="39"/>
  <c r="A142" i="39"/>
  <c r="B142" i="39"/>
  <c r="A143" i="39"/>
  <c r="B143" i="39"/>
  <c r="A144" i="39"/>
  <c r="B144" i="39"/>
  <c r="A145" i="39"/>
  <c r="B145" i="39"/>
  <c r="A146" i="39"/>
  <c r="B146" i="39"/>
  <c r="A147" i="39"/>
  <c r="B147" i="39"/>
  <c r="A148" i="39"/>
  <c r="B148" i="39"/>
  <c r="A149" i="39"/>
  <c r="B149" i="39"/>
  <c r="A150" i="39"/>
  <c r="B150" i="39"/>
  <c r="A151" i="39"/>
  <c r="B151" i="39"/>
  <c r="A152" i="39"/>
  <c r="B152" i="39"/>
  <c r="A153" i="39"/>
  <c r="B153" i="39"/>
  <c r="A154" i="39"/>
  <c r="B154" i="39"/>
  <c r="A155" i="39"/>
  <c r="B155" i="39"/>
  <c r="A156" i="39"/>
  <c r="B156" i="39"/>
  <c r="A157" i="39"/>
  <c r="B157" i="39"/>
  <c r="A158" i="39"/>
  <c r="B158" i="39"/>
  <c r="A159" i="39"/>
  <c r="B159" i="39"/>
  <c r="A160" i="39"/>
  <c r="B160" i="39"/>
  <c r="A161" i="39"/>
  <c r="B161" i="39"/>
  <c r="A162" i="39"/>
  <c r="B162" i="39"/>
  <c r="A163" i="39"/>
  <c r="B163" i="39"/>
  <c r="A164" i="39"/>
  <c r="B164" i="39"/>
  <c r="A165" i="39"/>
  <c r="B165" i="39"/>
  <c r="A166" i="39"/>
  <c r="B166" i="39"/>
  <c r="A167" i="39"/>
  <c r="B167" i="39"/>
  <c r="A168" i="39"/>
  <c r="B168" i="39"/>
  <c r="A169" i="39"/>
  <c r="B169" i="39"/>
  <c r="A170" i="39"/>
  <c r="B170" i="39"/>
  <c r="A171" i="39"/>
  <c r="B171" i="39"/>
  <c r="A172" i="39"/>
  <c r="B172" i="39"/>
  <c r="A173" i="39"/>
  <c r="B173" i="39"/>
  <c r="A174" i="39"/>
  <c r="B174" i="39"/>
  <c r="A175" i="39"/>
  <c r="B175" i="39"/>
  <c r="A176" i="39"/>
  <c r="B176" i="39"/>
  <c r="A177" i="39"/>
  <c r="B177" i="39"/>
  <c r="A178" i="39"/>
  <c r="B178" i="39"/>
  <c r="A179" i="39"/>
  <c r="B179" i="39"/>
  <c r="A180" i="39"/>
  <c r="B180" i="39"/>
  <c r="A181" i="39"/>
  <c r="B181" i="39"/>
  <c r="A182" i="39"/>
  <c r="B182" i="39"/>
  <c r="A183" i="39"/>
  <c r="B183" i="39"/>
  <c r="A184" i="39"/>
  <c r="B184" i="39"/>
  <c r="A185" i="39"/>
  <c r="B185" i="39"/>
  <c r="A186" i="39"/>
  <c r="B186" i="39"/>
  <c r="A187" i="39"/>
  <c r="B187" i="39"/>
  <c r="A188" i="39"/>
  <c r="B188" i="39"/>
  <c r="A189" i="39"/>
  <c r="B189" i="39"/>
  <c r="A190" i="39"/>
  <c r="B190" i="39"/>
  <c r="A191" i="39"/>
  <c r="B191" i="39"/>
  <c r="A192" i="39"/>
  <c r="B192" i="39"/>
  <c r="A193" i="39"/>
  <c r="B193" i="39"/>
  <c r="A194" i="39"/>
  <c r="B194" i="39"/>
  <c r="A195" i="39"/>
  <c r="B195" i="39"/>
  <c r="A196" i="39"/>
  <c r="B196" i="39"/>
  <c r="A197" i="39"/>
  <c r="B197" i="39"/>
  <c r="A198" i="39"/>
  <c r="B198" i="39"/>
  <c r="A199" i="39"/>
  <c r="B199" i="39"/>
  <c r="A200" i="39"/>
  <c r="B200" i="39"/>
  <c r="A201" i="39"/>
  <c r="B201" i="39"/>
  <c r="A202" i="39"/>
  <c r="B202" i="39"/>
  <c r="A203" i="39"/>
  <c r="B203" i="39"/>
  <c r="A204" i="39"/>
  <c r="B204" i="39"/>
  <c r="A205" i="39"/>
  <c r="B205" i="39"/>
  <c r="A206" i="39"/>
  <c r="B206" i="39"/>
  <c r="A207" i="39"/>
  <c r="B207" i="39"/>
  <c r="A208" i="39"/>
  <c r="B208" i="39"/>
  <c r="A209" i="39"/>
  <c r="B209" i="39"/>
  <c r="A210" i="39"/>
  <c r="B210" i="39"/>
  <c r="A211" i="39"/>
  <c r="B211" i="39"/>
  <c r="A212" i="39"/>
  <c r="B212" i="39"/>
  <c r="A213" i="39"/>
  <c r="B213" i="39"/>
  <c r="A214" i="39"/>
  <c r="B214" i="39"/>
  <c r="A215" i="39"/>
  <c r="B215" i="39"/>
  <c r="A216" i="39"/>
  <c r="B216" i="39"/>
  <c r="A217" i="39"/>
  <c r="B217" i="39"/>
  <c r="A218" i="39"/>
  <c r="B218" i="39"/>
  <c r="A219" i="39"/>
  <c r="B219" i="39"/>
  <c r="A220" i="39"/>
  <c r="B220" i="39"/>
  <c r="A221" i="39"/>
  <c r="B221" i="39"/>
  <c r="A222" i="39"/>
  <c r="B222" i="39"/>
  <c r="A223" i="39"/>
  <c r="B223" i="39"/>
  <c r="A224" i="39"/>
  <c r="B224" i="39"/>
  <c r="A225" i="39"/>
  <c r="B225" i="39"/>
  <c r="A226" i="39"/>
  <c r="B226" i="39"/>
  <c r="A227" i="39"/>
  <c r="B227" i="39"/>
  <c r="A228" i="39"/>
  <c r="B228" i="39"/>
  <c r="A229" i="39"/>
  <c r="B229" i="39"/>
  <c r="A230" i="39"/>
  <c r="B230" i="39"/>
  <c r="A231" i="39"/>
  <c r="B231" i="39"/>
  <c r="A232" i="39"/>
  <c r="B232" i="39"/>
  <c r="A233" i="39"/>
  <c r="B233" i="39"/>
  <c r="A234" i="39"/>
  <c r="B234" i="39"/>
  <c r="A235" i="39"/>
  <c r="B235" i="39"/>
  <c r="A236" i="39"/>
  <c r="B236" i="39"/>
  <c r="A237" i="39"/>
  <c r="B237" i="39"/>
  <c r="A238" i="39"/>
  <c r="B238" i="39"/>
  <c r="A239" i="39"/>
  <c r="B239" i="39"/>
  <c r="A240" i="39"/>
  <c r="B240" i="39"/>
  <c r="A241" i="39"/>
  <c r="B241" i="39"/>
  <c r="A242" i="39"/>
  <c r="B242" i="39"/>
  <c r="A243" i="39"/>
  <c r="B243" i="39"/>
  <c r="A244" i="39"/>
  <c r="B244" i="39"/>
  <c r="A245" i="39"/>
  <c r="B245" i="39"/>
  <c r="A246" i="39"/>
  <c r="B246" i="39"/>
  <c r="A247" i="39"/>
  <c r="B247" i="39"/>
  <c r="A248" i="39"/>
  <c r="B248" i="39"/>
  <c r="A249" i="39"/>
  <c r="B249" i="39"/>
  <c r="A250" i="39"/>
  <c r="B250" i="39"/>
  <c r="A251" i="39"/>
  <c r="B251" i="39"/>
  <c r="A252" i="39"/>
  <c r="B252" i="39"/>
  <c r="A253" i="39"/>
  <c r="B253" i="39"/>
  <c r="A254" i="39"/>
  <c r="B254" i="39"/>
  <c r="A255" i="39"/>
  <c r="B255" i="39"/>
  <c r="A256" i="39"/>
  <c r="B256" i="39"/>
  <c r="A257" i="39"/>
  <c r="B257" i="39"/>
  <c r="A258" i="39"/>
  <c r="B258" i="39"/>
  <c r="A259" i="39"/>
  <c r="B259" i="39"/>
  <c r="A260" i="39"/>
  <c r="B260" i="39"/>
  <c r="A261" i="39"/>
  <c r="B261" i="39"/>
  <c r="A262" i="39"/>
  <c r="B262" i="39"/>
  <c r="A263" i="39"/>
  <c r="B263" i="39"/>
  <c r="A264" i="39"/>
  <c r="B264" i="39"/>
  <c r="A265" i="39"/>
  <c r="B265" i="39"/>
  <c r="A266" i="39"/>
  <c r="B266" i="39"/>
  <c r="A267" i="39"/>
  <c r="B267" i="39"/>
  <c r="A268" i="39"/>
  <c r="B268" i="39"/>
  <c r="A269" i="39"/>
  <c r="B269" i="39"/>
  <c r="A270" i="39"/>
  <c r="B270" i="39"/>
  <c r="A271" i="39"/>
  <c r="B271" i="39"/>
  <c r="A272" i="39"/>
  <c r="B272" i="39"/>
  <c r="A273" i="39"/>
  <c r="B273" i="39"/>
  <c r="A274" i="39"/>
  <c r="B274" i="39"/>
  <c r="A275" i="39"/>
  <c r="B275" i="39"/>
  <c r="A276" i="39"/>
  <c r="B276" i="39"/>
  <c r="A277" i="39"/>
  <c r="B277" i="39"/>
  <c r="A278" i="39"/>
  <c r="B278" i="39"/>
  <c r="A279" i="39"/>
  <c r="B279" i="39"/>
  <c r="A280" i="39"/>
  <c r="B280" i="39"/>
  <c r="A281" i="39"/>
  <c r="B281" i="39"/>
  <c r="A282" i="39"/>
  <c r="B282" i="39"/>
  <c r="A283" i="39"/>
  <c r="B283" i="39"/>
  <c r="A284" i="39"/>
  <c r="B284" i="39"/>
  <c r="A285" i="39"/>
  <c r="B285" i="39"/>
  <c r="A286" i="39"/>
  <c r="B286" i="39"/>
  <c r="A287" i="39"/>
  <c r="B287" i="39"/>
  <c r="A288" i="39"/>
  <c r="B288" i="39"/>
  <c r="A289" i="39"/>
  <c r="B289" i="39"/>
  <c r="A290" i="39"/>
  <c r="B290" i="39"/>
  <c r="A291" i="39"/>
  <c r="B291" i="39"/>
  <c r="A292" i="39"/>
  <c r="B292" i="39"/>
  <c r="A293" i="39"/>
  <c r="B293" i="39"/>
  <c r="A294" i="39"/>
  <c r="B294" i="39"/>
  <c r="A295" i="39"/>
  <c r="B295" i="39"/>
  <c r="A296" i="39"/>
  <c r="B296" i="39"/>
  <c r="A297" i="39"/>
  <c r="B297" i="39"/>
  <c r="A298" i="39"/>
  <c r="B298" i="39"/>
  <c r="A299" i="39"/>
  <c r="B299" i="39"/>
  <c r="A300" i="39"/>
  <c r="B300" i="39"/>
  <c r="A301" i="39"/>
  <c r="B301" i="39"/>
  <c r="A302" i="39"/>
  <c r="B302" i="39"/>
  <c r="A303" i="39"/>
  <c r="B303" i="39"/>
  <c r="A304" i="39"/>
  <c r="B304" i="39"/>
  <c r="A305" i="39"/>
  <c r="B305" i="39"/>
  <c r="A7" i="12"/>
  <c r="B7" i="12"/>
  <c r="A8" i="12"/>
  <c r="B8" i="12"/>
  <c r="A9" i="12"/>
  <c r="B9" i="12"/>
  <c r="A10" i="12"/>
  <c r="B10" i="12"/>
  <c r="A11" i="12"/>
  <c r="B11" i="12"/>
  <c r="A12" i="12"/>
  <c r="B12" i="12"/>
  <c r="A13" i="12"/>
  <c r="B13" i="12"/>
  <c r="A14" i="12"/>
  <c r="B14" i="12"/>
  <c r="A15" i="12"/>
  <c r="B15" i="12"/>
  <c r="A16" i="12"/>
  <c r="B16" i="12"/>
  <c r="A17" i="12"/>
  <c r="B17" i="12"/>
  <c r="A18" i="12"/>
  <c r="B18" i="12"/>
  <c r="A19" i="12"/>
  <c r="B19" i="12"/>
  <c r="A20" i="12"/>
  <c r="B20" i="12"/>
  <c r="A21" i="12"/>
  <c r="B21" i="12"/>
  <c r="A22" i="12"/>
  <c r="B22" i="12"/>
  <c r="A23" i="12"/>
  <c r="B23" i="12"/>
  <c r="A24" i="12"/>
  <c r="B24" i="12"/>
  <c r="A25" i="12"/>
  <c r="B25" i="12"/>
  <c r="A26" i="12"/>
  <c r="B26" i="12"/>
  <c r="A27" i="12"/>
  <c r="B27" i="12"/>
  <c r="A28" i="12"/>
  <c r="B28" i="12"/>
  <c r="A29" i="12"/>
  <c r="B29" i="12"/>
  <c r="A30" i="12"/>
  <c r="B30" i="12"/>
  <c r="A31" i="12"/>
  <c r="B31" i="12"/>
  <c r="A32" i="12"/>
  <c r="B32" i="12"/>
  <c r="A33" i="12"/>
  <c r="B33" i="12"/>
  <c r="A34" i="12"/>
  <c r="B34" i="12"/>
  <c r="A35" i="12"/>
  <c r="B35" i="12"/>
  <c r="A36" i="12"/>
  <c r="B36" i="12"/>
  <c r="A37" i="12"/>
  <c r="B37" i="12"/>
  <c r="A38" i="12"/>
  <c r="B38" i="12"/>
  <c r="A39" i="12"/>
  <c r="B39" i="12"/>
  <c r="A40" i="12"/>
  <c r="B40" i="12"/>
  <c r="A41" i="12"/>
  <c r="B41" i="12"/>
  <c r="A42" i="12"/>
  <c r="B42" i="12"/>
  <c r="A43" i="12"/>
  <c r="B43" i="12"/>
  <c r="A44" i="12"/>
  <c r="B44" i="12"/>
  <c r="A45" i="12"/>
  <c r="B45" i="12"/>
  <c r="A46" i="12"/>
  <c r="B46" i="12"/>
  <c r="A47" i="12"/>
  <c r="B47" i="12"/>
  <c r="A48" i="12"/>
  <c r="B48" i="12"/>
  <c r="A49" i="12"/>
  <c r="B49" i="12"/>
  <c r="A50" i="12"/>
  <c r="B50" i="12"/>
  <c r="A51" i="12"/>
  <c r="B51" i="12"/>
  <c r="A52" i="12"/>
  <c r="B52" i="12"/>
  <c r="A53" i="12"/>
  <c r="B53" i="12"/>
  <c r="A54" i="12"/>
  <c r="B54" i="12"/>
  <c r="A55" i="12"/>
  <c r="B55" i="12"/>
  <c r="A56" i="12"/>
  <c r="B56" i="12"/>
  <c r="A57" i="12"/>
  <c r="B57" i="12"/>
  <c r="A58" i="12"/>
  <c r="B58" i="12"/>
  <c r="A59" i="12"/>
  <c r="B59" i="12"/>
  <c r="A60" i="12"/>
  <c r="B60" i="12"/>
  <c r="A61" i="12"/>
  <c r="B61" i="12"/>
  <c r="A62" i="12"/>
  <c r="B62" i="12"/>
  <c r="A63" i="12"/>
  <c r="B63" i="12"/>
  <c r="A64" i="12"/>
  <c r="B64" i="12"/>
  <c r="A65" i="12"/>
  <c r="B65" i="12"/>
  <c r="A66" i="12"/>
  <c r="B66" i="12"/>
  <c r="A67" i="12"/>
  <c r="B67" i="12"/>
  <c r="A68" i="12"/>
  <c r="B68" i="12"/>
  <c r="A69" i="12"/>
  <c r="B69" i="12"/>
  <c r="A70" i="12"/>
  <c r="B70" i="12"/>
  <c r="A71" i="12"/>
  <c r="B71" i="12"/>
  <c r="A72" i="12"/>
  <c r="B72" i="12"/>
  <c r="A73" i="12"/>
  <c r="B73" i="12"/>
  <c r="A74" i="12"/>
  <c r="B74" i="12"/>
  <c r="A75" i="12"/>
  <c r="B75" i="12"/>
  <c r="A76" i="12"/>
  <c r="B76" i="12"/>
  <c r="A77" i="12"/>
  <c r="B77" i="12"/>
  <c r="A78" i="12"/>
  <c r="B78" i="12"/>
  <c r="A79" i="12"/>
  <c r="B79" i="12"/>
  <c r="A80" i="12"/>
  <c r="B80" i="12"/>
  <c r="A81" i="12"/>
  <c r="B81" i="12"/>
  <c r="A82" i="12"/>
  <c r="B82" i="12"/>
  <c r="A83" i="12"/>
  <c r="B83" i="12"/>
  <c r="A84" i="12"/>
  <c r="B84" i="12"/>
  <c r="A85" i="12"/>
  <c r="B85" i="12"/>
  <c r="A86" i="12"/>
  <c r="B86" i="12"/>
  <c r="A87" i="12"/>
  <c r="B87" i="12"/>
  <c r="A88" i="12"/>
  <c r="B88" i="12"/>
  <c r="A89" i="12"/>
  <c r="B89" i="12"/>
  <c r="A90" i="12"/>
  <c r="B90" i="12"/>
  <c r="A91" i="12"/>
  <c r="B91" i="12"/>
  <c r="A92" i="12"/>
  <c r="B92" i="12"/>
  <c r="A93" i="12"/>
  <c r="B93" i="12"/>
  <c r="A94" i="12"/>
  <c r="B94" i="12"/>
  <c r="A95" i="12"/>
  <c r="B95" i="12"/>
  <c r="A96" i="12"/>
  <c r="B96" i="12"/>
  <c r="A97" i="12"/>
  <c r="B97" i="12"/>
  <c r="A98" i="12"/>
  <c r="B98" i="12"/>
  <c r="A99" i="12"/>
  <c r="B99" i="12"/>
  <c r="A100" i="12"/>
  <c r="B100" i="12"/>
  <c r="A101" i="12"/>
  <c r="B101" i="12"/>
  <c r="A102" i="12"/>
  <c r="B102" i="12"/>
  <c r="A103" i="12"/>
  <c r="B103" i="12"/>
  <c r="A104" i="12"/>
  <c r="B104" i="12"/>
  <c r="A105" i="12"/>
  <c r="B105" i="12"/>
  <c r="A106" i="12"/>
  <c r="B106" i="12"/>
  <c r="A107" i="12"/>
  <c r="B107" i="12"/>
  <c r="A108" i="12"/>
  <c r="B108" i="12"/>
  <c r="A109" i="12"/>
  <c r="B109" i="12"/>
  <c r="A110" i="12"/>
  <c r="B110" i="12"/>
  <c r="A111" i="12"/>
  <c r="B111" i="12"/>
  <c r="A112" i="12"/>
  <c r="B112" i="12"/>
  <c r="A113" i="12"/>
  <c r="B113" i="12"/>
  <c r="A114" i="12"/>
  <c r="B114" i="12"/>
  <c r="A115" i="12"/>
  <c r="B115" i="12"/>
  <c r="A116" i="12"/>
  <c r="B116" i="12"/>
  <c r="A117" i="12"/>
  <c r="B117" i="12"/>
  <c r="A118" i="12"/>
  <c r="B118" i="12"/>
  <c r="A119" i="12"/>
  <c r="B119" i="12"/>
  <c r="A120" i="12"/>
  <c r="B120" i="12"/>
  <c r="A121" i="12"/>
  <c r="B121" i="12"/>
  <c r="A122" i="12"/>
  <c r="B122" i="12"/>
  <c r="A123" i="12"/>
  <c r="B123" i="12"/>
  <c r="A124" i="12"/>
  <c r="B124" i="12"/>
  <c r="A125" i="12"/>
  <c r="B125" i="12"/>
  <c r="A126" i="12"/>
  <c r="B126" i="12"/>
  <c r="A127" i="12"/>
  <c r="B127" i="12"/>
  <c r="A128" i="12"/>
  <c r="B128" i="12"/>
  <c r="A129" i="12"/>
  <c r="B129" i="12"/>
  <c r="A130" i="12"/>
  <c r="B130" i="12"/>
  <c r="A131" i="12"/>
  <c r="B131" i="12"/>
  <c r="A132" i="12"/>
  <c r="B132" i="12"/>
  <c r="A133" i="12"/>
  <c r="B133" i="12"/>
  <c r="A134" i="12"/>
  <c r="B134" i="12"/>
  <c r="A135" i="12"/>
  <c r="B135" i="12"/>
  <c r="A136" i="12"/>
  <c r="B136" i="12"/>
  <c r="A137" i="12"/>
  <c r="B137" i="12"/>
  <c r="A138" i="12"/>
  <c r="B138" i="12"/>
  <c r="A139" i="12"/>
  <c r="B139" i="12"/>
  <c r="A140" i="12"/>
  <c r="B140" i="12"/>
  <c r="A141" i="12"/>
  <c r="B141" i="12"/>
  <c r="A142" i="12"/>
  <c r="B142" i="12"/>
  <c r="A143" i="12"/>
  <c r="B143" i="12"/>
  <c r="A144" i="12"/>
  <c r="B144" i="12"/>
  <c r="A145" i="12"/>
  <c r="B145" i="12"/>
  <c r="A146" i="12"/>
  <c r="B146" i="12"/>
  <c r="A147" i="12"/>
  <c r="B147" i="12"/>
  <c r="A148" i="12"/>
  <c r="B148" i="12"/>
  <c r="A149" i="12"/>
  <c r="B149" i="12"/>
  <c r="A150" i="12"/>
  <c r="B150" i="12"/>
  <c r="A151" i="12"/>
  <c r="B151" i="12"/>
  <c r="A152" i="12"/>
  <c r="B152" i="12"/>
  <c r="A153" i="12"/>
  <c r="B153" i="12"/>
  <c r="A154" i="12"/>
  <c r="B154" i="12"/>
  <c r="A155" i="12"/>
  <c r="B155" i="12"/>
  <c r="A156" i="12"/>
  <c r="B156" i="12"/>
  <c r="A157" i="12"/>
  <c r="B157" i="12"/>
  <c r="A158" i="12"/>
  <c r="B158" i="12"/>
  <c r="A159" i="12"/>
  <c r="B159" i="12"/>
  <c r="A160" i="12"/>
  <c r="B160" i="12"/>
  <c r="A161" i="12"/>
  <c r="B161" i="12"/>
  <c r="A162" i="12"/>
  <c r="B162" i="12"/>
  <c r="A163" i="12"/>
  <c r="B163" i="12"/>
  <c r="A164" i="12"/>
  <c r="B164" i="12"/>
  <c r="A165" i="12"/>
  <c r="B165" i="12"/>
  <c r="A166" i="12"/>
  <c r="B166" i="12"/>
  <c r="A167" i="12"/>
  <c r="B167" i="12"/>
  <c r="A168" i="12"/>
  <c r="B168" i="12"/>
  <c r="A169" i="12"/>
  <c r="B169" i="12"/>
  <c r="A170" i="12"/>
  <c r="B170" i="12"/>
  <c r="A171" i="12"/>
  <c r="B171" i="12"/>
  <c r="A172" i="12"/>
  <c r="B172" i="12"/>
  <c r="A173" i="12"/>
  <c r="B173" i="12"/>
  <c r="A174" i="12"/>
  <c r="B174" i="12"/>
  <c r="A175" i="12"/>
  <c r="B175" i="12"/>
  <c r="A176" i="12"/>
  <c r="B176" i="12"/>
  <c r="A177" i="12"/>
  <c r="B177" i="12"/>
  <c r="A178" i="12"/>
  <c r="B178" i="12"/>
  <c r="A179" i="12"/>
  <c r="B179" i="12"/>
  <c r="A180" i="12"/>
  <c r="B180" i="12"/>
  <c r="A181" i="12"/>
  <c r="B181" i="12"/>
  <c r="A182" i="12"/>
  <c r="B182" i="12"/>
  <c r="A183" i="12"/>
  <c r="B183" i="12"/>
  <c r="A184" i="12"/>
  <c r="B184" i="12"/>
  <c r="A185" i="12"/>
  <c r="B185" i="12"/>
  <c r="A186" i="12"/>
  <c r="B186" i="12"/>
  <c r="A187" i="12"/>
  <c r="B187" i="12"/>
  <c r="A188" i="12"/>
  <c r="B188" i="12"/>
  <c r="A189" i="12"/>
  <c r="B189" i="12"/>
  <c r="A190" i="12"/>
  <c r="B190" i="12"/>
  <c r="A191" i="12"/>
  <c r="B191" i="12"/>
  <c r="A192" i="12"/>
  <c r="B192" i="12"/>
  <c r="A193" i="12"/>
  <c r="B193" i="12"/>
  <c r="A194" i="12"/>
  <c r="B194" i="12"/>
  <c r="A195" i="12"/>
  <c r="B195" i="12"/>
  <c r="A196" i="12"/>
  <c r="B196" i="12"/>
  <c r="A197" i="12"/>
  <c r="B197" i="12"/>
  <c r="A198" i="12"/>
  <c r="B198" i="12"/>
  <c r="A199" i="12"/>
  <c r="B199" i="12"/>
  <c r="A200" i="12"/>
  <c r="B200" i="12"/>
  <c r="A201" i="12"/>
  <c r="B201" i="12"/>
  <c r="A202" i="12"/>
  <c r="B202" i="12"/>
  <c r="A203" i="12"/>
  <c r="B203" i="12"/>
  <c r="A204" i="12"/>
  <c r="B204" i="12"/>
  <c r="A205" i="12"/>
  <c r="B205" i="12"/>
  <c r="A206" i="12"/>
  <c r="B206" i="12"/>
  <c r="A207" i="12"/>
  <c r="B207" i="12"/>
  <c r="A208" i="12"/>
  <c r="B208" i="12"/>
  <c r="A209" i="12"/>
  <c r="B209" i="12"/>
  <c r="A210" i="12"/>
  <c r="B210" i="12"/>
  <c r="A211" i="12"/>
  <c r="B211" i="12"/>
  <c r="A212" i="12"/>
  <c r="B212" i="12"/>
  <c r="A213" i="12"/>
  <c r="B213" i="12"/>
  <c r="A214" i="12"/>
  <c r="B214" i="12"/>
  <c r="A215" i="12"/>
  <c r="B215" i="12"/>
  <c r="A216" i="12"/>
  <c r="B216" i="12"/>
  <c r="A217" i="12"/>
  <c r="B217" i="12"/>
  <c r="A218" i="12"/>
  <c r="B218" i="12"/>
  <c r="A219" i="12"/>
  <c r="B219" i="12"/>
  <c r="A220" i="12"/>
  <c r="B220" i="12"/>
  <c r="A221" i="12"/>
  <c r="B221" i="12"/>
  <c r="A222" i="12"/>
  <c r="B222" i="12"/>
  <c r="A223" i="12"/>
  <c r="B223" i="12"/>
  <c r="A224" i="12"/>
  <c r="B224" i="12"/>
  <c r="A225" i="12"/>
  <c r="B225" i="12"/>
  <c r="A226" i="12"/>
  <c r="B226" i="12"/>
  <c r="A227" i="12"/>
  <c r="B227" i="12"/>
  <c r="A228" i="12"/>
  <c r="B228" i="12"/>
  <c r="A229" i="12"/>
  <c r="B229" i="12"/>
  <c r="A230" i="12"/>
  <c r="B230" i="12"/>
  <c r="A231" i="12"/>
  <c r="B231" i="12"/>
  <c r="A232" i="12"/>
  <c r="B232" i="12"/>
  <c r="A233" i="12"/>
  <c r="B233" i="12"/>
  <c r="A234" i="12"/>
  <c r="B234" i="12"/>
  <c r="A235" i="12"/>
  <c r="B235" i="12"/>
  <c r="A236" i="12"/>
  <c r="B236" i="12"/>
  <c r="A237" i="12"/>
  <c r="B237" i="12"/>
  <c r="A238" i="12"/>
  <c r="B238" i="12"/>
  <c r="A239" i="12"/>
  <c r="B239" i="12"/>
  <c r="A240" i="12"/>
  <c r="B240" i="12"/>
  <c r="A241" i="12"/>
  <c r="B241" i="12"/>
  <c r="A242" i="12"/>
  <c r="B242" i="12"/>
  <c r="A243" i="12"/>
  <c r="B243" i="12"/>
  <c r="A244" i="12"/>
  <c r="B244" i="12"/>
  <c r="A245" i="12"/>
  <c r="B245" i="12"/>
  <c r="A246" i="12"/>
  <c r="B246" i="12"/>
  <c r="A247" i="12"/>
  <c r="B247" i="12"/>
  <c r="A248" i="12"/>
  <c r="B248" i="12"/>
  <c r="A249" i="12"/>
  <c r="B249" i="12"/>
  <c r="A250" i="12"/>
  <c r="B250" i="12"/>
  <c r="A251" i="12"/>
  <c r="B251" i="12"/>
  <c r="A252" i="12"/>
  <c r="B252" i="12"/>
  <c r="A253" i="12"/>
  <c r="B253" i="12"/>
  <c r="A254" i="12"/>
  <c r="B254" i="12"/>
  <c r="A255" i="12"/>
  <c r="B255" i="12"/>
  <c r="A256" i="12"/>
  <c r="B256" i="12"/>
  <c r="A257" i="12"/>
  <c r="B257" i="12"/>
  <c r="A258" i="12"/>
  <c r="B258" i="12"/>
  <c r="A259" i="12"/>
  <c r="B259" i="12"/>
  <c r="A260" i="12"/>
  <c r="B260" i="12"/>
  <c r="A261" i="12"/>
  <c r="B261" i="12"/>
  <c r="A262" i="12"/>
  <c r="B262" i="12"/>
  <c r="A263" i="12"/>
  <c r="B263" i="12"/>
  <c r="A264" i="12"/>
  <c r="B264" i="12"/>
  <c r="A265" i="12"/>
  <c r="B265" i="12"/>
  <c r="A266" i="12"/>
  <c r="B266" i="12"/>
  <c r="A267" i="12"/>
  <c r="B267" i="12"/>
  <c r="A268" i="12"/>
  <c r="B268" i="12"/>
  <c r="A269" i="12"/>
  <c r="B269" i="12"/>
  <c r="A270" i="12"/>
  <c r="B270" i="12"/>
  <c r="A271" i="12"/>
  <c r="B271" i="12"/>
  <c r="A272" i="12"/>
  <c r="B272" i="12"/>
  <c r="A273" i="12"/>
  <c r="B273" i="12"/>
  <c r="A274" i="12"/>
  <c r="B274" i="12"/>
  <c r="A275" i="12"/>
  <c r="B275" i="12"/>
  <c r="A276" i="12"/>
  <c r="B276" i="12"/>
  <c r="A277" i="12"/>
  <c r="B277" i="12"/>
  <c r="A278" i="12"/>
  <c r="B278" i="12"/>
  <c r="A279" i="12"/>
  <c r="B279" i="12"/>
  <c r="A280" i="12"/>
  <c r="B280" i="12"/>
  <c r="A281" i="12"/>
  <c r="B281" i="12"/>
  <c r="A282" i="12"/>
  <c r="B282" i="12"/>
  <c r="A283" i="12"/>
  <c r="B283" i="12"/>
  <c r="A284" i="12"/>
  <c r="B284" i="12"/>
  <c r="A285" i="12"/>
  <c r="B285" i="12"/>
  <c r="A286" i="12"/>
  <c r="B286" i="12"/>
  <c r="A287" i="12"/>
  <c r="B287" i="12"/>
  <c r="A288" i="12"/>
  <c r="B288" i="12"/>
  <c r="A289" i="12"/>
  <c r="B289" i="12"/>
  <c r="A290" i="12"/>
  <c r="B290" i="12"/>
  <c r="A291" i="12"/>
  <c r="B291" i="12"/>
  <c r="A292" i="12"/>
  <c r="B292" i="12"/>
  <c r="A293" i="12"/>
  <c r="B293" i="12"/>
  <c r="A294" i="12"/>
  <c r="B294" i="12"/>
  <c r="A295" i="12"/>
  <c r="B295" i="12"/>
  <c r="A296" i="12"/>
  <c r="B296" i="12"/>
  <c r="A297" i="12"/>
  <c r="B297" i="12"/>
  <c r="A298" i="12"/>
  <c r="B298" i="12"/>
  <c r="A299" i="12"/>
  <c r="B299" i="12"/>
  <c r="A300" i="12"/>
  <c r="B300" i="12"/>
  <c r="A301" i="12"/>
  <c r="B301" i="12"/>
  <c r="A302" i="12"/>
  <c r="B302" i="12"/>
  <c r="A303" i="12"/>
  <c r="B303" i="12"/>
  <c r="A304" i="12"/>
  <c r="B304" i="12"/>
  <c r="A305" i="12"/>
  <c r="B305" i="12"/>
  <c r="A7" i="11"/>
  <c r="B7" i="11"/>
  <c r="E7" i="11"/>
  <c r="J7" i="11"/>
  <c r="A8" i="11"/>
  <c r="B8" i="11"/>
  <c r="E8" i="11"/>
  <c r="J8" i="11"/>
  <c r="A9" i="11"/>
  <c r="B9" i="11"/>
  <c r="E9" i="11"/>
  <c r="J9" i="11"/>
  <c r="A10" i="11"/>
  <c r="B10" i="11"/>
  <c r="E10" i="11"/>
  <c r="J10" i="11"/>
  <c r="A11" i="11"/>
  <c r="B11" i="11"/>
  <c r="E11" i="11"/>
  <c r="J11" i="11"/>
  <c r="A12" i="11"/>
  <c r="B12" i="11"/>
  <c r="E12" i="11"/>
  <c r="J12" i="11"/>
  <c r="A13" i="11"/>
  <c r="B13" i="11"/>
  <c r="E13" i="11"/>
  <c r="J13" i="11"/>
  <c r="A14" i="11"/>
  <c r="B14" i="11"/>
  <c r="E14" i="11"/>
  <c r="J14" i="11"/>
  <c r="A15" i="11"/>
  <c r="B15" i="11"/>
  <c r="E15" i="11"/>
  <c r="J15" i="11"/>
  <c r="A16" i="11"/>
  <c r="B16" i="11"/>
  <c r="E16" i="11"/>
  <c r="J16" i="11"/>
  <c r="A17" i="11"/>
  <c r="B17" i="11"/>
  <c r="E17" i="11"/>
  <c r="J17" i="11"/>
  <c r="A18" i="11"/>
  <c r="B18" i="11"/>
  <c r="E18" i="11"/>
  <c r="J18" i="11"/>
  <c r="A19" i="11"/>
  <c r="B19" i="11"/>
  <c r="E19" i="11"/>
  <c r="J19" i="11"/>
  <c r="A20" i="11"/>
  <c r="B20" i="11"/>
  <c r="E20" i="11"/>
  <c r="J20" i="11"/>
  <c r="A21" i="11"/>
  <c r="B21" i="11"/>
  <c r="E21" i="11"/>
  <c r="J21" i="11"/>
  <c r="A22" i="11"/>
  <c r="B22" i="11"/>
  <c r="E22" i="11"/>
  <c r="J22" i="11"/>
  <c r="A23" i="11"/>
  <c r="B23" i="11"/>
  <c r="E23" i="11"/>
  <c r="J23" i="11"/>
  <c r="A24" i="11"/>
  <c r="B24" i="11"/>
  <c r="E24" i="11"/>
  <c r="J24" i="11"/>
  <c r="A25" i="11"/>
  <c r="B25" i="11"/>
  <c r="E25" i="11"/>
  <c r="J25" i="11"/>
  <c r="A26" i="11"/>
  <c r="B26" i="11"/>
  <c r="E26" i="11"/>
  <c r="J26" i="11"/>
  <c r="A27" i="11"/>
  <c r="B27" i="11"/>
  <c r="E27" i="11"/>
  <c r="J27" i="11"/>
  <c r="A28" i="11"/>
  <c r="B28" i="11"/>
  <c r="E28" i="11"/>
  <c r="J28" i="11"/>
  <c r="A29" i="11"/>
  <c r="B29" i="11"/>
  <c r="E29" i="11"/>
  <c r="J29" i="11"/>
  <c r="A30" i="11"/>
  <c r="B30" i="11"/>
  <c r="E30" i="11"/>
  <c r="J30" i="11"/>
  <c r="A31" i="11"/>
  <c r="B31" i="11"/>
  <c r="E31" i="11"/>
  <c r="J31" i="11"/>
  <c r="A32" i="11"/>
  <c r="B32" i="11"/>
  <c r="E32" i="11"/>
  <c r="J32" i="11"/>
  <c r="A33" i="11"/>
  <c r="B33" i="11"/>
  <c r="E33" i="11"/>
  <c r="J33" i="11"/>
  <c r="A34" i="11"/>
  <c r="B34" i="11"/>
  <c r="E34" i="11"/>
  <c r="J34" i="11"/>
  <c r="A35" i="11"/>
  <c r="B35" i="11"/>
  <c r="E35" i="11"/>
  <c r="J35" i="11"/>
  <c r="A36" i="11"/>
  <c r="B36" i="11"/>
  <c r="E36" i="11"/>
  <c r="J36" i="11"/>
  <c r="A37" i="11"/>
  <c r="B37" i="11"/>
  <c r="E37" i="11"/>
  <c r="J37" i="11"/>
  <c r="A38" i="11"/>
  <c r="B38" i="11"/>
  <c r="E38" i="11"/>
  <c r="J38" i="11"/>
  <c r="A39" i="11"/>
  <c r="B39" i="11"/>
  <c r="E39" i="11"/>
  <c r="J39" i="11"/>
  <c r="A40" i="11"/>
  <c r="B40" i="11"/>
  <c r="E40" i="11"/>
  <c r="J40" i="11"/>
  <c r="A41" i="11"/>
  <c r="B41" i="11"/>
  <c r="E41" i="11"/>
  <c r="J41" i="11"/>
  <c r="A42" i="11"/>
  <c r="B42" i="11"/>
  <c r="E42" i="11"/>
  <c r="J42" i="11"/>
  <c r="A43" i="11"/>
  <c r="B43" i="11"/>
  <c r="E43" i="11"/>
  <c r="J43" i="11"/>
  <c r="A44" i="11"/>
  <c r="B44" i="11"/>
  <c r="E44" i="11"/>
  <c r="J44" i="11"/>
  <c r="A45" i="11"/>
  <c r="B45" i="11"/>
  <c r="E45" i="11"/>
  <c r="J45" i="11"/>
  <c r="A46" i="11"/>
  <c r="B46" i="11"/>
  <c r="E46" i="11"/>
  <c r="J46" i="11"/>
  <c r="A47" i="11"/>
  <c r="B47" i="11"/>
  <c r="E47" i="11"/>
  <c r="J47" i="11"/>
  <c r="A48" i="11"/>
  <c r="B48" i="11"/>
  <c r="E48" i="11"/>
  <c r="J48" i="11"/>
  <c r="A49" i="11"/>
  <c r="B49" i="11"/>
  <c r="E49" i="11"/>
  <c r="J49" i="11"/>
  <c r="A50" i="11"/>
  <c r="B50" i="11"/>
  <c r="E50" i="11"/>
  <c r="J50" i="11"/>
  <c r="A51" i="11"/>
  <c r="B51" i="11"/>
  <c r="E51" i="11"/>
  <c r="J51" i="11"/>
  <c r="A52" i="11"/>
  <c r="B52" i="11"/>
  <c r="E52" i="11"/>
  <c r="J52" i="11"/>
  <c r="A53" i="11"/>
  <c r="B53" i="11"/>
  <c r="E53" i="11"/>
  <c r="J53" i="11"/>
  <c r="A54" i="11"/>
  <c r="B54" i="11"/>
  <c r="E54" i="11"/>
  <c r="J54" i="11"/>
  <c r="A55" i="11"/>
  <c r="B55" i="11"/>
  <c r="E55" i="11"/>
  <c r="J55" i="11"/>
  <c r="A56" i="11"/>
  <c r="B56" i="11"/>
  <c r="E56" i="11"/>
  <c r="J56" i="11"/>
  <c r="A57" i="11"/>
  <c r="B57" i="11"/>
  <c r="E57" i="11"/>
  <c r="J57" i="11"/>
  <c r="A58" i="11"/>
  <c r="B58" i="11"/>
  <c r="E58" i="11"/>
  <c r="J58" i="11"/>
  <c r="A59" i="11"/>
  <c r="B59" i="11"/>
  <c r="E59" i="11"/>
  <c r="J59" i="11"/>
  <c r="A60" i="11"/>
  <c r="B60" i="11"/>
  <c r="E60" i="11"/>
  <c r="J60" i="11"/>
  <c r="A61" i="11"/>
  <c r="B61" i="11"/>
  <c r="E61" i="11"/>
  <c r="J61" i="11"/>
  <c r="A62" i="11"/>
  <c r="B62" i="11"/>
  <c r="E62" i="11"/>
  <c r="J62" i="11"/>
  <c r="A63" i="11"/>
  <c r="B63" i="11"/>
  <c r="E63" i="11"/>
  <c r="J63" i="11"/>
  <c r="A64" i="11"/>
  <c r="B64" i="11"/>
  <c r="E64" i="11"/>
  <c r="J64" i="11"/>
  <c r="A65" i="11"/>
  <c r="B65" i="11"/>
  <c r="E65" i="11"/>
  <c r="J65" i="11"/>
  <c r="A66" i="11"/>
  <c r="B66" i="11"/>
  <c r="E66" i="11"/>
  <c r="J66" i="11"/>
  <c r="A67" i="11"/>
  <c r="B67" i="11"/>
  <c r="E67" i="11"/>
  <c r="J67" i="11"/>
  <c r="A68" i="11"/>
  <c r="B68" i="11"/>
  <c r="E68" i="11"/>
  <c r="J68" i="11"/>
  <c r="A69" i="11"/>
  <c r="B69" i="11"/>
  <c r="E69" i="11"/>
  <c r="J69" i="11"/>
  <c r="A70" i="11"/>
  <c r="B70" i="11"/>
  <c r="E70" i="11"/>
  <c r="J70" i="11"/>
  <c r="A71" i="11"/>
  <c r="B71" i="11"/>
  <c r="E71" i="11"/>
  <c r="J71" i="11"/>
  <c r="A72" i="11"/>
  <c r="B72" i="11"/>
  <c r="E72" i="11"/>
  <c r="J72" i="11"/>
  <c r="A73" i="11"/>
  <c r="B73" i="11"/>
  <c r="E73" i="11"/>
  <c r="J73" i="11"/>
  <c r="A74" i="11"/>
  <c r="B74" i="11"/>
  <c r="E74" i="11"/>
  <c r="J74" i="11"/>
  <c r="A75" i="11"/>
  <c r="B75" i="11"/>
  <c r="E75" i="11"/>
  <c r="J75" i="11"/>
  <c r="A76" i="11"/>
  <c r="B76" i="11"/>
  <c r="E76" i="11"/>
  <c r="J76" i="11"/>
  <c r="A77" i="11"/>
  <c r="B77" i="11"/>
  <c r="E77" i="11"/>
  <c r="J77" i="11"/>
  <c r="A78" i="11"/>
  <c r="B78" i="11"/>
  <c r="E78" i="11"/>
  <c r="J78" i="11"/>
  <c r="A79" i="11"/>
  <c r="B79" i="11"/>
  <c r="E79" i="11"/>
  <c r="J79" i="11"/>
  <c r="A80" i="11"/>
  <c r="B80" i="11"/>
  <c r="E80" i="11"/>
  <c r="J80" i="11"/>
  <c r="A81" i="11"/>
  <c r="B81" i="11"/>
  <c r="E81" i="11"/>
  <c r="J81" i="11"/>
  <c r="A82" i="11"/>
  <c r="B82" i="11"/>
  <c r="E82" i="11"/>
  <c r="J82" i="11"/>
  <c r="A83" i="11"/>
  <c r="B83" i="11"/>
  <c r="E83" i="11"/>
  <c r="J83" i="11"/>
  <c r="A84" i="11"/>
  <c r="B84" i="11"/>
  <c r="E84" i="11"/>
  <c r="J84" i="11"/>
  <c r="A85" i="11"/>
  <c r="B85" i="11"/>
  <c r="E85" i="11"/>
  <c r="J85" i="11"/>
  <c r="A86" i="11"/>
  <c r="B86" i="11"/>
  <c r="E86" i="11"/>
  <c r="J86" i="11"/>
  <c r="A87" i="11"/>
  <c r="B87" i="11"/>
  <c r="E87" i="11"/>
  <c r="J87" i="11"/>
  <c r="A88" i="11"/>
  <c r="B88" i="11"/>
  <c r="E88" i="11"/>
  <c r="J88" i="11"/>
  <c r="A89" i="11"/>
  <c r="B89" i="11"/>
  <c r="E89" i="11"/>
  <c r="J89" i="11"/>
  <c r="A90" i="11"/>
  <c r="B90" i="11"/>
  <c r="E90" i="11"/>
  <c r="J90" i="11"/>
  <c r="A91" i="11"/>
  <c r="B91" i="11"/>
  <c r="E91" i="11"/>
  <c r="J91" i="11"/>
  <c r="A92" i="11"/>
  <c r="B92" i="11"/>
  <c r="E92" i="11"/>
  <c r="J92" i="11"/>
  <c r="A93" i="11"/>
  <c r="B93" i="11"/>
  <c r="E93" i="11"/>
  <c r="J93" i="11"/>
  <c r="A94" i="11"/>
  <c r="B94" i="11"/>
  <c r="E94" i="11"/>
  <c r="J94" i="11"/>
  <c r="A95" i="11"/>
  <c r="B95" i="11"/>
  <c r="E95" i="11"/>
  <c r="J95" i="11"/>
  <c r="A96" i="11"/>
  <c r="B96" i="11"/>
  <c r="E96" i="11"/>
  <c r="J96" i="11"/>
  <c r="A97" i="11"/>
  <c r="B97" i="11"/>
  <c r="E97" i="11"/>
  <c r="J97" i="11"/>
  <c r="A98" i="11"/>
  <c r="B98" i="11"/>
  <c r="E98" i="11"/>
  <c r="J98" i="11"/>
  <c r="A99" i="11"/>
  <c r="B99" i="11"/>
  <c r="E99" i="11"/>
  <c r="J99" i="11"/>
  <c r="A100" i="11"/>
  <c r="B100" i="11"/>
  <c r="E100" i="11"/>
  <c r="J100" i="11"/>
  <c r="A101" i="11"/>
  <c r="B101" i="11"/>
  <c r="E101" i="11"/>
  <c r="J101" i="11"/>
  <c r="A102" i="11"/>
  <c r="B102" i="11"/>
  <c r="E102" i="11"/>
  <c r="J102" i="11"/>
  <c r="A103" i="11"/>
  <c r="B103" i="11"/>
  <c r="E103" i="11"/>
  <c r="J103" i="11"/>
  <c r="A104" i="11"/>
  <c r="B104" i="11"/>
  <c r="E104" i="11"/>
  <c r="J104" i="11"/>
  <c r="A105" i="11"/>
  <c r="B105" i="11"/>
  <c r="E105" i="11"/>
  <c r="J105" i="11"/>
  <c r="A106" i="11"/>
  <c r="B106" i="11"/>
  <c r="E106" i="11"/>
  <c r="J106" i="11"/>
  <c r="A107" i="11"/>
  <c r="B107" i="11"/>
  <c r="E107" i="11"/>
  <c r="J107" i="11"/>
  <c r="A108" i="11"/>
  <c r="B108" i="11"/>
  <c r="E108" i="11"/>
  <c r="J108" i="11"/>
  <c r="A109" i="11"/>
  <c r="B109" i="11"/>
  <c r="E109" i="11"/>
  <c r="J109" i="11"/>
  <c r="A110" i="11"/>
  <c r="B110" i="11"/>
  <c r="E110" i="11"/>
  <c r="J110" i="11"/>
  <c r="A111" i="11"/>
  <c r="B111" i="11"/>
  <c r="E111" i="11"/>
  <c r="J111" i="11"/>
  <c r="A112" i="11"/>
  <c r="B112" i="11"/>
  <c r="E112" i="11"/>
  <c r="J112" i="11"/>
  <c r="A113" i="11"/>
  <c r="B113" i="11"/>
  <c r="E113" i="11"/>
  <c r="J113" i="11"/>
  <c r="A114" i="11"/>
  <c r="B114" i="11"/>
  <c r="E114" i="11"/>
  <c r="J114" i="11"/>
  <c r="A115" i="11"/>
  <c r="B115" i="11"/>
  <c r="E115" i="11"/>
  <c r="J115" i="11"/>
  <c r="A116" i="11"/>
  <c r="B116" i="11"/>
  <c r="E116" i="11"/>
  <c r="J116" i="11"/>
  <c r="A117" i="11"/>
  <c r="B117" i="11"/>
  <c r="E117" i="11"/>
  <c r="J117" i="11"/>
  <c r="A118" i="11"/>
  <c r="B118" i="11"/>
  <c r="E118" i="11"/>
  <c r="J118" i="11"/>
  <c r="A119" i="11"/>
  <c r="B119" i="11"/>
  <c r="E119" i="11"/>
  <c r="J119" i="11"/>
  <c r="A120" i="11"/>
  <c r="B120" i="11"/>
  <c r="E120" i="11"/>
  <c r="J120" i="11"/>
  <c r="A121" i="11"/>
  <c r="B121" i="11"/>
  <c r="E121" i="11"/>
  <c r="J121" i="11"/>
  <c r="A122" i="11"/>
  <c r="B122" i="11"/>
  <c r="E122" i="11"/>
  <c r="J122" i="11"/>
  <c r="A123" i="11"/>
  <c r="B123" i="11"/>
  <c r="E123" i="11"/>
  <c r="J123" i="11"/>
  <c r="A124" i="11"/>
  <c r="B124" i="11"/>
  <c r="E124" i="11"/>
  <c r="J124" i="11"/>
  <c r="A125" i="11"/>
  <c r="B125" i="11"/>
  <c r="E125" i="11"/>
  <c r="J125" i="11"/>
  <c r="A126" i="11"/>
  <c r="B126" i="11"/>
  <c r="E126" i="11"/>
  <c r="J126" i="11"/>
  <c r="A127" i="11"/>
  <c r="B127" i="11"/>
  <c r="E127" i="11"/>
  <c r="J127" i="11"/>
  <c r="A128" i="11"/>
  <c r="B128" i="11"/>
  <c r="E128" i="11"/>
  <c r="J128" i="11"/>
  <c r="A129" i="11"/>
  <c r="B129" i="11"/>
  <c r="E129" i="11"/>
  <c r="J129" i="11"/>
  <c r="A130" i="11"/>
  <c r="B130" i="11"/>
  <c r="E130" i="11"/>
  <c r="J130" i="11"/>
  <c r="A131" i="11"/>
  <c r="B131" i="11"/>
  <c r="E131" i="11"/>
  <c r="J131" i="11"/>
  <c r="A132" i="11"/>
  <c r="B132" i="11"/>
  <c r="E132" i="11"/>
  <c r="J132" i="11"/>
  <c r="A133" i="11"/>
  <c r="B133" i="11"/>
  <c r="E133" i="11"/>
  <c r="J133" i="11"/>
  <c r="A134" i="11"/>
  <c r="B134" i="11"/>
  <c r="E134" i="11"/>
  <c r="J134" i="11"/>
  <c r="A135" i="11"/>
  <c r="B135" i="11"/>
  <c r="E135" i="11"/>
  <c r="J135" i="11"/>
  <c r="A136" i="11"/>
  <c r="B136" i="11"/>
  <c r="E136" i="11"/>
  <c r="J136" i="11"/>
  <c r="A137" i="11"/>
  <c r="B137" i="11"/>
  <c r="E137" i="11"/>
  <c r="J137" i="11"/>
  <c r="A138" i="11"/>
  <c r="B138" i="11"/>
  <c r="E138" i="11"/>
  <c r="J138" i="11"/>
  <c r="A139" i="11"/>
  <c r="B139" i="11"/>
  <c r="E139" i="11"/>
  <c r="J139" i="11"/>
  <c r="A140" i="11"/>
  <c r="B140" i="11"/>
  <c r="E140" i="11"/>
  <c r="J140" i="11"/>
  <c r="A141" i="11"/>
  <c r="B141" i="11"/>
  <c r="E141" i="11"/>
  <c r="J141" i="11"/>
  <c r="A142" i="11"/>
  <c r="B142" i="11"/>
  <c r="E142" i="11"/>
  <c r="J142" i="11"/>
  <c r="A143" i="11"/>
  <c r="B143" i="11"/>
  <c r="E143" i="11"/>
  <c r="J143" i="11"/>
  <c r="A144" i="11"/>
  <c r="B144" i="11"/>
  <c r="E144" i="11"/>
  <c r="J144" i="11"/>
  <c r="A145" i="11"/>
  <c r="B145" i="11"/>
  <c r="E145" i="11"/>
  <c r="J145" i="11"/>
  <c r="A146" i="11"/>
  <c r="B146" i="11"/>
  <c r="E146" i="11"/>
  <c r="J146" i="11"/>
  <c r="A147" i="11"/>
  <c r="B147" i="11"/>
  <c r="E147" i="11"/>
  <c r="J147" i="11"/>
  <c r="A148" i="11"/>
  <c r="B148" i="11"/>
  <c r="E148" i="11"/>
  <c r="J148" i="11"/>
  <c r="A149" i="11"/>
  <c r="B149" i="11"/>
  <c r="E149" i="11"/>
  <c r="J149" i="11"/>
  <c r="A150" i="11"/>
  <c r="B150" i="11"/>
  <c r="E150" i="11"/>
  <c r="J150" i="11"/>
  <c r="A151" i="11"/>
  <c r="B151" i="11"/>
  <c r="E151" i="11"/>
  <c r="J151" i="11"/>
  <c r="A152" i="11"/>
  <c r="B152" i="11"/>
  <c r="E152" i="11"/>
  <c r="J152" i="11"/>
  <c r="A153" i="11"/>
  <c r="B153" i="11"/>
  <c r="E153" i="11"/>
  <c r="J153" i="11"/>
  <c r="A154" i="11"/>
  <c r="B154" i="11"/>
  <c r="E154" i="11"/>
  <c r="J154" i="11"/>
  <c r="A155" i="11"/>
  <c r="B155" i="11"/>
  <c r="E155" i="11"/>
  <c r="J155" i="11"/>
  <c r="A156" i="11"/>
  <c r="B156" i="11"/>
  <c r="E156" i="11"/>
  <c r="J156" i="11"/>
  <c r="A157" i="11"/>
  <c r="B157" i="11"/>
  <c r="E157" i="11"/>
  <c r="J157" i="11"/>
  <c r="A158" i="11"/>
  <c r="B158" i="11"/>
  <c r="E158" i="11"/>
  <c r="J158" i="11"/>
  <c r="A159" i="11"/>
  <c r="B159" i="11"/>
  <c r="E159" i="11"/>
  <c r="J159" i="11"/>
  <c r="A160" i="11"/>
  <c r="B160" i="11"/>
  <c r="E160" i="11"/>
  <c r="J160" i="11"/>
  <c r="A161" i="11"/>
  <c r="B161" i="11"/>
  <c r="E161" i="11"/>
  <c r="J161" i="11"/>
  <c r="A162" i="11"/>
  <c r="B162" i="11"/>
  <c r="E162" i="11"/>
  <c r="J162" i="11"/>
  <c r="A163" i="11"/>
  <c r="B163" i="11"/>
  <c r="E163" i="11"/>
  <c r="J163" i="11"/>
  <c r="A164" i="11"/>
  <c r="B164" i="11"/>
  <c r="E164" i="11"/>
  <c r="J164" i="11"/>
  <c r="A165" i="11"/>
  <c r="B165" i="11"/>
  <c r="E165" i="11"/>
  <c r="J165" i="11"/>
  <c r="A166" i="11"/>
  <c r="B166" i="11"/>
  <c r="E166" i="11"/>
  <c r="J166" i="11"/>
  <c r="A167" i="11"/>
  <c r="B167" i="11"/>
  <c r="E167" i="11"/>
  <c r="J167" i="11"/>
  <c r="A168" i="11"/>
  <c r="B168" i="11"/>
  <c r="E168" i="11"/>
  <c r="J168" i="11"/>
  <c r="A169" i="11"/>
  <c r="B169" i="11"/>
  <c r="E169" i="11"/>
  <c r="J169" i="11"/>
  <c r="A170" i="11"/>
  <c r="B170" i="11"/>
  <c r="E170" i="11"/>
  <c r="J170" i="11"/>
  <c r="A171" i="11"/>
  <c r="B171" i="11"/>
  <c r="E171" i="11"/>
  <c r="J171" i="11"/>
  <c r="A172" i="11"/>
  <c r="B172" i="11"/>
  <c r="E172" i="11"/>
  <c r="J172" i="11"/>
  <c r="A173" i="11"/>
  <c r="B173" i="11"/>
  <c r="E173" i="11"/>
  <c r="J173" i="11"/>
  <c r="A174" i="11"/>
  <c r="B174" i="11"/>
  <c r="E174" i="11"/>
  <c r="J174" i="11"/>
  <c r="A175" i="11"/>
  <c r="B175" i="11"/>
  <c r="E175" i="11"/>
  <c r="J175" i="11"/>
  <c r="A176" i="11"/>
  <c r="B176" i="11"/>
  <c r="E176" i="11"/>
  <c r="J176" i="11"/>
  <c r="A177" i="11"/>
  <c r="B177" i="11"/>
  <c r="E177" i="11"/>
  <c r="J177" i="11"/>
  <c r="A178" i="11"/>
  <c r="B178" i="11"/>
  <c r="E178" i="11"/>
  <c r="J178" i="11"/>
  <c r="A179" i="11"/>
  <c r="B179" i="11"/>
  <c r="E179" i="11"/>
  <c r="J179" i="11"/>
  <c r="A180" i="11"/>
  <c r="B180" i="11"/>
  <c r="E180" i="11"/>
  <c r="J180" i="11"/>
  <c r="A181" i="11"/>
  <c r="B181" i="11"/>
  <c r="E181" i="11"/>
  <c r="J181" i="11"/>
  <c r="A182" i="11"/>
  <c r="B182" i="11"/>
  <c r="E182" i="11"/>
  <c r="J182" i="11"/>
  <c r="A183" i="11"/>
  <c r="B183" i="11"/>
  <c r="E183" i="11"/>
  <c r="J183" i="11"/>
  <c r="A184" i="11"/>
  <c r="B184" i="11"/>
  <c r="E184" i="11"/>
  <c r="J184" i="11"/>
  <c r="A185" i="11"/>
  <c r="B185" i="11"/>
  <c r="E185" i="11"/>
  <c r="J185" i="11"/>
  <c r="A186" i="11"/>
  <c r="B186" i="11"/>
  <c r="E186" i="11"/>
  <c r="J186" i="11"/>
  <c r="A187" i="11"/>
  <c r="B187" i="11"/>
  <c r="E187" i="11"/>
  <c r="J187" i="11"/>
  <c r="A188" i="11"/>
  <c r="B188" i="11"/>
  <c r="E188" i="11"/>
  <c r="J188" i="11"/>
  <c r="A189" i="11"/>
  <c r="B189" i="11"/>
  <c r="E189" i="11"/>
  <c r="J189" i="11"/>
  <c r="A190" i="11"/>
  <c r="B190" i="11"/>
  <c r="E190" i="11"/>
  <c r="J190" i="11"/>
  <c r="A191" i="11"/>
  <c r="B191" i="11"/>
  <c r="E191" i="11"/>
  <c r="J191" i="11"/>
  <c r="A192" i="11"/>
  <c r="B192" i="11"/>
  <c r="E192" i="11"/>
  <c r="J192" i="11"/>
  <c r="A193" i="11"/>
  <c r="B193" i="11"/>
  <c r="E193" i="11"/>
  <c r="J193" i="11"/>
  <c r="A194" i="11"/>
  <c r="B194" i="11"/>
  <c r="E194" i="11"/>
  <c r="J194" i="11"/>
  <c r="A195" i="11"/>
  <c r="B195" i="11"/>
  <c r="E195" i="11"/>
  <c r="J195" i="11"/>
  <c r="A196" i="11"/>
  <c r="B196" i="11"/>
  <c r="E196" i="11"/>
  <c r="J196" i="11"/>
  <c r="A197" i="11"/>
  <c r="B197" i="11"/>
  <c r="E197" i="11"/>
  <c r="J197" i="11"/>
  <c r="A198" i="11"/>
  <c r="B198" i="11"/>
  <c r="E198" i="11"/>
  <c r="J198" i="11"/>
  <c r="A199" i="11"/>
  <c r="B199" i="11"/>
  <c r="E199" i="11"/>
  <c r="J199" i="11"/>
  <c r="A200" i="11"/>
  <c r="B200" i="11"/>
  <c r="E200" i="11"/>
  <c r="J200" i="11"/>
  <c r="A201" i="11"/>
  <c r="B201" i="11"/>
  <c r="E201" i="11"/>
  <c r="J201" i="11"/>
  <c r="A202" i="11"/>
  <c r="B202" i="11"/>
  <c r="E202" i="11"/>
  <c r="J202" i="11"/>
  <c r="A203" i="11"/>
  <c r="B203" i="11"/>
  <c r="E203" i="11"/>
  <c r="J203" i="11"/>
  <c r="A204" i="11"/>
  <c r="B204" i="11"/>
  <c r="E204" i="11"/>
  <c r="J204" i="11"/>
  <c r="A205" i="11"/>
  <c r="B205" i="11"/>
  <c r="E205" i="11"/>
  <c r="J205" i="11"/>
  <c r="A206" i="11"/>
  <c r="B206" i="11"/>
  <c r="E206" i="11"/>
  <c r="J206" i="11"/>
  <c r="A207" i="11"/>
  <c r="B207" i="11"/>
  <c r="E207" i="11"/>
  <c r="J207" i="11"/>
  <c r="A208" i="11"/>
  <c r="B208" i="11"/>
  <c r="E208" i="11"/>
  <c r="J208" i="11"/>
  <c r="A209" i="11"/>
  <c r="B209" i="11"/>
  <c r="E209" i="11"/>
  <c r="J209" i="11"/>
  <c r="A210" i="11"/>
  <c r="B210" i="11"/>
  <c r="E210" i="11"/>
  <c r="J210" i="11"/>
  <c r="A211" i="11"/>
  <c r="B211" i="11"/>
  <c r="E211" i="11"/>
  <c r="J211" i="11"/>
  <c r="A212" i="11"/>
  <c r="B212" i="11"/>
  <c r="E212" i="11"/>
  <c r="J212" i="11"/>
  <c r="A213" i="11"/>
  <c r="B213" i="11"/>
  <c r="E213" i="11"/>
  <c r="J213" i="11"/>
  <c r="A214" i="11"/>
  <c r="B214" i="11"/>
  <c r="E214" i="11"/>
  <c r="J214" i="11"/>
  <c r="A215" i="11"/>
  <c r="B215" i="11"/>
  <c r="E215" i="11"/>
  <c r="J215" i="11"/>
  <c r="A216" i="11"/>
  <c r="B216" i="11"/>
  <c r="E216" i="11"/>
  <c r="J216" i="11"/>
  <c r="A217" i="11"/>
  <c r="B217" i="11"/>
  <c r="E217" i="11"/>
  <c r="J217" i="11"/>
  <c r="A218" i="11"/>
  <c r="B218" i="11"/>
  <c r="E218" i="11"/>
  <c r="J218" i="11"/>
  <c r="A219" i="11"/>
  <c r="B219" i="11"/>
  <c r="E219" i="11"/>
  <c r="J219" i="11"/>
  <c r="A220" i="11"/>
  <c r="B220" i="11"/>
  <c r="E220" i="11"/>
  <c r="J220" i="11"/>
  <c r="A221" i="11"/>
  <c r="B221" i="11"/>
  <c r="E221" i="11"/>
  <c r="J221" i="11"/>
  <c r="A222" i="11"/>
  <c r="B222" i="11"/>
  <c r="E222" i="11"/>
  <c r="J222" i="11"/>
  <c r="A223" i="11"/>
  <c r="B223" i="11"/>
  <c r="E223" i="11"/>
  <c r="J223" i="11"/>
  <c r="A224" i="11"/>
  <c r="B224" i="11"/>
  <c r="E224" i="11"/>
  <c r="J224" i="11"/>
  <c r="A225" i="11"/>
  <c r="B225" i="11"/>
  <c r="E225" i="11"/>
  <c r="J225" i="11"/>
  <c r="A226" i="11"/>
  <c r="B226" i="11"/>
  <c r="E226" i="11"/>
  <c r="J226" i="11"/>
  <c r="A227" i="11"/>
  <c r="B227" i="11"/>
  <c r="E227" i="11"/>
  <c r="J227" i="11"/>
  <c r="A228" i="11"/>
  <c r="B228" i="11"/>
  <c r="E228" i="11"/>
  <c r="J228" i="11"/>
  <c r="A229" i="11"/>
  <c r="B229" i="11"/>
  <c r="E229" i="11"/>
  <c r="J229" i="11"/>
  <c r="A230" i="11"/>
  <c r="B230" i="11"/>
  <c r="E230" i="11"/>
  <c r="J230" i="11"/>
  <c r="A231" i="11"/>
  <c r="B231" i="11"/>
  <c r="E231" i="11"/>
  <c r="J231" i="11"/>
  <c r="A232" i="11"/>
  <c r="B232" i="11"/>
  <c r="E232" i="11"/>
  <c r="J232" i="11"/>
  <c r="A233" i="11"/>
  <c r="B233" i="11"/>
  <c r="E233" i="11"/>
  <c r="J233" i="11"/>
  <c r="A234" i="11"/>
  <c r="B234" i="11"/>
  <c r="E234" i="11"/>
  <c r="J234" i="11"/>
  <c r="A235" i="11"/>
  <c r="B235" i="11"/>
  <c r="E235" i="11"/>
  <c r="J235" i="11"/>
  <c r="A236" i="11"/>
  <c r="B236" i="11"/>
  <c r="E236" i="11"/>
  <c r="J236" i="11"/>
  <c r="A237" i="11"/>
  <c r="B237" i="11"/>
  <c r="E237" i="11"/>
  <c r="J237" i="11"/>
  <c r="A238" i="11"/>
  <c r="B238" i="11"/>
  <c r="E238" i="11"/>
  <c r="J238" i="11"/>
  <c r="A239" i="11"/>
  <c r="B239" i="11"/>
  <c r="E239" i="11"/>
  <c r="J239" i="11"/>
  <c r="A240" i="11"/>
  <c r="B240" i="11"/>
  <c r="E240" i="11"/>
  <c r="J240" i="11"/>
  <c r="A241" i="11"/>
  <c r="B241" i="11"/>
  <c r="E241" i="11"/>
  <c r="J241" i="11"/>
  <c r="A242" i="11"/>
  <c r="B242" i="11"/>
  <c r="E242" i="11"/>
  <c r="J242" i="11"/>
  <c r="A243" i="11"/>
  <c r="B243" i="11"/>
  <c r="E243" i="11"/>
  <c r="J243" i="11"/>
  <c r="A244" i="11"/>
  <c r="B244" i="11"/>
  <c r="E244" i="11"/>
  <c r="J244" i="11"/>
  <c r="A245" i="11"/>
  <c r="B245" i="11"/>
  <c r="E245" i="11"/>
  <c r="J245" i="11"/>
  <c r="A246" i="11"/>
  <c r="B246" i="11"/>
  <c r="E246" i="11"/>
  <c r="J246" i="11"/>
  <c r="A247" i="11"/>
  <c r="B247" i="11"/>
  <c r="E247" i="11"/>
  <c r="J247" i="11"/>
  <c r="A248" i="11"/>
  <c r="B248" i="11"/>
  <c r="E248" i="11"/>
  <c r="J248" i="11"/>
  <c r="A249" i="11"/>
  <c r="B249" i="11"/>
  <c r="E249" i="11"/>
  <c r="J249" i="11"/>
  <c r="A250" i="11"/>
  <c r="B250" i="11"/>
  <c r="E250" i="11"/>
  <c r="J250" i="11"/>
  <c r="A251" i="11"/>
  <c r="B251" i="11"/>
  <c r="E251" i="11"/>
  <c r="J251" i="11"/>
  <c r="A252" i="11"/>
  <c r="B252" i="11"/>
  <c r="E252" i="11"/>
  <c r="J252" i="11"/>
  <c r="A253" i="11"/>
  <c r="B253" i="11"/>
  <c r="E253" i="11"/>
  <c r="J253" i="11"/>
  <c r="A254" i="11"/>
  <c r="B254" i="11"/>
  <c r="E254" i="11"/>
  <c r="J254" i="11"/>
  <c r="A255" i="11"/>
  <c r="B255" i="11"/>
  <c r="E255" i="11"/>
  <c r="J255" i="11"/>
  <c r="A256" i="11"/>
  <c r="B256" i="11"/>
  <c r="E256" i="11"/>
  <c r="J256" i="11"/>
  <c r="A257" i="11"/>
  <c r="B257" i="11"/>
  <c r="E257" i="11"/>
  <c r="J257" i="11"/>
  <c r="A258" i="11"/>
  <c r="B258" i="11"/>
  <c r="E258" i="11"/>
  <c r="J258" i="11"/>
  <c r="A259" i="11"/>
  <c r="B259" i="11"/>
  <c r="E259" i="11"/>
  <c r="J259" i="11"/>
  <c r="A260" i="11"/>
  <c r="B260" i="11"/>
  <c r="E260" i="11"/>
  <c r="J260" i="11"/>
  <c r="A261" i="11"/>
  <c r="B261" i="11"/>
  <c r="E261" i="11"/>
  <c r="J261" i="11"/>
  <c r="A262" i="11"/>
  <c r="B262" i="11"/>
  <c r="E262" i="11"/>
  <c r="J262" i="11"/>
  <c r="A263" i="11"/>
  <c r="B263" i="11"/>
  <c r="E263" i="11"/>
  <c r="J263" i="11"/>
  <c r="A264" i="11"/>
  <c r="B264" i="11"/>
  <c r="E264" i="11"/>
  <c r="J264" i="11"/>
  <c r="A265" i="11"/>
  <c r="B265" i="11"/>
  <c r="E265" i="11"/>
  <c r="J265" i="11"/>
  <c r="A266" i="11"/>
  <c r="B266" i="11"/>
  <c r="E266" i="11"/>
  <c r="J266" i="11"/>
  <c r="A267" i="11"/>
  <c r="B267" i="11"/>
  <c r="E267" i="11"/>
  <c r="J267" i="11"/>
  <c r="A268" i="11"/>
  <c r="B268" i="11"/>
  <c r="E268" i="11"/>
  <c r="J268" i="11"/>
  <c r="A269" i="11"/>
  <c r="B269" i="11"/>
  <c r="E269" i="11"/>
  <c r="J269" i="11"/>
  <c r="A270" i="11"/>
  <c r="B270" i="11"/>
  <c r="E270" i="11"/>
  <c r="J270" i="11"/>
  <c r="A271" i="11"/>
  <c r="B271" i="11"/>
  <c r="E271" i="11"/>
  <c r="J271" i="11"/>
  <c r="A272" i="11"/>
  <c r="B272" i="11"/>
  <c r="E272" i="11"/>
  <c r="J272" i="11"/>
  <c r="A273" i="11"/>
  <c r="B273" i="11"/>
  <c r="E273" i="11"/>
  <c r="J273" i="11"/>
  <c r="A274" i="11"/>
  <c r="B274" i="11"/>
  <c r="E274" i="11"/>
  <c r="J274" i="11"/>
  <c r="A275" i="11"/>
  <c r="B275" i="11"/>
  <c r="E275" i="11"/>
  <c r="J275" i="11"/>
  <c r="A276" i="11"/>
  <c r="B276" i="11"/>
  <c r="E276" i="11"/>
  <c r="J276" i="11"/>
  <c r="A277" i="11"/>
  <c r="B277" i="11"/>
  <c r="E277" i="11"/>
  <c r="J277" i="11"/>
  <c r="A278" i="11"/>
  <c r="B278" i="11"/>
  <c r="E278" i="11"/>
  <c r="J278" i="11"/>
  <c r="A279" i="11"/>
  <c r="B279" i="11"/>
  <c r="E279" i="11"/>
  <c r="J279" i="11"/>
  <c r="A280" i="11"/>
  <c r="B280" i="11"/>
  <c r="E280" i="11"/>
  <c r="J280" i="11"/>
  <c r="A281" i="11"/>
  <c r="B281" i="11"/>
  <c r="E281" i="11"/>
  <c r="J281" i="11"/>
  <c r="A282" i="11"/>
  <c r="B282" i="11"/>
  <c r="E282" i="11"/>
  <c r="J282" i="11"/>
  <c r="A283" i="11"/>
  <c r="B283" i="11"/>
  <c r="E283" i="11"/>
  <c r="J283" i="11"/>
  <c r="A284" i="11"/>
  <c r="B284" i="11"/>
  <c r="E284" i="11"/>
  <c r="J284" i="11"/>
  <c r="A285" i="11"/>
  <c r="B285" i="11"/>
  <c r="E285" i="11"/>
  <c r="J285" i="11"/>
  <c r="A286" i="11"/>
  <c r="B286" i="11"/>
  <c r="E286" i="11"/>
  <c r="J286" i="11"/>
  <c r="A287" i="11"/>
  <c r="B287" i="11"/>
  <c r="E287" i="11"/>
  <c r="J287" i="11"/>
  <c r="A288" i="11"/>
  <c r="B288" i="11"/>
  <c r="E288" i="11"/>
  <c r="J288" i="11"/>
  <c r="A289" i="11"/>
  <c r="B289" i="11"/>
  <c r="E289" i="11"/>
  <c r="J289" i="11"/>
  <c r="A290" i="11"/>
  <c r="B290" i="11"/>
  <c r="E290" i="11"/>
  <c r="J290" i="11"/>
  <c r="A291" i="11"/>
  <c r="B291" i="11"/>
  <c r="E291" i="11"/>
  <c r="J291" i="11"/>
  <c r="A292" i="11"/>
  <c r="B292" i="11"/>
  <c r="E292" i="11"/>
  <c r="J292" i="11"/>
  <c r="A293" i="11"/>
  <c r="B293" i="11"/>
  <c r="E293" i="11"/>
  <c r="J293" i="11"/>
  <c r="A294" i="11"/>
  <c r="B294" i="11"/>
  <c r="E294" i="11"/>
  <c r="J294" i="11"/>
  <c r="A295" i="11"/>
  <c r="B295" i="11"/>
  <c r="E295" i="11"/>
  <c r="J295" i="11"/>
  <c r="A296" i="11"/>
  <c r="B296" i="11"/>
  <c r="E296" i="11"/>
  <c r="J296" i="11"/>
  <c r="A297" i="11"/>
  <c r="B297" i="11"/>
  <c r="E297" i="11"/>
  <c r="J297" i="11"/>
  <c r="A298" i="11"/>
  <c r="B298" i="11"/>
  <c r="E298" i="11"/>
  <c r="J298" i="11"/>
  <c r="A299" i="11"/>
  <c r="B299" i="11"/>
  <c r="E299" i="11"/>
  <c r="J299" i="11"/>
  <c r="A300" i="11"/>
  <c r="B300" i="11"/>
  <c r="E300" i="11"/>
  <c r="J300" i="11"/>
  <c r="A301" i="11"/>
  <c r="B301" i="11"/>
  <c r="E301" i="11"/>
  <c r="J301" i="11"/>
  <c r="A302" i="11"/>
  <c r="B302" i="11"/>
  <c r="E302" i="11"/>
  <c r="J302" i="11"/>
  <c r="A303" i="11"/>
  <c r="B303" i="11"/>
  <c r="E303" i="11"/>
  <c r="J303" i="11"/>
  <c r="A304" i="11"/>
  <c r="B304" i="11"/>
  <c r="E304" i="11"/>
  <c r="J304" i="11"/>
  <c r="A305" i="11"/>
  <c r="B305" i="11"/>
  <c r="E305" i="11"/>
  <c r="J305" i="11"/>
  <c r="A7" i="37"/>
  <c r="B7" i="37"/>
  <c r="C7" i="37"/>
  <c r="F7" i="37"/>
  <c r="A8" i="37"/>
  <c r="B8" i="37"/>
  <c r="C8" i="37"/>
  <c r="F8" i="37"/>
  <c r="A9" i="37"/>
  <c r="B9" i="37"/>
  <c r="C9" i="37"/>
  <c r="F9" i="37"/>
  <c r="A10" i="37"/>
  <c r="B10" i="37"/>
  <c r="C10" i="37"/>
  <c r="F10" i="37"/>
  <c r="A11" i="37"/>
  <c r="B11" i="37"/>
  <c r="C11" i="37"/>
  <c r="F11" i="37"/>
  <c r="A12" i="37"/>
  <c r="B12" i="37"/>
  <c r="C12" i="37"/>
  <c r="F12" i="37"/>
  <c r="A13" i="37"/>
  <c r="B13" i="37"/>
  <c r="C13" i="37"/>
  <c r="F13" i="37"/>
  <c r="A14" i="37"/>
  <c r="B14" i="37"/>
  <c r="C14" i="37"/>
  <c r="F14" i="37"/>
  <c r="A15" i="37"/>
  <c r="B15" i="37"/>
  <c r="C15" i="37"/>
  <c r="F15" i="37"/>
  <c r="A16" i="37"/>
  <c r="B16" i="37"/>
  <c r="C16" i="37"/>
  <c r="F16" i="37"/>
  <c r="A17" i="37"/>
  <c r="B17" i="37"/>
  <c r="C17" i="37"/>
  <c r="F17" i="37"/>
  <c r="A18" i="37"/>
  <c r="B18" i="37"/>
  <c r="C18" i="37"/>
  <c r="F18" i="37"/>
  <c r="A19" i="37"/>
  <c r="B19" i="37"/>
  <c r="C19" i="37"/>
  <c r="F19" i="37"/>
  <c r="A20" i="37"/>
  <c r="B20" i="37"/>
  <c r="C20" i="37"/>
  <c r="F20" i="37"/>
  <c r="A21" i="37"/>
  <c r="B21" i="37"/>
  <c r="C21" i="37"/>
  <c r="F21" i="37"/>
  <c r="A22" i="37"/>
  <c r="B22" i="37"/>
  <c r="C22" i="37"/>
  <c r="F22" i="37"/>
  <c r="A23" i="37"/>
  <c r="B23" i="37"/>
  <c r="C23" i="37"/>
  <c r="F23" i="37"/>
  <c r="A24" i="37"/>
  <c r="B24" i="37"/>
  <c r="C24" i="37"/>
  <c r="F24" i="37"/>
  <c r="A25" i="37"/>
  <c r="B25" i="37"/>
  <c r="C25" i="37"/>
  <c r="F25" i="37"/>
  <c r="A26" i="37"/>
  <c r="B26" i="37"/>
  <c r="C26" i="37"/>
  <c r="F26" i="37"/>
  <c r="A27" i="37"/>
  <c r="B27" i="37"/>
  <c r="C27" i="37"/>
  <c r="F27" i="37"/>
  <c r="A28" i="37"/>
  <c r="B28" i="37"/>
  <c r="C28" i="37"/>
  <c r="F28" i="37"/>
  <c r="A29" i="37"/>
  <c r="B29" i="37"/>
  <c r="C29" i="37"/>
  <c r="F29" i="37"/>
  <c r="A30" i="37"/>
  <c r="B30" i="37"/>
  <c r="C30" i="37"/>
  <c r="F30" i="37"/>
  <c r="A31" i="37"/>
  <c r="B31" i="37"/>
  <c r="C31" i="37"/>
  <c r="F31" i="37"/>
  <c r="A32" i="37"/>
  <c r="B32" i="37"/>
  <c r="C32" i="37"/>
  <c r="F32" i="37"/>
  <c r="A33" i="37"/>
  <c r="B33" i="37"/>
  <c r="C33" i="37"/>
  <c r="F33" i="37"/>
  <c r="A34" i="37"/>
  <c r="B34" i="37"/>
  <c r="C34" i="37"/>
  <c r="F34" i="37"/>
  <c r="A35" i="37"/>
  <c r="B35" i="37"/>
  <c r="C35" i="37"/>
  <c r="F35" i="37"/>
  <c r="A36" i="37"/>
  <c r="B36" i="37"/>
  <c r="C36" i="37"/>
  <c r="F36" i="37"/>
  <c r="A37" i="37"/>
  <c r="B37" i="37"/>
  <c r="C37" i="37"/>
  <c r="F37" i="37"/>
  <c r="A38" i="37"/>
  <c r="B38" i="37"/>
  <c r="C38" i="37"/>
  <c r="F38" i="37"/>
  <c r="A39" i="37"/>
  <c r="B39" i="37"/>
  <c r="C39" i="37"/>
  <c r="F39" i="37"/>
  <c r="A40" i="37"/>
  <c r="B40" i="37"/>
  <c r="C40" i="37"/>
  <c r="F40" i="37"/>
  <c r="A41" i="37"/>
  <c r="B41" i="37"/>
  <c r="C41" i="37"/>
  <c r="F41" i="37"/>
  <c r="A42" i="37"/>
  <c r="B42" i="37"/>
  <c r="C42" i="37"/>
  <c r="F42" i="37"/>
  <c r="A43" i="37"/>
  <c r="B43" i="37"/>
  <c r="C43" i="37"/>
  <c r="F43" i="37"/>
  <c r="A44" i="37"/>
  <c r="B44" i="37"/>
  <c r="C44" i="37"/>
  <c r="F44" i="37"/>
  <c r="A45" i="37"/>
  <c r="B45" i="37"/>
  <c r="C45" i="37"/>
  <c r="F45" i="37"/>
  <c r="A46" i="37"/>
  <c r="B46" i="37"/>
  <c r="C46" i="37"/>
  <c r="F46" i="37"/>
  <c r="A47" i="37"/>
  <c r="B47" i="37"/>
  <c r="C47" i="37"/>
  <c r="F47" i="37"/>
  <c r="A48" i="37"/>
  <c r="B48" i="37"/>
  <c r="C48" i="37"/>
  <c r="F48" i="37"/>
  <c r="A49" i="37"/>
  <c r="B49" i="37"/>
  <c r="C49" i="37"/>
  <c r="F49" i="37"/>
  <c r="A50" i="37"/>
  <c r="B50" i="37"/>
  <c r="C50" i="37"/>
  <c r="F50" i="37"/>
  <c r="A51" i="37"/>
  <c r="B51" i="37"/>
  <c r="C51" i="37"/>
  <c r="F51" i="37"/>
  <c r="A52" i="37"/>
  <c r="B52" i="37"/>
  <c r="C52" i="37"/>
  <c r="F52" i="37"/>
  <c r="A53" i="37"/>
  <c r="B53" i="37"/>
  <c r="C53" i="37"/>
  <c r="F53" i="37"/>
  <c r="A54" i="37"/>
  <c r="B54" i="37"/>
  <c r="C54" i="37"/>
  <c r="F54" i="37"/>
  <c r="A55" i="37"/>
  <c r="B55" i="37"/>
  <c r="C55" i="37"/>
  <c r="F55" i="37"/>
  <c r="A56" i="37"/>
  <c r="B56" i="37"/>
  <c r="C56" i="37"/>
  <c r="F56" i="37"/>
  <c r="A57" i="37"/>
  <c r="B57" i="37"/>
  <c r="C57" i="37"/>
  <c r="F57" i="37"/>
  <c r="A58" i="37"/>
  <c r="B58" i="37"/>
  <c r="C58" i="37"/>
  <c r="F58" i="37"/>
  <c r="A59" i="37"/>
  <c r="B59" i="37"/>
  <c r="C59" i="37"/>
  <c r="F59" i="37"/>
  <c r="A60" i="37"/>
  <c r="B60" i="37"/>
  <c r="C60" i="37"/>
  <c r="F60" i="37"/>
  <c r="A61" i="37"/>
  <c r="B61" i="37"/>
  <c r="C61" i="37"/>
  <c r="F61" i="37"/>
  <c r="A62" i="37"/>
  <c r="B62" i="37"/>
  <c r="C62" i="37"/>
  <c r="F62" i="37"/>
  <c r="A63" i="37"/>
  <c r="B63" i="37"/>
  <c r="C63" i="37"/>
  <c r="F63" i="37"/>
  <c r="A64" i="37"/>
  <c r="B64" i="37"/>
  <c r="C64" i="37"/>
  <c r="F64" i="37"/>
  <c r="A65" i="37"/>
  <c r="B65" i="37"/>
  <c r="C65" i="37"/>
  <c r="F65" i="37"/>
  <c r="A66" i="37"/>
  <c r="B66" i="37"/>
  <c r="C66" i="37"/>
  <c r="F66" i="37"/>
  <c r="A67" i="37"/>
  <c r="B67" i="37"/>
  <c r="C67" i="37"/>
  <c r="F67" i="37"/>
  <c r="A68" i="37"/>
  <c r="B68" i="37"/>
  <c r="C68" i="37"/>
  <c r="F68" i="37"/>
  <c r="A69" i="37"/>
  <c r="B69" i="37"/>
  <c r="C69" i="37"/>
  <c r="F69" i="37"/>
  <c r="A70" i="37"/>
  <c r="B70" i="37"/>
  <c r="C70" i="37"/>
  <c r="F70" i="37"/>
  <c r="A71" i="37"/>
  <c r="B71" i="37"/>
  <c r="C71" i="37"/>
  <c r="F71" i="37"/>
  <c r="A72" i="37"/>
  <c r="B72" i="37"/>
  <c r="C72" i="37"/>
  <c r="F72" i="37"/>
  <c r="A73" i="37"/>
  <c r="B73" i="37"/>
  <c r="C73" i="37"/>
  <c r="F73" i="37"/>
  <c r="A74" i="37"/>
  <c r="B74" i="37"/>
  <c r="C74" i="37"/>
  <c r="F74" i="37"/>
  <c r="A75" i="37"/>
  <c r="B75" i="37"/>
  <c r="C75" i="37"/>
  <c r="F75" i="37"/>
  <c r="A76" i="37"/>
  <c r="B76" i="37"/>
  <c r="C76" i="37"/>
  <c r="F76" i="37"/>
  <c r="A77" i="37"/>
  <c r="B77" i="37"/>
  <c r="C77" i="37"/>
  <c r="F77" i="37"/>
  <c r="A78" i="37"/>
  <c r="B78" i="37"/>
  <c r="C78" i="37"/>
  <c r="F78" i="37"/>
  <c r="A79" i="37"/>
  <c r="B79" i="37"/>
  <c r="C79" i="37"/>
  <c r="F79" i="37"/>
  <c r="A80" i="37"/>
  <c r="B80" i="37"/>
  <c r="C80" i="37"/>
  <c r="F80" i="37"/>
  <c r="A81" i="37"/>
  <c r="B81" i="37"/>
  <c r="C81" i="37"/>
  <c r="F81" i="37"/>
  <c r="A82" i="37"/>
  <c r="B82" i="37"/>
  <c r="C82" i="37"/>
  <c r="F82" i="37"/>
  <c r="A83" i="37"/>
  <c r="B83" i="37"/>
  <c r="C83" i="37"/>
  <c r="F83" i="37"/>
  <c r="A84" i="37"/>
  <c r="B84" i="37"/>
  <c r="C84" i="37"/>
  <c r="F84" i="37"/>
  <c r="A85" i="37"/>
  <c r="B85" i="37"/>
  <c r="C85" i="37"/>
  <c r="F85" i="37"/>
  <c r="A86" i="37"/>
  <c r="B86" i="37"/>
  <c r="C86" i="37"/>
  <c r="F86" i="37"/>
  <c r="A87" i="37"/>
  <c r="B87" i="37"/>
  <c r="C87" i="37"/>
  <c r="F87" i="37"/>
  <c r="A88" i="37"/>
  <c r="B88" i="37"/>
  <c r="C88" i="37"/>
  <c r="F88" i="37"/>
  <c r="A89" i="37"/>
  <c r="B89" i="37"/>
  <c r="C89" i="37"/>
  <c r="F89" i="37"/>
  <c r="A90" i="37"/>
  <c r="B90" i="37"/>
  <c r="C90" i="37"/>
  <c r="F90" i="37"/>
  <c r="A91" i="37"/>
  <c r="B91" i="37"/>
  <c r="C91" i="37"/>
  <c r="F91" i="37"/>
  <c r="A92" i="37"/>
  <c r="B92" i="37"/>
  <c r="C92" i="37"/>
  <c r="F92" i="37"/>
  <c r="A93" i="37"/>
  <c r="B93" i="37"/>
  <c r="C93" i="37"/>
  <c r="F93" i="37"/>
  <c r="A94" i="37"/>
  <c r="B94" i="37"/>
  <c r="C94" i="37"/>
  <c r="F94" i="37"/>
  <c r="A95" i="37"/>
  <c r="B95" i="37"/>
  <c r="C95" i="37"/>
  <c r="F95" i="37"/>
  <c r="A96" i="37"/>
  <c r="B96" i="37"/>
  <c r="C96" i="37"/>
  <c r="F96" i="37"/>
  <c r="A97" i="37"/>
  <c r="B97" i="37"/>
  <c r="C97" i="37"/>
  <c r="F97" i="37"/>
  <c r="A98" i="37"/>
  <c r="B98" i="37"/>
  <c r="C98" i="37"/>
  <c r="F98" i="37"/>
  <c r="A99" i="37"/>
  <c r="B99" i="37"/>
  <c r="C99" i="37"/>
  <c r="F99" i="37"/>
  <c r="A100" i="37"/>
  <c r="B100" i="37"/>
  <c r="C100" i="37"/>
  <c r="F100" i="37"/>
  <c r="A101" i="37"/>
  <c r="B101" i="37"/>
  <c r="C101" i="37"/>
  <c r="F101" i="37"/>
  <c r="A102" i="37"/>
  <c r="B102" i="37"/>
  <c r="C102" i="37"/>
  <c r="F102" i="37"/>
  <c r="A103" i="37"/>
  <c r="B103" i="37"/>
  <c r="C103" i="37"/>
  <c r="F103" i="37"/>
  <c r="A104" i="37"/>
  <c r="B104" i="37"/>
  <c r="C104" i="37"/>
  <c r="F104" i="37"/>
  <c r="A105" i="37"/>
  <c r="B105" i="37"/>
  <c r="C105" i="37"/>
  <c r="F105" i="37"/>
  <c r="A106" i="37"/>
  <c r="B106" i="37"/>
  <c r="C106" i="37"/>
  <c r="F106" i="37"/>
  <c r="A107" i="37"/>
  <c r="B107" i="37"/>
  <c r="C107" i="37"/>
  <c r="F107" i="37"/>
  <c r="A108" i="37"/>
  <c r="B108" i="37"/>
  <c r="C108" i="37"/>
  <c r="F108" i="37"/>
  <c r="A109" i="37"/>
  <c r="B109" i="37"/>
  <c r="C109" i="37"/>
  <c r="F109" i="37"/>
  <c r="A110" i="37"/>
  <c r="B110" i="37"/>
  <c r="C110" i="37"/>
  <c r="F110" i="37"/>
  <c r="A111" i="37"/>
  <c r="B111" i="37"/>
  <c r="C111" i="37"/>
  <c r="F111" i="37"/>
  <c r="A112" i="37"/>
  <c r="B112" i="37"/>
  <c r="C112" i="37"/>
  <c r="F112" i="37"/>
  <c r="A113" i="37"/>
  <c r="B113" i="37"/>
  <c r="C113" i="37"/>
  <c r="F113" i="37"/>
  <c r="A114" i="37"/>
  <c r="B114" i="37"/>
  <c r="C114" i="37"/>
  <c r="F114" i="37"/>
  <c r="A115" i="37"/>
  <c r="B115" i="37"/>
  <c r="C115" i="37"/>
  <c r="F115" i="37"/>
  <c r="A116" i="37"/>
  <c r="B116" i="37"/>
  <c r="C116" i="37"/>
  <c r="F116" i="37"/>
  <c r="A117" i="37"/>
  <c r="B117" i="37"/>
  <c r="C117" i="37"/>
  <c r="F117" i="37"/>
  <c r="A118" i="37"/>
  <c r="B118" i="37"/>
  <c r="C118" i="37"/>
  <c r="F118" i="37"/>
  <c r="A119" i="37"/>
  <c r="B119" i="37"/>
  <c r="C119" i="37"/>
  <c r="F119" i="37"/>
  <c r="A120" i="37"/>
  <c r="B120" i="37"/>
  <c r="C120" i="37"/>
  <c r="F120" i="37"/>
  <c r="A121" i="37"/>
  <c r="B121" i="37"/>
  <c r="C121" i="37"/>
  <c r="F121" i="37"/>
  <c r="A122" i="37"/>
  <c r="B122" i="37"/>
  <c r="C122" i="37"/>
  <c r="F122" i="37"/>
  <c r="A123" i="37"/>
  <c r="B123" i="37"/>
  <c r="C123" i="37"/>
  <c r="F123" i="37"/>
  <c r="A124" i="37"/>
  <c r="B124" i="37"/>
  <c r="C124" i="37"/>
  <c r="F124" i="37"/>
  <c r="A125" i="37"/>
  <c r="B125" i="37"/>
  <c r="C125" i="37"/>
  <c r="F125" i="37"/>
  <c r="A126" i="37"/>
  <c r="B126" i="37"/>
  <c r="C126" i="37"/>
  <c r="F126" i="37"/>
  <c r="A127" i="37"/>
  <c r="B127" i="37"/>
  <c r="C127" i="37"/>
  <c r="F127" i="37"/>
  <c r="A128" i="37"/>
  <c r="B128" i="37"/>
  <c r="C128" i="37"/>
  <c r="F128" i="37"/>
  <c r="A129" i="37"/>
  <c r="B129" i="37"/>
  <c r="C129" i="37"/>
  <c r="F129" i="37"/>
  <c r="A130" i="37"/>
  <c r="B130" i="37"/>
  <c r="C130" i="37"/>
  <c r="F130" i="37"/>
  <c r="A131" i="37"/>
  <c r="B131" i="37"/>
  <c r="C131" i="37"/>
  <c r="F131" i="37"/>
  <c r="A132" i="37"/>
  <c r="B132" i="37"/>
  <c r="C132" i="37"/>
  <c r="F132" i="37"/>
  <c r="A133" i="37"/>
  <c r="B133" i="37"/>
  <c r="C133" i="37"/>
  <c r="F133" i="37"/>
  <c r="A134" i="37"/>
  <c r="B134" i="37"/>
  <c r="C134" i="37"/>
  <c r="F134" i="37"/>
  <c r="A135" i="37"/>
  <c r="B135" i="37"/>
  <c r="C135" i="37"/>
  <c r="F135" i="37"/>
  <c r="A136" i="37"/>
  <c r="B136" i="37"/>
  <c r="C136" i="37"/>
  <c r="F136" i="37"/>
  <c r="A137" i="37"/>
  <c r="B137" i="37"/>
  <c r="C137" i="37"/>
  <c r="F137" i="37"/>
  <c r="A138" i="37"/>
  <c r="B138" i="37"/>
  <c r="C138" i="37"/>
  <c r="F138" i="37"/>
  <c r="A139" i="37"/>
  <c r="B139" i="37"/>
  <c r="C139" i="37"/>
  <c r="F139" i="37"/>
  <c r="A140" i="37"/>
  <c r="B140" i="37"/>
  <c r="C140" i="37"/>
  <c r="F140" i="37"/>
  <c r="A141" i="37"/>
  <c r="B141" i="37"/>
  <c r="C141" i="37"/>
  <c r="F141" i="37"/>
  <c r="A142" i="37"/>
  <c r="B142" i="37"/>
  <c r="C142" i="37"/>
  <c r="F142" i="37"/>
  <c r="A143" i="37"/>
  <c r="B143" i="37"/>
  <c r="C143" i="37"/>
  <c r="F143" i="37"/>
  <c r="A144" i="37"/>
  <c r="B144" i="37"/>
  <c r="C144" i="37"/>
  <c r="F144" i="37"/>
  <c r="A145" i="37"/>
  <c r="B145" i="37"/>
  <c r="C145" i="37"/>
  <c r="F145" i="37"/>
  <c r="A146" i="37"/>
  <c r="B146" i="37"/>
  <c r="C146" i="37"/>
  <c r="F146" i="37"/>
  <c r="A147" i="37"/>
  <c r="B147" i="37"/>
  <c r="C147" i="37"/>
  <c r="F147" i="37"/>
  <c r="A148" i="37"/>
  <c r="B148" i="37"/>
  <c r="C148" i="37"/>
  <c r="F148" i="37"/>
  <c r="A149" i="37"/>
  <c r="B149" i="37"/>
  <c r="C149" i="37"/>
  <c r="F149" i="37"/>
  <c r="A150" i="37"/>
  <c r="B150" i="37"/>
  <c r="C150" i="37"/>
  <c r="F150" i="37"/>
  <c r="A151" i="37"/>
  <c r="B151" i="37"/>
  <c r="C151" i="37"/>
  <c r="F151" i="37"/>
  <c r="A152" i="37"/>
  <c r="B152" i="37"/>
  <c r="C152" i="37"/>
  <c r="F152" i="37"/>
  <c r="A153" i="37"/>
  <c r="B153" i="37"/>
  <c r="C153" i="37"/>
  <c r="F153" i="37"/>
  <c r="A154" i="37"/>
  <c r="B154" i="37"/>
  <c r="C154" i="37"/>
  <c r="F154" i="37"/>
  <c r="A155" i="37"/>
  <c r="B155" i="37"/>
  <c r="C155" i="37"/>
  <c r="F155" i="37"/>
  <c r="A156" i="37"/>
  <c r="B156" i="37"/>
  <c r="C156" i="37"/>
  <c r="F156" i="37"/>
  <c r="A157" i="37"/>
  <c r="B157" i="37"/>
  <c r="C157" i="37"/>
  <c r="F157" i="37"/>
  <c r="A158" i="37"/>
  <c r="B158" i="37"/>
  <c r="C158" i="37"/>
  <c r="F158" i="37"/>
  <c r="A159" i="37"/>
  <c r="B159" i="37"/>
  <c r="C159" i="37"/>
  <c r="F159" i="37"/>
  <c r="A160" i="37"/>
  <c r="B160" i="37"/>
  <c r="C160" i="37"/>
  <c r="F160" i="37"/>
  <c r="A161" i="37"/>
  <c r="B161" i="37"/>
  <c r="C161" i="37"/>
  <c r="F161" i="37"/>
  <c r="A162" i="37"/>
  <c r="B162" i="37"/>
  <c r="C162" i="37"/>
  <c r="F162" i="37"/>
  <c r="A163" i="37"/>
  <c r="B163" i="37"/>
  <c r="C163" i="37"/>
  <c r="F163" i="37"/>
  <c r="A164" i="37"/>
  <c r="B164" i="37"/>
  <c r="C164" i="37"/>
  <c r="F164" i="37"/>
  <c r="A165" i="37"/>
  <c r="B165" i="37"/>
  <c r="C165" i="37"/>
  <c r="F165" i="37"/>
  <c r="A166" i="37"/>
  <c r="B166" i="37"/>
  <c r="C166" i="37"/>
  <c r="F166" i="37"/>
  <c r="A167" i="37"/>
  <c r="B167" i="37"/>
  <c r="C167" i="37"/>
  <c r="F167" i="37"/>
  <c r="A168" i="37"/>
  <c r="B168" i="37"/>
  <c r="C168" i="37"/>
  <c r="F168" i="37"/>
  <c r="A169" i="37"/>
  <c r="B169" i="37"/>
  <c r="C169" i="37"/>
  <c r="F169" i="37"/>
  <c r="A170" i="37"/>
  <c r="B170" i="37"/>
  <c r="C170" i="37"/>
  <c r="F170" i="37"/>
  <c r="A171" i="37"/>
  <c r="B171" i="37"/>
  <c r="C171" i="37"/>
  <c r="F171" i="37"/>
  <c r="A172" i="37"/>
  <c r="B172" i="37"/>
  <c r="C172" i="37"/>
  <c r="F172" i="37"/>
  <c r="A173" i="37"/>
  <c r="B173" i="37"/>
  <c r="C173" i="37"/>
  <c r="F173" i="37"/>
  <c r="A174" i="37"/>
  <c r="B174" i="37"/>
  <c r="C174" i="37"/>
  <c r="F174" i="37"/>
  <c r="A175" i="37"/>
  <c r="B175" i="37"/>
  <c r="C175" i="37"/>
  <c r="F175" i="37"/>
  <c r="A176" i="37"/>
  <c r="B176" i="37"/>
  <c r="C176" i="37"/>
  <c r="F176" i="37"/>
  <c r="A177" i="37"/>
  <c r="B177" i="37"/>
  <c r="C177" i="37"/>
  <c r="F177" i="37"/>
  <c r="A178" i="37"/>
  <c r="B178" i="37"/>
  <c r="C178" i="37"/>
  <c r="F178" i="37"/>
  <c r="A179" i="37"/>
  <c r="B179" i="37"/>
  <c r="C179" i="37"/>
  <c r="F179" i="37"/>
  <c r="A180" i="37"/>
  <c r="B180" i="37"/>
  <c r="C180" i="37"/>
  <c r="F180" i="37"/>
  <c r="A181" i="37"/>
  <c r="B181" i="37"/>
  <c r="C181" i="37"/>
  <c r="F181" i="37"/>
  <c r="A182" i="37"/>
  <c r="B182" i="37"/>
  <c r="C182" i="37"/>
  <c r="F182" i="37"/>
  <c r="A183" i="37"/>
  <c r="B183" i="37"/>
  <c r="C183" i="37"/>
  <c r="F183" i="37"/>
  <c r="A184" i="37"/>
  <c r="B184" i="37"/>
  <c r="C184" i="37"/>
  <c r="F184" i="37"/>
  <c r="A185" i="37"/>
  <c r="B185" i="37"/>
  <c r="C185" i="37"/>
  <c r="F185" i="37"/>
  <c r="A186" i="37"/>
  <c r="B186" i="37"/>
  <c r="C186" i="37"/>
  <c r="F186" i="37"/>
  <c r="A187" i="37"/>
  <c r="B187" i="37"/>
  <c r="C187" i="37"/>
  <c r="F187" i="37"/>
  <c r="A188" i="37"/>
  <c r="B188" i="37"/>
  <c r="C188" i="37"/>
  <c r="F188" i="37"/>
  <c r="A189" i="37"/>
  <c r="B189" i="37"/>
  <c r="C189" i="37"/>
  <c r="F189" i="37"/>
  <c r="A190" i="37"/>
  <c r="B190" i="37"/>
  <c r="C190" i="37"/>
  <c r="F190" i="37"/>
  <c r="A191" i="37"/>
  <c r="B191" i="37"/>
  <c r="C191" i="37"/>
  <c r="F191" i="37"/>
  <c r="A192" i="37"/>
  <c r="B192" i="37"/>
  <c r="C192" i="37"/>
  <c r="F192" i="37"/>
  <c r="A193" i="37"/>
  <c r="B193" i="37"/>
  <c r="C193" i="37"/>
  <c r="F193" i="37"/>
  <c r="A194" i="37"/>
  <c r="B194" i="37"/>
  <c r="C194" i="37"/>
  <c r="F194" i="37"/>
  <c r="A195" i="37"/>
  <c r="B195" i="37"/>
  <c r="C195" i="37"/>
  <c r="F195" i="37"/>
  <c r="A196" i="37"/>
  <c r="B196" i="37"/>
  <c r="C196" i="37"/>
  <c r="F196" i="37"/>
  <c r="A197" i="37"/>
  <c r="B197" i="37"/>
  <c r="C197" i="37"/>
  <c r="F197" i="37"/>
  <c r="A198" i="37"/>
  <c r="B198" i="37"/>
  <c r="C198" i="37"/>
  <c r="F198" i="37"/>
  <c r="A199" i="37"/>
  <c r="B199" i="37"/>
  <c r="C199" i="37"/>
  <c r="F199" i="37"/>
  <c r="A200" i="37"/>
  <c r="B200" i="37"/>
  <c r="C200" i="37"/>
  <c r="F200" i="37"/>
  <c r="A201" i="37"/>
  <c r="B201" i="37"/>
  <c r="C201" i="37"/>
  <c r="F201" i="37"/>
  <c r="A202" i="37"/>
  <c r="B202" i="37"/>
  <c r="C202" i="37"/>
  <c r="F202" i="37"/>
  <c r="A203" i="37"/>
  <c r="B203" i="37"/>
  <c r="C203" i="37"/>
  <c r="F203" i="37"/>
  <c r="A204" i="37"/>
  <c r="B204" i="37"/>
  <c r="C204" i="37"/>
  <c r="F204" i="37"/>
  <c r="A205" i="37"/>
  <c r="B205" i="37"/>
  <c r="C205" i="37"/>
  <c r="F205" i="37"/>
  <c r="A206" i="37"/>
  <c r="B206" i="37"/>
  <c r="C206" i="37"/>
  <c r="F206" i="37"/>
  <c r="A207" i="37"/>
  <c r="B207" i="37"/>
  <c r="C207" i="37"/>
  <c r="F207" i="37"/>
  <c r="A208" i="37"/>
  <c r="B208" i="37"/>
  <c r="C208" i="37"/>
  <c r="F208" i="37"/>
  <c r="A209" i="37"/>
  <c r="B209" i="37"/>
  <c r="C209" i="37"/>
  <c r="F209" i="37"/>
  <c r="A210" i="37"/>
  <c r="B210" i="37"/>
  <c r="C210" i="37"/>
  <c r="F210" i="37"/>
  <c r="A211" i="37"/>
  <c r="B211" i="37"/>
  <c r="C211" i="37"/>
  <c r="F211" i="37"/>
  <c r="A212" i="37"/>
  <c r="B212" i="37"/>
  <c r="C212" i="37"/>
  <c r="F212" i="37"/>
  <c r="A213" i="37"/>
  <c r="B213" i="37"/>
  <c r="C213" i="37"/>
  <c r="F213" i="37"/>
  <c r="A214" i="37"/>
  <c r="B214" i="37"/>
  <c r="C214" i="37"/>
  <c r="F214" i="37"/>
  <c r="A215" i="37"/>
  <c r="B215" i="37"/>
  <c r="C215" i="37"/>
  <c r="F215" i="37"/>
  <c r="A216" i="37"/>
  <c r="B216" i="37"/>
  <c r="C216" i="37"/>
  <c r="F216" i="37"/>
  <c r="A217" i="37"/>
  <c r="B217" i="37"/>
  <c r="C217" i="37"/>
  <c r="F217" i="37"/>
  <c r="A218" i="37"/>
  <c r="B218" i="37"/>
  <c r="C218" i="37"/>
  <c r="F218" i="37"/>
  <c r="A219" i="37"/>
  <c r="B219" i="37"/>
  <c r="C219" i="37"/>
  <c r="F219" i="37"/>
  <c r="A220" i="37"/>
  <c r="B220" i="37"/>
  <c r="C220" i="37"/>
  <c r="F220" i="37"/>
  <c r="A221" i="37"/>
  <c r="B221" i="37"/>
  <c r="C221" i="37"/>
  <c r="F221" i="37"/>
  <c r="A222" i="37"/>
  <c r="B222" i="37"/>
  <c r="C222" i="37"/>
  <c r="F222" i="37"/>
  <c r="A223" i="37"/>
  <c r="B223" i="37"/>
  <c r="C223" i="37"/>
  <c r="F223" i="37"/>
  <c r="A224" i="37"/>
  <c r="B224" i="37"/>
  <c r="C224" i="37"/>
  <c r="F224" i="37"/>
  <c r="A225" i="37"/>
  <c r="B225" i="37"/>
  <c r="C225" i="37"/>
  <c r="F225" i="37"/>
  <c r="A226" i="37"/>
  <c r="B226" i="37"/>
  <c r="C226" i="37"/>
  <c r="F226" i="37"/>
  <c r="A227" i="37"/>
  <c r="B227" i="37"/>
  <c r="C227" i="37"/>
  <c r="F227" i="37"/>
  <c r="A228" i="37"/>
  <c r="B228" i="37"/>
  <c r="C228" i="37"/>
  <c r="F228" i="37"/>
  <c r="A229" i="37"/>
  <c r="B229" i="37"/>
  <c r="C229" i="37"/>
  <c r="F229" i="37"/>
  <c r="A230" i="37"/>
  <c r="B230" i="37"/>
  <c r="C230" i="37"/>
  <c r="F230" i="37"/>
  <c r="A231" i="37"/>
  <c r="B231" i="37"/>
  <c r="C231" i="37"/>
  <c r="F231" i="37"/>
  <c r="A232" i="37"/>
  <c r="B232" i="37"/>
  <c r="C232" i="37"/>
  <c r="F232" i="37"/>
  <c r="A233" i="37"/>
  <c r="B233" i="37"/>
  <c r="C233" i="37"/>
  <c r="F233" i="37"/>
  <c r="A234" i="37"/>
  <c r="B234" i="37"/>
  <c r="C234" i="37"/>
  <c r="F234" i="37"/>
  <c r="A235" i="37"/>
  <c r="B235" i="37"/>
  <c r="C235" i="37"/>
  <c r="F235" i="37"/>
  <c r="A236" i="37"/>
  <c r="B236" i="37"/>
  <c r="C236" i="37"/>
  <c r="F236" i="37"/>
  <c r="A237" i="37"/>
  <c r="B237" i="37"/>
  <c r="C237" i="37"/>
  <c r="F237" i="37"/>
  <c r="A238" i="37"/>
  <c r="B238" i="37"/>
  <c r="C238" i="37"/>
  <c r="F238" i="37"/>
  <c r="A239" i="37"/>
  <c r="B239" i="37"/>
  <c r="C239" i="37"/>
  <c r="F239" i="37"/>
  <c r="A240" i="37"/>
  <c r="B240" i="37"/>
  <c r="C240" i="37"/>
  <c r="F240" i="37"/>
  <c r="A241" i="37"/>
  <c r="B241" i="37"/>
  <c r="C241" i="37"/>
  <c r="F241" i="37"/>
  <c r="A242" i="37"/>
  <c r="B242" i="37"/>
  <c r="C242" i="37"/>
  <c r="F242" i="37"/>
  <c r="A243" i="37"/>
  <c r="B243" i="37"/>
  <c r="C243" i="37"/>
  <c r="F243" i="37"/>
  <c r="A244" i="37"/>
  <c r="B244" i="37"/>
  <c r="C244" i="37"/>
  <c r="F244" i="37"/>
  <c r="A245" i="37"/>
  <c r="B245" i="37"/>
  <c r="C245" i="37"/>
  <c r="F245" i="37"/>
  <c r="A246" i="37"/>
  <c r="B246" i="37"/>
  <c r="C246" i="37"/>
  <c r="F246" i="37"/>
  <c r="A247" i="37"/>
  <c r="B247" i="37"/>
  <c r="C247" i="37"/>
  <c r="F247" i="37"/>
  <c r="A248" i="37"/>
  <c r="B248" i="37"/>
  <c r="C248" i="37"/>
  <c r="F248" i="37"/>
  <c r="A249" i="37"/>
  <c r="B249" i="37"/>
  <c r="C249" i="37"/>
  <c r="F249" i="37"/>
  <c r="A250" i="37"/>
  <c r="B250" i="37"/>
  <c r="C250" i="37"/>
  <c r="F250" i="37"/>
  <c r="A251" i="37"/>
  <c r="B251" i="37"/>
  <c r="C251" i="37"/>
  <c r="F251" i="37"/>
  <c r="A252" i="37"/>
  <c r="B252" i="37"/>
  <c r="C252" i="37"/>
  <c r="F252" i="37"/>
  <c r="A253" i="37"/>
  <c r="B253" i="37"/>
  <c r="C253" i="37"/>
  <c r="F253" i="37"/>
  <c r="A254" i="37"/>
  <c r="B254" i="37"/>
  <c r="C254" i="37"/>
  <c r="F254" i="37"/>
  <c r="A255" i="37"/>
  <c r="B255" i="37"/>
  <c r="C255" i="37"/>
  <c r="F255" i="37"/>
  <c r="A256" i="37"/>
  <c r="B256" i="37"/>
  <c r="C256" i="37"/>
  <c r="F256" i="37"/>
  <c r="A257" i="37"/>
  <c r="B257" i="37"/>
  <c r="C257" i="37"/>
  <c r="F257" i="37"/>
  <c r="A258" i="37"/>
  <c r="B258" i="37"/>
  <c r="C258" i="37"/>
  <c r="F258" i="37"/>
  <c r="A259" i="37"/>
  <c r="B259" i="37"/>
  <c r="C259" i="37"/>
  <c r="F259" i="37"/>
  <c r="A260" i="37"/>
  <c r="B260" i="37"/>
  <c r="C260" i="37"/>
  <c r="F260" i="37"/>
  <c r="A261" i="37"/>
  <c r="B261" i="37"/>
  <c r="C261" i="37"/>
  <c r="F261" i="37"/>
  <c r="A262" i="37"/>
  <c r="B262" i="37"/>
  <c r="C262" i="37"/>
  <c r="F262" i="37"/>
  <c r="A263" i="37"/>
  <c r="B263" i="37"/>
  <c r="C263" i="37"/>
  <c r="F263" i="37"/>
  <c r="A264" i="37"/>
  <c r="B264" i="37"/>
  <c r="C264" i="37"/>
  <c r="F264" i="37"/>
  <c r="A265" i="37"/>
  <c r="B265" i="37"/>
  <c r="C265" i="37"/>
  <c r="F265" i="37"/>
  <c r="A266" i="37"/>
  <c r="B266" i="37"/>
  <c r="C266" i="37"/>
  <c r="F266" i="37"/>
  <c r="A267" i="37"/>
  <c r="B267" i="37"/>
  <c r="C267" i="37"/>
  <c r="F267" i="37"/>
  <c r="A268" i="37"/>
  <c r="B268" i="37"/>
  <c r="C268" i="37"/>
  <c r="F268" i="37"/>
  <c r="A269" i="37"/>
  <c r="B269" i="37"/>
  <c r="C269" i="37"/>
  <c r="F269" i="37"/>
  <c r="A270" i="37"/>
  <c r="B270" i="37"/>
  <c r="C270" i="37"/>
  <c r="F270" i="37"/>
  <c r="A271" i="37"/>
  <c r="B271" i="37"/>
  <c r="C271" i="37"/>
  <c r="F271" i="37"/>
  <c r="A272" i="37"/>
  <c r="B272" i="37"/>
  <c r="C272" i="37"/>
  <c r="F272" i="37"/>
  <c r="A273" i="37"/>
  <c r="B273" i="37"/>
  <c r="C273" i="37"/>
  <c r="F273" i="37"/>
  <c r="A274" i="37"/>
  <c r="B274" i="37"/>
  <c r="C274" i="37"/>
  <c r="F274" i="37"/>
  <c r="A275" i="37"/>
  <c r="B275" i="37"/>
  <c r="C275" i="37"/>
  <c r="F275" i="37"/>
  <c r="A276" i="37"/>
  <c r="B276" i="37"/>
  <c r="C276" i="37"/>
  <c r="F276" i="37"/>
  <c r="A277" i="37"/>
  <c r="B277" i="37"/>
  <c r="C277" i="37"/>
  <c r="F277" i="37"/>
  <c r="A278" i="37"/>
  <c r="B278" i="37"/>
  <c r="C278" i="37"/>
  <c r="F278" i="37"/>
  <c r="A279" i="37"/>
  <c r="B279" i="37"/>
  <c r="C279" i="37"/>
  <c r="F279" i="37"/>
  <c r="A280" i="37"/>
  <c r="B280" i="37"/>
  <c r="C280" i="37"/>
  <c r="F280" i="37"/>
  <c r="A281" i="37"/>
  <c r="B281" i="37"/>
  <c r="C281" i="37"/>
  <c r="F281" i="37"/>
  <c r="A282" i="37"/>
  <c r="B282" i="37"/>
  <c r="C282" i="37"/>
  <c r="F282" i="37"/>
  <c r="A283" i="37"/>
  <c r="B283" i="37"/>
  <c r="C283" i="37"/>
  <c r="F283" i="37"/>
  <c r="A284" i="37"/>
  <c r="B284" i="37"/>
  <c r="C284" i="37"/>
  <c r="F284" i="37"/>
  <c r="A285" i="37"/>
  <c r="B285" i="37"/>
  <c r="C285" i="37"/>
  <c r="F285" i="37"/>
  <c r="A286" i="37"/>
  <c r="B286" i="37"/>
  <c r="C286" i="37"/>
  <c r="F286" i="37"/>
  <c r="A287" i="37"/>
  <c r="B287" i="37"/>
  <c r="C287" i="37"/>
  <c r="F287" i="37"/>
  <c r="A288" i="37"/>
  <c r="B288" i="37"/>
  <c r="C288" i="37"/>
  <c r="F288" i="37"/>
  <c r="A289" i="37"/>
  <c r="B289" i="37"/>
  <c r="C289" i="37"/>
  <c r="F289" i="37"/>
  <c r="A290" i="37"/>
  <c r="B290" i="37"/>
  <c r="C290" i="37"/>
  <c r="F290" i="37"/>
  <c r="A291" i="37"/>
  <c r="B291" i="37"/>
  <c r="C291" i="37"/>
  <c r="F291" i="37"/>
  <c r="A292" i="37"/>
  <c r="B292" i="37"/>
  <c r="C292" i="37"/>
  <c r="F292" i="37"/>
  <c r="A293" i="37"/>
  <c r="B293" i="37"/>
  <c r="C293" i="37"/>
  <c r="F293" i="37"/>
  <c r="A294" i="37"/>
  <c r="B294" i="37"/>
  <c r="C294" i="37"/>
  <c r="F294" i="37"/>
  <c r="A295" i="37"/>
  <c r="B295" i="37"/>
  <c r="C295" i="37"/>
  <c r="F295" i="37"/>
  <c r="A296" i="37"/>
  <c r="B296" i="37"/>
  <c r="C296" i="37"/>
  <c r="F296" i="37"/>
  <c r="A297" i="37"/>
  <c r="B297" i="37"/>
  <c r="C297" i="37"/>
  <c r="F297" i="37"/>
  <c r="A298" i="37"/>
  <c r="B298" i="37"/>
  <c r="C298" i="37"/>
  <c r="F298" i="37"/>
  <c r="A299" i="37"/>
  <c r="B299" i="37"/>
  <c r="C299" i="37"/>
  <c r="F299" i="37"/>
  <c r="A300" i="37"/>
  <c r="B300" i="37"/>
  <c r="C300" i="37"/>
  <c r="F300" i="37"/>
  <c r="A301" i="37"/>
  <c r="B301" i="37"/>
  <c r="C301" i="37"/>
  <c r="F301" i="37"/>
  <c r="A302" i="37"/>
  <c r="B302" i="37"/>
  <c r="C302" i="37"/>
  <c r="F302" i="37"/>
  <c r="A303" i="37"/>
  <c r="B303" i="37"/>
  <c r="C303" i="37"/>
  <c r="F303" i="37"/>
  <c r="A304" i="37"/>
  <c r="B304" i="37"/>
  <c r="C304" i="37"/>
  <c r="F304" i="37"/>
  <c r="A305" i="37"/>
  <c r="B305" i="37"/>
  <c r="C305" i="37"/>
  <c r="F305" i="37"/>
  <c r="A10" i="36"/>
  <c r="B10" i="36"/>
  <c r="C10" i="36"/>
  <c r="J10" i="36"/>
  <c r="A11" i="36"/>
  <c r="B11" i="36"/>
  <c r="C11" i="36"/>
  <c r="G11" i="36" s="1"/>
  <c r="E11" i="36"/>
  <c r="A12" i="36"/>
  <c r="B12" i="36"/>
  <c r="C12" i="36"/>
  <c r="G12" i="36"/>
  <c r="A13" i="36"/>
  <c r="B13" i="36"/>
  <c r="C13" i="36"/>
  <c r="J13" i="36" s="1"/>
  <c r="E13" i="36"/>
  <c r="F13" i="36"/>
  <c r="G13" i="36"/>
  <c r="H13" i="36"/>
  <c r="I13" i="36"/>
  <c r="A14" i="36"/>
  <c r="B14" i="36"/>
  <c r="C14" i="36"/>
  <c r="D14" i="36"/>
  <c r="E14" i="36"/>
  <c r="J14" i="36"/>
  <c r="A15" i="36"/>
  <c r="B15" i="36"/>
  <c r="C15" i="36"/>
  <c r="D15" i="36" s="1"/>
  <c r="F15" i="36"/>
  <c r="G15" i="36"/>
  <c r="H15" i="36"/>
  <c r="I15" i="36"/>
  <c r="J15" i="36"/>
  <c r="A16" i="36"/>
  <c r="B16" i="36"/>
  <c r="C16" i="36"/>
  <c r="H16" i="36" s="1"/>
  <c r="F16" i="36"/>
  <c r="G16" i="36"/>
  <c r="A17" i="36"/>
  <c r="B17" i="36"/>
  <c r="C17" i="36"/>
  <c r="A18" i="36"/>
  <c r="B18" i="36"/>
  <c r="C18" i="36"/>
  <c r="D18" i="36" s="1"/>
  <c r="E18" i="36"/>
  <c r="F18" i="36"/>
  <c r="G18" i="36"/>
  <c r="H18" i="36"/>
  <c r="I18" i="36"/>
  <c r="A19" i="36"/>
  <c r="B19" i="36"/>
  <c r="C19" i="36"/>
  <c r="G19" i="36" s="1"/>
  <c r="E19" i="36"/>
  <c r="A20" i="36"/>
  <c r="B20" i="36"/>
  <c r="C20" i="36"/>
  <c r="D20" i="36" s="1"/>
  <c r="A21" i="36"/>
  <c r="B21" i="36"/>
  <c r="C21" i="36"/>
  <c r="A22" i="36"/>
  <c r="B22" i="36"/>
  <c r="C22" i="36"/>
  <c r="J22" i="36"/>
  <c r="A23" i="36"/>
  <c r="B23" i="36"/>
  <c r="C23" i="36"/>
  <c r="F23" i="36" s="1"/>
  <c r="A24" i="36"/>
  <c r="B24" i="36"/>
  <c r="C24" i="36"/>
  <c r="A25" i="36"/>
  <c r="B25" i="36"/>
  <c r="C25" i="36"/>
  <c r="A26" i="36"/>
  <c r="B26" i="36"/>
  <c r="C26" i="36"/>
  <c r="I26" i="36" s="1"/>
  <c r="E26" i="36"/>
  <c r="A27" i="36"/>
  <c r="B27" i="36"/>
  <c r="C27" i="36"/>
  <c r="A28" i="36"/>
  <c r="B28" i="36"/>
  <c r="C28" i="36"/>
  <c r="A29" i="36"/>
  <c r="B29" i="36"/>
  <c r="C29" i="36"/>
  <c r="J29" i="36" s="1"/>
  <c r="E29" i="36"/>
  <c r="F29" i="36"/>
  <c r="G29" i="36"/>
  <c r="H29" i="36"/>
  <c r="I29" i="36"/>
  <c r="A30" i="36"/>
  <c r="B30" i="36"/>
  <c r="C30" i="36"/>
  <c r="F30" i="36" s="1"/>
  <c r="E30" i="36"/>
  <c r="I30" i="36"/>
  <c r="J30" i="36"/>
  <c r="A31" i="36"/>
  <c r="B31" i="36"/>
  <c r="C31" i="36"/>
  <c r="D31" i="36" s="1"/>
  <c r="F31" i="36"/>
  <c r="G31" i="36"/>
  <c r="H31" i="36"/>
  <c r="I31" i="36"/>
  <c r="J31" i="36"/>
  <c r="A32" i="36"/>
  <c r="B32" i="36"/>
  <c r="C32" i="36"/>
  <c r="H32" i="36" s="1"/>
  <c r="F32" i="36"/>
  <c r="G32" i="36"/>
  <c r="A33" i="36"/>
  <c r="B33" i="36"/>
  <c r="C33" i="36"/>
  <c r="A34" i="36"/>
  <c r="B34" i="36"/>
  <c r="C34" i="36"/>
  <c r="D34" i="36" s="1"/>
  <c r="E34" i="36"/>
  <c r="F34" i="36"/>
  <c r="G34" i="36"/>
  <c r="H34" i="36"/>
  <c r="I34" i="36"/>
  <c r="A35" i="36"/>
  <c r="B35" i="36"/>
  <c r="C35" i="36"/>
  <c r="G35" i="36" s="1"/>
  <c r="A36" i="36"/>
  <c r="B36" i="36"/>
  <c r="C36" i="36"/>
  <c r="D36" i="36" s="1"/>
  <c r="A37" i="36"/>
  <c r="B37" i="36"/>
  <c r="C37" i="36"/>
  <c r="D37" i="36" s="1"/>
  <c r="E37" i="36"/>
  <c r="I37" i="36"/>
  <c r="J37" i="36"/>
  <c r="A38" i="36"/>
  <c r="B38" i="36"/>
  <c r="C38" i="36"/>
  <c r="A39" i="36"/>
  <c r="B39" i="36"/>
  <c r="C39" i="36"/>
  <c r="F39" i="36"/>
  <c r="A40" i="36"/>
  <c r="B40" i="36"/>
  <c r="C40" i="36"/>
  <c r="F40" i="36" s="1"/>
  <c r="A41" i="36"/>
  <c r="B41" i="36"/>
  <c r="C41" i="36"/>
  <c r="A42" i="36"/>
  <c r="B42" i="36"/>
  <c r="C42" i="36"/>
  <c r="A43" i="36"/>
  <c r="B43" i="36"/>
  <c r="C43" i="36"/>
  <c r="A44" i="36"/>
  <c r="B44" i="36"/>
  <c r="C44" i="36"/>
  <c r="D44" i="36" s="1"/>
  <c r="J44" i="36"/>
  <c r="A45" i="36"/>
  <c r="B45" i="36"/>
  <c r="C45" i="36"/>
  <c r="I45" i="36" s="1"/>
  <c r="D45" i="36"/>
  <c r="E45" i="36"/>
  <c r="F45" i="36"/>
  <c r="G45" i="36"/>
  <c r="H45" i="36"/>
  <c r="J45" i="36"/>
  <c r="A46" i="36"/>
  <c r="B46" i="36"/>
  <c r="C46" i="36"/>
  <c r="E46" i="36" s="1"/>
  <c r="D46" i="36"/>
  <c r="A47" i="36"/>
  <c r="B47" i="36"/>
  <c r="C47" i="36"/>
  <c r="H47" i="36"/>
  <c r="A48" i="36"/>
  <c r="B48" i="36"/>
  <c r="C48" i="36"/>
  <c r="F48" i="36" s="1"/>
  <c r="A49" i="36"/>
  <c r="B49" i="36"/>
  <c r="C49" i="36"/>
  <c r="A50" i="36"/>
  <c r="B50" i="36"/>
  <c r="C50" i="36"/>
  <c r="G50" i="36" s="1"/>
  <c r="E50" i="36"/>
  <c r="F50" i="36"/>
  <c r="H50" i="36"/>
  <c r="A51" i="36"/>
  <c r="B51" i="36"/>
  <c r="C51" i="36"/>
  <c r="G51" i="36" s="1"/>
  <c r="E51" i="36"/>
  <c r="F51" i="36"/>
  <c r="J51" i="36"/>
  <c r="A52" i="36"/>
  <c r="B52" i="36"/>
  <c r="C52" i="36"/>
  <c r="A53" i="36"/>
  <c r="B53" i="36"/>
  <c r="C53" i="36"/>
  <c r="I53" i="36" s="1"/>
  <c r="D53" i="36"/>
  <c r="E53" i="36"/>
  <c r="J53" i="36"/>
  <c r="A54" i="36"/>
  <c r="B54" i="36"/>
  <c r="C54" i="36"/>
  <c r="J54" i="36"/>
  <c r="A55" i="36"/>
  <c r="B55" i="36"/>
  <c r="C55" i="36"/>
  <c r="F55" i="36"/>
  <c r="J55" i="36"/>
  <c r="A56" i="36"/>
  <c r="B56" i="36"/>
  <c r="C56" i="36"/>
  <c r="G56" i="36" s="1"/>
  <c r="F56" i="36"/>
  <c r="A57" i="36"/>
  <c r="B57" i="36"/>
  <c r="C57" i="36"/>
  <c r="H57" i="36" s="1"/>
  <c r="D57" i="36"/>
  <c r="A58" i="36"/>
  <c r="B58" i="36"/>
  <c r="C58" i="36"/>
  <c r="D58" i="36" s="1"/>
  <c r="E58" i="36"/>
  <c r="F58" i="36"/>
  <c r="G58" i="36"/>
  <c r="H58" i="36"/>
  <c r="I58" i="36"/>
  <c r="J58" i="36"/>
  <c r="A59" i="36"/>
  <c r="B59" i="36"/>
  <c r="C59" i="36"/>
  <c r="G59" i="36" s="1"/>
  <c r="F59" i="36"/>
  <c r="J59" i="36"/>
  <c r="A60" i="36"/>
  <c r="B60" i="36"/>
  <c r="C60" i="36"/>
  <c r="A61" i="36"/>
  <c r="B61" i="36"/>
  <c r="C61" i="36"/>
  <c r="F61" i="36"/>
  <c r="A62" i="36"/>
  <c r="B62" i="36"/>
  <c r="C62" i="36"/>
  <c r="D62" i="36" s="1"/>
  <c r="A63" i="36"/>
  <c r="B63" i="36"/>
  <c r="C63" i="36"/>
  <c r="A64" i="36"/>
  <c r="B64" i="36"/>
  <c r="C64" i="36"/>
  <c r="A65" i="36"/>
  <c r="B65" i="36"/>
  <c r="C65" i="36"/>
  <c r="D65" i="36"/>
  <c r="H65" i="36"/>
  <c r="A66" i="36"/>
  <c r="B66" i="36"/>
  <c r="C66" i="36"/>
  <c r="J66" i="36" s="1"/>
  <c r="A67" i="36"/>
  <c r="B67" i="36"/>
  <c r="C67" i="36"/>
  <c r="E67" i="36"/>
  <c r="A68" i="36"/>
  <c r="B68" i="36"/>
  <c r="C68" i="36"/>
  <c r="J68" i="36" s="1"/>
  <c r="G68" i="36"/>
  <c r="A69" i="36"/>
  <c r="B69" i="36"/>
  <c r="C69" i="36"/>
  <c r="J69" i="36" s="1"/>
  <c r="E69" i="36"/>
  <c r="F69" i="36"/>
  <c r="G69" i="36"/>
  <c r="H69" i="36"/>
  <c r="I69" i="36"/>
  <c r="A70" i="36"/>
  <c r="B70" i="36"/>
  <c r="C70" i="36"/>
  <c r="D70" i="36" s="1"/>
  <c r="J70" i="36"/>
  <c r="A71" i="36"/>
  <c r="B71" i="36"/>
  <c r="C71" i="36"/>
  <c r="D71" i="36" s="1"/>
  <c r="F71" i="36"/>
  <c r="G71" i="36"/>
  <c r="H71" i="36"/>
  <c r="I71" i="36"/>
  <c r="J71" i="36"/>
  <c r="A72" i="36"/>
  <c r="B72" i="36"/>
  <c r="C72" i="36"/>
  <c r="D72" i="36" s="1"/>
  <c r="F72" i="36"/>
  <c r="G72" i="36"/>
  <c r="A73" i="36"/>
  <c r="B73" i="36"/>
  <c r="C73" i="36"/>
  <c r="A74" i="36"/>
  <c r="B74" i="36"/>
  <c r="C74" i="36"/>
  <c r="E74" i="36" s="1"/>
  <c r="A75" i="36"/>
  <c r="B75" i="36"/>
  <c r="C75" i="36"/>
  <c r="A76" i="36"/>
  <c r="B76" i="36"/>
  <c r="C76" i="36"/>
  <c r="A77" i="36"/>
  <c r="B77" i="36"/>
  <c r="C77" i="36"/>
  <c r="D77" i="36"/>
  <c r="E77" i="36"/>
  <c r="F77" i="36"/>
  <c r="G77" i="36"/>
  <c r="A78" i="36"/>
  <c r="B78" i="36"/>
  <c r="C78" i="36"/>
  <c r="D78" i="36" s="1"/>
  <c r="E78" i="36"/>
  <c r="A79" i="36"/>
  <c r="B79" i="36"/>
  <c r="C79" i="36"/>
  <c r="F79" i="36"/>
  <c r="G79" i="36"/>
  <c r="H79" i="36"/>
  <c r="A80" i="36"/>
  <c r="B80" i="36"/>
  <c r="C80" i="36"/>
  <c r="J80" i="36" s="1"/>
  <c r="D80" i="36"/>
  <c r="E80" i="36"/>
  <c r="A81" i="36"/>
  <c r="B81" i="36"/>
  <c r="C81" i="36"/>
  <c r="G81" i="36" s="1"/>
  <c r="A82" i="36"/>
  <c r="B82" i="36"/>
  <c r="C82" i="36"/>
  <c r="D82" i="36" s="1"/>
  <c r="F82" i="36"/>
  <c r="G82" i="36"/>
  <c r="H82" i="36"/>
  <c r="I82" i="36"/>
  <c r="J82" i="36"/>
  <c r="A83" i="36"/>
  <c r="B83" i="36"/>
  <c r="C83" i="36"/>
  <c r="I83" i="36" s="1"/>
  <c r="D83" i="36"/>
  <c r="E83" i="36"/>
  <c r="F83" i="36"/>
  <c r="G83" i="36"/>
  <c r="A84" i="36"/>
  <c r="B84" i="36"/>
  <c r="C84" i="36"/>
  <c r="F84" i="36" s="1"/>
  <c r="E84" i="36"/>
  <c r="A85" i="36"/>
  <c r="B85" i="36"/>
  <c r="C85" i="36"/>
  <c r="H85" i="36" s="1"/>
  <c r="D85" i="36"/>
  <c r="A86" i="36"/>
  <c r="B86" i="36"/>
  <c r="C86" i="36"/>
  <c r="H86" i="36" s="1"/>
  <c r="E86" i="36"/>
  <c r="F86" i="36"/>
  <c r="G86" i="36"/>
  <c r="I86" i="36"/>
  <c r="J86" i="36"/>
  <c r="A87" i="36"/>
  <c r="B87" i="36"/>
  <c r="C87" i="36"/>
  <c r="E87" i="36" s="1"/>
  <c r="D87" i="36"/>
  <c r="F87" i="36"/>
  <c r="G87" i="36"/>
  <c r="H87" i="36"/>
  <c r="A88" i="36"/>
  <c r="B88" i="36"/>
  <c r="C88" i="36"/>
  <c r="A89" i="36"/>
  <c r="B89" i="36"/>
  <c r="C89" i="36"/>
  <c r="G89" i="36" s="1"/>
  <c r="A90" i="36"/>
  <c r="B90" i="36"/>
  <c r="C90" i="36"/>
  <c r="I90" i="36"/>
  <c r="J90" i="36"/>
  <c r="A91" i="36"/>
  <c r="B91" i="36"/>
  <c r="C91" i="36"/>
  <c r="A92" i="36"/>
  <c r="B92" i="36"/>
  <c r="C92" i="36"/>
  <c r="F92" i="36" s="1"/>
  <c r="D92" i="36"/>
  <c r="E92" i="36"/>
  <c r="A93" i="36"/>
  <c r="B93" i="36"/>
  <c r="C93" i="36"/>
  <c r="I93" i="36" s="1"/>
  <c r="D93" i="36"/>
  <c r="E93" i="36"/>
  <c r="F93" i="36"/>
  <c r="G93" i="36"/>
  <c r="H93" i="36"/>
  <c r="J93" i="36"/>
  <c r="A94" i="36"/>
  <c r="B94" i="36"/>
  <c r="C94" i="36"/>
  <c r="E94" i="36" s="1"/>
  <c r="F94" i="36"/>
  <c r="G94" i="36"/>
  <c r="A95" i="36"/>
  <c r="B95" i="36"/>
  <c r="C95" i="36"/>
  <c r="H95" i="36" s="1"/>
  <c r="E95" i="36"/>
  <c r="A96" i="36"/>
  <c r="B96" i="36"/>
  <c r="C96" i="36"/>
  <c r="A97" i="36"/>
  <c r="B97" i="36"/>
  <c r="C97" i="36"/>
  <c r="A98" i="36"/>
  <c r="B98" i="36"/>
  <c r="C98" i="36"/>
  <c r="A99" i="36"/>
  <c r="B99" i="36"/>
  <c r="C99" i="36"/>
  <c r="D99" i="36" s="1"/>
  <c r="J99" i="36"/>
  <c r="A100" i="36"/>
  <c r="B100" i="36"/>
  <c r="C100" i="36"/>
  <c r="I100" i="36" s="1"/>
  <c r="D100" i="36"/>
  <c r="E100" i="36"/>
  <c r="F100" i="36"/>
  <c r="G100" i="36"/>
  <c r="H100" i="36"/>
  <c r="J100" i="36"/>
  <c r="A101" i="36"/>
  <c r="B101" i="36"/>
  <c r="C101" i="36"/>
  <c r="F101" i="36" s="1"/>
  <c r="E101" i="36"/>
  <c r="A102" i="36"/>
  <c r="B102" i="36"/>
  <c r="C102" i="36"/>
  <c r="I102" i="36" s="1"/>
  <c r="D102" i="36"/>
  <c r="H102" i="36"/>
  <c r="J102" i="36"/>
  <c r="A103" i="36"/>
  <c r="B103" i="36"/>
  <c r="C103" i="36"/>
  <c r="H103" i="36" s="1"/>
  <c r="E103" i="36"/>
  <c r="F103" i="36"/>
  <c r="G103" i="36"/>
  <c r="A104" i="36"/>
  <c r="B104" i="36"/>
  <c r="C104" i="36"/>
  <c r="A105" i="36"/>
  <c r="B105" i="36"/>
  <c r="C105" i="36"/>
  <c r="J105" i="36" s="1"/>
  <c r="F105" i="36"/>
  <c r="G105" i="36"/>
  <c r="H105" i="36"/>
  <c r="I105" i="36"/>
  <c r="A106" i="36"/>
  <c r="B106" i="36"/>
  <c r="C106" i="36"/>
  <c r="E106" i="36"/>
  <c r="F106" i="36"/>
  <c r="J106" i="36"/>
  <c r="A107" i="36"/>
  <c r="B107" i="36"/>
  <c r="C107" i="36"/>
  <c r="D107" i="36" s="1"/>
  <c r="J107" i="36"/>
  <c r="A108" i="36"/>
  <c r="B108" i="36"/>
  <c r="C108" i="36"/>
  <c r="D108" i="36" s="1"/>
  <c r="A109" i="36"/>
  <c r="B109" i="36"/>
  <c r="C109" i="36"/>
  <c r="F109" i="36" s="1"/>
  <c r="D109" i="36"/>
  <c r="E109" i="36"/>
  <c r="A110" i="36"/>
  <c r="B110" i="36"/>
  <c r="C110" i="36"/>
  <c r="I110" i="36" s="1"/>
  <c r="D110" i="36"/>
  <c r="E110" i="36"/>
  <c r="F110" i="36"/>
  <c r="G110" i="36"/>
  <c r="H110" i="36"/>
  <c r="J110" i="36"/>
  <c r="A111" i="36"/>
  <c r="B111" i="36"/>
  <c r="C111" i="36"/>
  <c r="H111" i="36" s="1"/>
  <c r="F111" i="36"/>
  <c r="G111" i="36"/>
  <c r="A112" i="36"/>
  <c r="B112" i="36"/>
  <c r="C112" i="36"/>
  <c r="A113" i="36"/>
  <c r="B113" i="36"/>
  <c r="C113" i="36"/>
  <c r="E113" i="36"/>
  <c r="F113" i="36"/>
  <c r="H113" i="36"/>
  <c r="A114" i="36"/>
  <c r="B114" i="36"/>
  <c r="C114" i="36"/>
  <c r="A115" i="36"/>
  <c r="B115" i="36"/>
  <c r="C115" i="36"/>
  <c r="J115" i="36"/>
  <c r="A116" i="36"/>
  <c r="B116" i="36"/>
  <c r="C116" i="36"/>
  <c r="I116" i="36" s="1"/>
  <c r="D116" i="36"/>
  <c r="E116" i="36"/>
  <c r="F116" i="36"/>
  <c r="G116" i="36"/>
  <c r="H116" i="36"/>
  <c r="J116" i="36"/>
  <c r="A117" i="36"/>
  <c r="B117" i="36"/>
  <c r="C117" i="36"/>
  <c r="E117" i="36"/>
  <c r="A118" i="36"/>
  <c r="B118" i="36"/>
  <c r="C118" i="36"/>
  <c r="F118" i="36" s="1"/>
  <c r="D118" i="36"/>
  <c r="J118" i="36"/>
  <c r="A119" i="36"/>
  <c r="B119" i="36"/>
  <c r="C119" i="36"/>
  <c r="H119" i="36" s="1"/>
  <c r="E119" i="36"/>
  <c r="F119" i="36"/>
  <c r="G119" i="36"/>
  <c r="A120" i="36"/>
  <c r="B120" i="36"/>
  <c r="C120" i="36"/>
  <c r="A121" i="36"/>
  <c r="B121" i="36"/>
  <c r="C121" i="36"/>
  <c r="I121" i="36" s="1"/>
  <c r="A122" i="36"/>
  <c r="B122" i="36"/>
  <c r="C122" i="36"/>
  <c r="F122" i="36" s="1"/>
  <c r="E122" i="36"/>
  <c r="A123" i="36"/>
  <c r="B123" i="36"/>
  <c r="C123" i="36"/>
  <c r="J123" i="36" s="1"/>
  <c r="I123" i="36"/>
  <c r="A124" i="36"/>
  <c r="B124" i="36"/>
  <c r="C124" i="36"/>
  <c r="D124" i="36" s="1"/>
  <c r="E124" i="36"/>
  <c r="G124" i="36"/>
  <c r="J124" i="36"/>
  <c r="A125" i="36"/>
  <c r="B125" i="36"/>
  <c r="C125" i="36"/>
  <c r="A126" i="36"/>
  <c r="B126" i="36"/>
  <c r="C126" i="36"/>
  <c r="F126" i="36" s="1"/>
  <c r="A127" i="36"/>
  <c r="B127" i="36"/>
  <c r="C127" i="36"/>
  <c r="A128" i="36"/>
  <c r="B128" i="36"/>
  <c r="C128" i="36"/>
  <c r="J128" i="36" s="1"/>
  <c r="D128" i="36"/>
  <c r="H128" i="36"/>
  <c r="I128" i="36"/>
  <c r="A129" i="36"/>
  <c r="B129" i="36"/>
  <c r="C129" i="36"/>
  <c r="H129" i="36"/>
  <c r="A130" i="36"/>
  <c r="B130" i="36"/>
  <c r="C130" i="36"/>
  <c r="E130" i="36" s="1"/>
  <c r="D130" i="36"/>
  <c r="A131" i="36"/>
  <c r="B131" i="36"/>
  <c r="C131" i="36"/>
  <c r="G131" i="36"/>
  <c r="H131" i="36"/>
  <c r="I131" i="36"/>
  <c r="J131" i="36"/>
  <c r="A132" i="36"/>
  <c r="B132" i="36"/>
  <c r="C132" i="36"/>
  <c r="G132" i="36"/>
  <c r="A133" i="36"/>
  <c r="B133" i="36"/>
  <c r="C133" i="36"/>
  <c r="D133" i="36"/>
  <c r="E133" i="36"/>
  <c r="I133" i="36"/>
  <c r="J133" i="36"/>
  <c r="A134" i="36"/>
  <c r="B134" i="36"/>
  <c r="C134" i="36"/>
  <c r="E134" i="36" s="1"/>
  <c r="A135" i="36"/>
  <c r="B135" i="36"/>
  <c r="C135" i="36"/>
  <c r="E135" i="36" s="1"/>
  <c r="D135" i="36"/>
  <c r="A136" i="36"/>
  <c r="B136" i="36"/>
  <c r="C136" i="36"/>
  <c r="A137" i="36"/>
  <c r="B137" i="36"/>
  <c r="C137" i="36"/>
  <c r="G137" i="36" s="1"/>
  <c r="E137" i="36"/>
  <c r="F137" i="36"/>
  <c r="H137" i="36"/>
  <c r="A138" i="36"/>
  <c r="B138" i="36"/>
  <c r="C138" i="36"/>
  <c r="E138" i="36" s="1"/>
  <c r="D138" i="36"/>
  <c r="A139" i="36"/>
  <c r="B139" i="36"/>
  <c r="C139" i="36"/>
  <c r="A140" i="36"/>
  <c r="B140" i="36"/>
  <c r="C140" i="36"/>
  <c r="D140" i="36" s="1"/>
  <c r="E140" i="36"/>
  <c r="F140" i="36"/>
  <c r="G140" i="36"/>
  <c r="A141" i="36"/>
  <c r="B141" i="36"/>
  <c r="C141" i="36"/>
  <c r="A142" i="36"/>
  <c r="B142" i="36"/>
  <c r="C142" i="36"/>
  <c r="E142" i="36"/>
  <c r="H142" i="36"/>
  <c r="I142" i="36"/>
  <c r="A143" i="36"/>
  <c r="B143" i="36"/>
  <c r="C143" i="36"/>
  <c r="E143" i="36" s="1"/>
  <c r="A144" i="36"/>
  <c r="B144" i="36"/>
  <c r="C144" i="36"/>
  <c r="D144" i="36"/>
  <c r="H144" i="36"/>
  <c r="I144" i="36"/>
  <c r="J144" i="36"/>
  <c r="A145" i="36"/>
  <c r="B145" i="36"/>
  <c r="C145" i="36"/>
  <c r="F145" i="36" s="1"/>
  <c r="H145" i="36"/>
  <c r="I145" i="36"/>
  <c r="A146" i="36"/>
  <c r="B146" i="36"/>
  <c r="C146" i="36"/>
  <c r="E146" i="36" s="1"/>
  <c r="A147" i="36"/>
  <c r="B147" i="36"/>
  <c r="C147" i="36"/>
  <c r="G147" i="36"/>
  <c r="A148" i="36"/>
  <c r="B148" i="36"/>
  <c r="C148" i="36"/>
  <c r="D148" i="36" s="1"/>
  <c r="E148" i="36"/>
  <c r="G148" i="36"/>
  <c r="J148" i="36"/>
  <c r="A149" i="36"/>
  <c r="B149" i="36"/>
  <c r="C149" i="36"/>
  <c r="A150" i="36"/>
  <c r="B150" i="36"/>
  <c r="C150" i="36"/>
  <c r="E150" i="36"/>
  <c r="G150" i="36"/>
  <c r="A151" i="36"/>
  <c r="B151" i="36"/>
  <c r="C151" i="36"/>
  <c r="A152" i="36"/>
  <c r="B152" i="36"/>
  <c r="C152" i="36"/>
  <c r="E152" i="36" s="1"/>
  <c r="D152" i="36"/>
  <c r="A153" i="36"/>
  <c r="B153" i="36"/>
  <c r="C153" i="36"/>
  <c r="J153" i="36" s="1"/>
  <c r="H153" i="36"/>
  <c r="I153" i="36"/>
  <c r="A154" i="36"/>
  <c r="B154" i="36"/>
  <c r="C154" i="36"/>
  <c r="E154" i="36" s="1"/>
  <c r="H154" i="36"/>
  <c r="J154" i="36"/>
  <c r="A155" i="36"/>
  <c r="B155" i="36"/>
  <c r="C155" i="36"/>
  <c r="H155" i="36" s="1"/>
  <c r="D155" i="36"/>
  <c r="E155" i="36"/>
  <c r="F155" i="36"/>
  <c r="G155" i="36"/>
  <c r="J155" i="36"/>
  <c r="A156" i="36"/>
  <c r="B156" i="36"/>
  <c r="C156" i="36"/>
  <c r="A157" i="36"/>
  <c r="B157" i="36"/>
  <c r="C157" i="36"/>
  <c r="E157" i="36"/>
  <c r="F157" i="36"/>
  <c r="A158" i="36"/>
  <c r="B158" i="36"/>
  <c r="C158" i="36"/>
  <c r="E158" i="36"/>
  <c r="A159" i="36"/>
  <c r="B159" i="36"/>
  <c r="C159" i="36"/>
  <c r="D159" i="36" s="1"/>
  <c r="H159" i="36"/>
  <c r="I159" i="36"/>
  <c r="J159" i="36"/>
  <c r="A160" i="36"/>
  <c r="B160" i="36"/>
  <c r="C160" i="36"/>
  <c r="F160" i="36" s="1"/>
  <c r="G160" i="36"/>
  <c r="H160" i="36"/>
  <c r="A161" i="36"/>
  <c r="B161" i="36"/>
  <c r="C161" i="36"/>
  <c r="A162" i="36"/>
  <c r="B162" i="36"/>
  <c r="C162" i="36"/>
  <c r="D162" i="36"/>
  <c r="F162" i="36"/>
  <c r="G162" i="36"/>
  <c r="J162" i="36"/>
  <c r="A163" i="36"/>
  <c r="B163" i="36"/>
  <c r="C163" i="36"/>
  <c r="H163" i="36" s="1"/>
  <c r="D163" i="36"/>
  <c r="E163" i="36"/>
  <c r="F163" i="36"/>
  <c r="A164" i="36"/>
  <c r="B164" i="36"/>
  <c r="C164" i="36"/>
  <c r="A165" i="36"/>
  <c r="B165" i="36"/>
  <c r="C165" i="36"/>
  <c r="F165" i="36"/>
  <c r="G165" i="36"/>
  <c r="H165" i="36"/>
  <c r="A166" i="36"/>
  <c r="B166" i="36"/>
  <c r="C166" i="36"/>
  <c r="G166" i="36" s="1"/>
  <c r="E166" i="36"/>
  <c r="A167" i="36"/>
  <c r="B167" i="36"/>
  <c r="C167" i="36"/>
  <c r="D167" i="36" s="1"/>
  <c r="H167" i="36"/>
  <c r="I167" i="36"/>
  <c r="J167" i="36"/>
  <c r="A168" i="36"/>
  <c r="B168" i="36"/>
  <c r="C168" i="36"/>
  <c r="D168" i="36"/>
  <c r="F168" i="36"/>
  <c r="G168" i="36"/>
  <c r="A169" i="36"/>
  <c r="B169" i="36"/>
  <c r="C169" i="36"/>
  <c r="F169" i="36" s="1"/>
  <c r="D169" i="36"/>
  <c r="A170" i="36"/>
  <c r="B170" i="36"/>
  <c r="C170" i="36"/>
  <c r="A171" i="36"/>
  <c r="B171" i="36"/>
  <c r="C171" i="36"/>
  <c r="H171" i="36" s="1"/>
  <c r="D171" i="36"/>
  <c r="E171" i="36"/>
  <c r="F171" i="36"/>
  <c r="G171" i="36"/>
  <c r="A172" i="36"/>
  <c r="B172" i="36"/>
  <c r="C172" i="36"/>
  <c r="A173" i="36"/>
  <c r="B173" i="36"/>
  <c r="C173" i="36"/>
  <c r="D173" i="36" s="1"/>
  <c r="A174" i="36"/>
  <c r="B174" i="36"/>
  <c r="C174" i="36"/>
  <c r="E174" i="36"/>
  <c r="A175" i="36"/>
  <c r="B175" i="36"/>
  <c r="C175" i="36"/>
  <c r="D175" i="36" s="1"/>
  <c r="H175" i="36"/>
  <c r="I175" i="36"/>
  <c r="J175" i="36"/>
  <c r="A176" i="36"/>
  <c r="B176" i="36"/>
  <c r="C176" i="36"/>
  <c r="F176" i="36" s="1"/>
  <c r="A177" i="36"/>
  <c r="B177" i="36"/>
  <c r="C177" i="36"/>
  <c r="A178" i="36"/>
  <c r="B178" i="36"/>
  <c r="C178" i="36"/>
  <c r="E178" i="36" s="1"/>
  <c r="H178" i="36"/>
  <c r="A179" i="36"/>
  <c r="B179" i="36"/>
  <c r="C179" i="36"/>
  <c r="A180" i="36"/>
  <c r="B180" i="36"/>
  <c r="C180" i="36"/>
  <c r="A181" i="36"/>
  <c r="B181" i="36"/>
  <c r="C181" i="36"/>
  <c r="A182" i="36"/>
  <c r="B182" i="36"/>
  <c r="C182" i="36"/>
  <c r="G182" i="36" s="1"/>
  <c r="E182" i="36"/>
  <c r="A183" i="36"/>
  <c r="B183" i="36"/>
  <c r="C183" i="36"/>
  <c r="D183" i="36" s="1"/>
  <c r="H183" i="36"/>
  <c r="I183" i="36"/>
  <c r="J183" i="36"/>
  <c r="A184" i="36"/>
  <c r="B184" i="36"/>
  <c r="C184" i="36"/>
  <c r="D184" i="36" s="1"/>
  <c r="A185" i="36"/>
  <c r="B185" i="36"/>
  <c r="C185" i="36"/>
  <c r="D185" i="36" s="1"/>
  <c r="A186" i="36"/>
  <c r="B186" i="36"/>
  <c r="C186" i="36"/>
  <c r="E186" i="36" s="1"/>
  <c r="I186" i="36"/>
  <c r="A187" i="36"/>
  <c r="B187" i="36"/>
  <c r="C187" i="36"/>
  <c r="F187" i="36" s="1"/>
  <c r="A188" i="36"/>
  <c r="B188" i="36"/>
  <c r="C188" i="36"/>
  <c r="J188" i="36"/>
  <c r="A189" i="36"/>
  <c r="B189" i="36"/>
  <c r="C189" i="36"/>
  <c r="D189" i="36" s="1"/>
  <c r="G189" i="36"/>
  <c r="A190" i="36"/>
  <c r="B190" i="36"/>
  <c r="C190" i="36"/>
  <c r="E190" i="36" s="1"/>
  <c r="A191" i="36"/>
  <c r="B191" i="36"/>
  <c r="C191" i="36"/>
  <c r="D191" i="36" s="1"/>
  <c r="H191" i="36"/>
  <c r="I191" i="36"/>
  <c r="J191" i="36"/>
  <c r="A192" i="36"/>
  <c r="B192" i="36"/>
  <c r="C192" i="36"/>
  <c r="F192" i="36"/>
  <c r="G192" i="36"/>
  <c r="H192" i="36"/>
  <c r="A193" i="36"/>
  <c r="B193" i="36"/>
  <c r="C193" i="36"/>
  <c r="D193" i="36" s="1"/>
  <c r="A194" i="36"/>
  <c r="B194" i="36"/>
  <c r="C194" i="36"/>
  <c r="F194" i="36" s="1"/>
  <c r="E194" i="36"/>
  <c r="H194" i="36"/>
  <c r="I194" i="36"/>
  <c r="A195" i="36"/>
  <c r="B195" i="36"/>
  <c r="C195" i="36"/>
  <c r="D195" i="36"/>
  <c r="F195" i="36"/>
  <c r="G195" i="36"/>
  <c r="A196" i="36"/>
  <c r="B196" i="36"/>
  <c r="C196" i="36"/>
  <c r="I196" i="36" s="1"/>
  <c r="A197" i="36"/>
  <c r="B197" i="36"/>
  <c r="C197" i="36"/>
  <c r="F197" i="36"/>
  <c r="G197" i="36"/>
  <c r="H197" i="36"/>
  <c r="J197" i="36"/>
  <c r="A198" i="36"/>
  <c r="B198" i="36"/>
  <c r="C198" i="36"/>
  <c r="D198" i="36"/>
  <c r="E198" i="36"/>
  <c r="A199" i="36"/>
  <c r="B199" i="36"/>
  <c r="C199" i="36"/>
  <c r="H199" i="36" s="1"/>
  <c r="A200" i="36"/>
  <c r="B200" i="36"/>
  <c r="C200" i="36"/>
  <c r="E200" i="36"/>
  <c r="F200" i="36"/>
  <c r="A201" i="36"/>
  <c r="B201" i="36"/>
  <c r="C201" i="36"/>
  <c r="D201" i="36" s="1"/>
  <c r="J201" i="36"/>
  <c r="A202" i="36"/>
  <c r="B202" i="36"/>
  <c r="C202" i="36"/>
  <c r="D202" i="36" s="1"/>
  <c r="E202" i="36"/>
  <c r="F202" i="36"/>
  <c r="G202" i="36"/>
  <c r="H202" i="36"/>
  <c r="I202" i="36"/>
  <c r="J202" i="36"/>
  <c r="A203" i="36"/>
  <c r="B203" i="36"/>
  <c r="C203" i="36"/>
  <c r="A204" i="36"/>
  <c r="B204" i="36"/>
  <c r="C204" i="36"/>
  <c r="D204" i="36" s="1"/>
  <c r="A205" i="36"/>
  <c r="B205" i="36"/>
  <c r="C205" i="36"/>
  <c r="E205" i="36" s="1"/>
  <c r="J205" i="36"/>
  <c r="A206" i="36"/>
  <c r="B206" i="36"/>
  <c r="C206" i="36"/>
  <c r="A207" i="36"/>
  <c r="B207" i="36"/>
  <c r="C207" i="36"/>
  <c r="G207" i="36" s="1"/>
  <c r="J207" i="36"/>
  <c r="A208" i="36"/>
  <c r="B208" i="36"/>
  <c r="C208" i="36"/>
  <c r="A209" i="36"/>
  <c r="B209" i="36"/>
  <c r="C209" i="36"/>
  <c r="I209" i="36"/>
  <c r="J209" i="36"/>
  <c r="A210" i="36"/>
  <c r="B210" i="36"/>
  <c r="C210" i="36"/>
  <c r="E210" i="36"/>
  <c r="H210" i="36"/>
  <c r="I210" i="36"/>
  <c r="J210" i="36"/>
  <c r="A211" i="36"/>
  <c r="B211" i="36"/>
  <c r="C211" i="36"/>
  <c r="F211" i="36" s="1"/>
  <c r="J211" i="36"/>
  <c r="A212" i="36"/>
  <c r="B212" i="36"/>
  <c r="C212" i="36"/>
  <c r="A213" i="36"/>
  <c r="B213" i="36"/>
  <c r="C213" i="36"/>
  <c r="D213" i="36"/>
  <c r="F213" i="36"/>
  <c r="G213" i="36"/>
  <c r="J213" i="36"/>
  <c r="A214" i="36"/>
  <c r="B214" i="36"/>
  <c r="C214" i="36"/>
  <c r="A215" i="36"/>
  <c r="B215" i="36"/>
  <c r="C215" i="36"/>
  <c r="F215" i="36" s="1"/>
  <c r="A216" i="36"/>
  <c r="B216" i="36"/>
  <c r="C216" i="36"/>
  <c r="A217" i="36"/>
  <c r="B217" i="36"/>
  <c r="C217" i="36"/>
  <c r="H217" i="36" s="1"/>
  <c r="I217" i="36"/>
  <c r="A218" i="36"/>
  <c r="B218" i="36"/>
  <c r="C218" i="36"/>
  <c r="E218" i="36" s="1"/>
  <c r="H218" i="36"/>
  <c r="A219" i="36"/>
  <c r="B219" i="36"/>
  <c r="C219" i="36"/>
  <c r="A220" i="36"/>
  <c r="B220" i="36"/>
  <c r="C220" i="36"/>
  <c r="D220" i="36" s="1"/>
  <c r="G220" i="36"/>
  <c r="H220" i="36"/>
  <c r="A221" i="36"/>
  <c r="B221" i="36"/>
  <c r="C221" i="36"/>
  <c r="A222" i="36"/>
  <c r="B222" i="36"/>
  <c r="C222" i="36"/>
  <c r="H222" i="36" s="1"/>
  <c r="A223" i="36"/>
  <c r="B223" i="36"/>
  <c r="C223" i="36"/>
  <c r="G223" i="36" s="1"/>
  <c r="A224" i="36"/>
  <c r="B224" i="36"/>
  <c r="C224" i="36"/>
  <c r="A225" i="36"/>
  <c r="B225" i="36"/>
  <c r="C225" i="36"/>
  <c r="G225" i="36" s="1"/>
  <c r="E225" i="36"/>
  <c r="J225" i="36"/>
  <c r="A226" i="36"/>
  <c r="B226" i="36"/>
  <c r="C226" i="36"/>
  <c r="G226" i="36"/>
  <c r="A227" i="36"/>
  <c r="B227" i="36"/>
  <c r="C227" i="36"/>
  <c r="D227" i="36"/>
  <c r="F227" i="36"/>
  <c r="G227" i="36"/>
  <c r="A228" i="36"/>
  <c r="B228" i="36"/>
  <c r="C228" i="36"/>
  <c r="E228" i="36" s="1"/>
  <c r="A229" i="36"/>
  <c r="B229" i="36"/>
  <c r="C229" i="36"/>
  <c r="D229" i="36"/>
  <c r="E229" i="36"/>
  <c r="G229" i="36"/>
  <c r="H229" i="36"/>
  <c r="A230" i="36"/>
  <c r="B230" i="36"/>
  <c r="C230" i="36"/>
  <c r="A231" i="36"/>
  <c r="B231" i="36"/>
  <c r="C231" i="36"/>
  <c r="A232" i="36"/>
  <c r="B232" i="36"/>
  <c r="C232" i="36"/>
  <c r="E232" i="36"/>
  <c r="G232" i="36"/>
  <c r="H232" i="36"/>
  <c r="A233" i="36"/>
  <c r="B233" i="36"/>
  <c r="C233" i="36"/>
  <c r="D233" i="36" s="1"/>
  <c r="A234" i="36"/>
  <c r="B234" i="36"/>
  <c r="C234" i="36"/>
  <c r="D234" i="36" s="1"/>
  <c r="G234" i="36"/>
  <c r="A235" i="36"/>
  <c r="B235" i="36"/>
  <c r="C235" i="36"/>
  <c r="G235" i="36" s="1"/>
  <c r="F235" i="36"/>
  <c r="H235" i="36"/>
  <c r="A236" i="36"/>
  <c r="B236" i="36"/>
  <c r="C236" i="36"/>
  <c r="F236" i="36" s="1"/>
  <c r="E236" i="36"/>
  <c r="I236" i="36"/>
  <c r="A237" i="36"/>
  <c r="B237" i="36"/>
  <c r="C237" i="36"/>
  <c r="D237" i="36"/>
  <c r="A238" i="36"/>
  <c r="B238" i="36"/>
  <c r="C238" i="36"/>
  <c r="A239" i="36"/>
  <c r="B239" i="36"/>
  <c r="C239" i="36"/>
  <c r="A240" i="36"/>
  <c r="B240" i="36"/>
  <c r="C240" i="36"/>
  <c r="H240" i="36" s="1"/>
  <c r="E240" i="36"/>
  <c r="I240" i="36"/>
  <c r="A241" i="36"/>
  <c r="B241" i="36"/>
  <c r="C241" i="36"/>
  <c r="D241" i="36" s="1"/>
  <c r="A242" i="36"/>
  <c r="B242" i="36"/>
  <c r="C242" i="36"/>
  <c r="D242" i="36" s="1"/>
  <c r="G242" i="36"/>
  <c r="J242" i="36"/>
  <c r="A243" i="36"/>
  <c r="B243" i="36"/>
  <c r="C243" i="36"/>
  <c r="E243" i="36" s="1"/>
  <c r="D243" i="36"/>
  <c r="G243" i="36"/>
  <c r="H243" i="36"/>
  <c r="A244" i="36"/>
  <c r="B244" i="36"/>
  <c r="C244" i="36"/>
  <c r="E244" i="36"/>
  <c r="I244" i="36"/>
  <c r="A245" i="36"/>
  <c r="B245" i="36"/>
  <c r="C245" i="36"/>
  <c r="A246" i="36"/>
  <c r="B246" i="36"/>
  <c r="C246" i="36"/>
  <c r="F246" i="36"/>
  <c r="A247" i="36"/>
  <c r="B247" i="36"/>
  <c r="C247" i="36"/>
  <c r="H247" i="36" s="1"/>
  <c r="A248" i="36"/>
  <c r="B248" i="36"/>
  <c r="C248" i="36"/>
  <c r="E248" i="36"/>
  <c r="G248" i="36"/>
  <c r="H248" i="36"/>
  <c r="A249" i="36"/>
  <c r="B249" i="36"/>
  <c r="C249" i="36"/>
  <c r="F249" i="36" s="1"/>
  <c r="D249" i="36"/>
  <c r="J249" i="36"/>
  <c r="A250" i="36"/>
  <c r="B250" i="36"/>
  <c r="C250" i="36"/>
  <c r="A251" i="36"/>
  <c r="B251" i="36"/>
  <c r="C251" i="36"/>
  <c r="D251" i="36"/>
  <c r="E251" i="36"/>
  <c r="F251" i="36"/>
  <c r="G251" i="36"/>
  <c r="H251" i="36"/>
  <c r="I251" i="36"/>
  <c r="J251" i="36"/>
  <c r="A252" i="36"/>
  <c r="B252" i="36"/>
  <c r="C252" i="36"/>
  <c r="I252" i="36"/>
  <c r="A253" i="36"/>
  <c r="B253" i="36"/>
  <c r="C253" i="36"/>
  <c r="E253" i="36" s="1"/>
  <c r="D253" i="36"/>
  <c r="F253" i="36"/>
  <c r="G253" i="36"/>
  <c r="H253" i="36"/>
  <c r="I253" i="36"/>
  <c r="J253" i="36"/>
  <c r="A254" i="36"/>
  <c r="B254" i="36"/>
  <c r="C254" i="36"/>
  <c r="G254" i="36" s="1"/>
  <c r="F254" i="36"/>
  <c r="A255" i="36"/>
  <c r="B255" i="36"/>
  <c r="C255" i="36"/>
  <c r="A256" i="36"/>
  <c r="B256" i="36"/>
  <c r="C256" i="36"/>
  <c r="G256" i="36" s="1"/>
  <c r="H256" i="36"/>
  <c r="I256" i="36"/>
  <c r="A257" i="36"/>
  <c r="B257" i="36"/>
  <c r="C257" i="36"/>
  <c r="F257" i="36"/>
  <c r="J257" i="36"/>
  <c r="A258" i="36"/>
  <c r="B258" i="36"/>
  <c r="C258" i="36"/>
  <c r="G258" i="36" s="1"/>
  <c r="A259" i="36"/>
  <c r="B259" i="36"/>
  <c r="C259" i="36"/>
  <c r="G259" i="36" s="1"/>
  <c r="D259" i="36"/>
  <c r="E259" i="36"/>
  <c r="F259" i="36"/>
  <c r="H259" i="36"/>
  <c r="I259" i="36"/>
  <c r="J259" i="36"/>
  <c r="A260" i="36"/>
  <c r="B260" i="36"/>
  <c r="C260" i="36"/>
  <c r="I260" i="36" s="1"/>
  <c r="D260" i="36"/>
  <c r="A261" i="36"/>
  <c r="B261" i="36"/>
  <c r="C261" i="36"/>
  <c r="E261" i="36" s="1"/>
  <c r="D261" i="36"/>
  <c r="F261" i="36"/>
  <c r="G261" i="36"/>
  <c r="H261" i="36"/>
  <c r="I261" i="36"/>
  <c r="J261" i="36"/>
  <c r="A262" i="36"/>
  <c r="B262" i="36"/>
  <c r="C262" i="36"/>
  <c r="F262" i="36" s="1"/>
  <c r="A263" i="36"/>
  <c r="B263" i="36"/>
  <c r="C263" i="36"/>
  <c r="H263" i="36" s="1"/>
  <c r="D263" i="36"/>
  <c r="A264" i="36"/>
  <c r="B264" i="36"/>
  <c r="C264" i="36"/>
  <c r="E264" i="36" s="1"/>
  <c r="H264" i="36"/>
  <c r="A265" i="36"/>
  <c r="B265" i="36"/>
  <c r="C265" i="36"/>
  <c r="D265" i="36" s="1"/>
  <c r="A266" i="36"/>
  <c r="B266" i="36"/>
  <c r="C266" i="36"/>
  <c r="G266" i="36"/>
  <c r="J266" i="36"/>
  <c r="A267" i="36"/>
  <c r="B267" i="36"/>
  <c r="C267" i="36"/>
  <c r="E267" i="36" s="1"/>
  <c r="D267" i="36"/>
  <c r="G267" i="36"/>
  <c r="H267" i="36"/>
  <c r="I267" i="36"/>
  <c r="A268" i="36"/>
  <c r="B268" i="36"/>
  <c r="C268" i="36"/>
  <c r="I268" i="36" s="1"/>
  <c r="E268" i="36"/>
  <c r="A269" i="36"/>
  <c r="B269" i="36"/>
  <c r="C269" i="36"/>
  <c r="D269" i="36" s="1"/>
  <c r="I269" i="36"/>
  <c r="A270" i="36"/>
  <c r="B270" i="36"/>
  <c r="C270" i="36"/>
  <c r="F270" i="36" s="1"/>
  <c r="A271" i="36"/>
  <c r="B271" i="36"/>
  <c r="C271" i="36"/>
  <c r="D271" i="36"/>
  <c r="A272" i="36"/>
  <c r="B272" i="36"/>
  <c r="C272" i="36"/>
  <c r="A273" i="36"/>
  <c r="B273" i="36"/>
  <c r="C273" i="36"/>
  <c r="D273" i="36"/>
  <c r="A274" i="36"/>
  <c r="B274" i="36"/>
  <c r="C274" i="36"/>
  <c r="G274" i="36"/>
  <c r="J274" i="36"/>
  <c r="A275" i="36"/>
  <c r="B275" i="36"/>
  <c r="C275" i="36"/>
  <c r="D275" i="36" s="1"/>
  <c r="G275" i="36"/>
  <c r="I275" i="36"/>
  <c r="A276" i="36"/>
  <c r="B276" i="36"/>
  <c r="C276" i="36"/>
  <c r="E276" i="36" s="1"/>
  <c r="A277" i="36"/>
  <c r="B277" i="36"/>
  <c r="C277" i="36"/>
  <c r="D277" i="36"/>
  <c r="A278" i="36"/>
  <c r="B278" i="36"/>
  <c r="C278" i="36"/>
  <c r="G278" i="36" s="1"/>
  <c r="F278" i="36"/>
  <c r="A279" i="36"/>
  <c r="B279" i="36"/>
  <c r="C279" i="36"/>
  <c r="D279" i="36" s="1"/>
  <c r="A280" i="36"/>
  <c r="B280" i="36"/>
  <c r="C280" i="36"/>
  <c r="E280" i="36"/>
  <c r="G280" i="36"/>
  <c r="H280" i="36"/>
  <c r="I280" i="36"/>
  <c r="A281" i="36"/>
  <c r="B281" i="36"/>
  <c r="C281" i="36"/>
  <c r="G281" i="36" s="1"/>
  <c r="E281" i="36"/>
  <c r="F281" i="36"/>
  <c r="A282" i="36"/>
  <c r="B282" i="36"/>
  <c r="C282" i="36"/>
  <c r="A283" i="36"/>
  <c r="B283" i="36"/>
  <c r="C283" i="36"/>
  <c r="E283" i="36" s="1"/>
  <c r="D283" i="36"/>
  <c r="A284" i="36"/>
  <c r="B284" i="36"/>
  <c r="C284" i="36"/>
  <c r="F284" i="36" s="1"/>
  <c r="A285" i="36"/>
  <c r="B285" i="36"/>
  <c r="C285" i="36"/>
  <c r="E285" i="36" s="1"/>
  <c r="D285" i="36"/>
  <c r="A286" i="36"/>
  <c r="B286" i="36"/>
  <c r="C286" i="36"/>
  <c r="A287" i="36"/>
  <c r="B287" i="36"/>
  <c r="C287" i="36"/>
  <c r="H287" i="36" s="1"/>
  <c r="D287" i="36"/>
  <c r="A288" i="36"/>
  <c r="B288" i="36"/>
  <c r="C288" i="36"/>
  <c r="J288" i="36" s="1"/>
  <c r="H288" i="36"/>
  <c r="A289" i="36"/>
  <c r="B289" i="36"/>
  <c r="C289" i="36"/>
  <c r="G289" i="36" s="1"/>
  <c r="J289" i="36"/>
  <c r="A290" i="36"/>
  <c r="B290" i="36"/>
  <c r="C290" i="36"/>
  <c r="G290" i="36" s="1"/>
  <c r="A291" i="36"/>
  <c r="B291" i="36"/>
  <c r="C291" i="36"/>
  <c r="D291" i="36"/>
  <c r="E291" i="36"/>
  <c r="F291" i="36"/>
  <c r="G291" i="36"/>
  <c r="H291" i="36"/>
  <c r="I291" i="36"/>
  <c r="J291" i="36"/>
  <c r="A292" i="36"/>
  <c r="B292" i="36"/>
  <c r="C292" i="36"/>
  <c r="F292" i="36" s="1"/>
  <c r="E292" i="36"/>
  <c r="I292" i="36"/>
  <c r="A293" i="36"/>
  <c r="B293" i="36"/>
  <c r="C293" i="36"/>
  <c r="E293" i="36" s="1"/>
  <c r="D293" i="36"/>
  <c r="F293" i="36"/>
  <c r="G293" i="36"/>
  <c r="H293" i="36"/>
  <c r="I293" i="36"/>
  <c r="J293" i="36"/>
  <c r="A294" i="36"/>
  <c r="B294" i="36"/>
  <c r="C294" i="36"/>
  <c r="F294" i="36"/>
  <c r="A295" i="36"/>
  <c r="B295" i="36"/>
  <c r="C295" i="36"/>
  <c r="A296" i="36"/>
  <c r="B296" i="36"/>
  <c r="C296" i="36"/>
  <c r="J296" i="36" s="1"/>
  <c r="E296" i="36"/>
  <c r="G296" i="36"/>
  <c r="H296" i="36"/>
  <c r="I296" i="36"/>
  <c r="A297" i="36"/>
  <c r="B297" i="36"/>
  <c r="C297" i="36"/>
  <c r="G297" i="36" s="1"/>
  <c r="D297" i="36"/>
  <c r="F297" i="36"/>
  <c r="J297" i="36"/>
  <c r="A298" i="36"/>
  <c r="B298" i="36"/>
  <c r="C298" i="36"/>
  <c r="G298" i="36"/>
  <c r="J298" i="36"/>
  <c r="A299" i="36"/>
  <c r="B299" i="36"/>
  <c r="C299" i="36"/>
  <c r="A300" i="36"/>
  <c r="B300" i="36"/>
  <c r="C300" i="36"/>
  <c r="F300" i="36" s="1"/>
  <c r="I300" i="36"/>
  <c r="A301" i="36"/>
  <c r="B301" i="36"/>
  <c r="C301" i="36"/>
  <c r="A302" i="36"/>
  <c r="B302" i="36"/>
  <c r="C302" i="36"/>
  <c r="F302" i="36" s="1"/>
  <c r="A303" i="36"/>
  <c r="B303" i="36"/>
  <c r="C303" i="36"/>
  <c r="D303" i="36"/>
  <c r="A304" i="36"/>
  <c r="B304" i="36"/>
  <c r="C304" i="36"/>
  <c r="A305" i="36"/>
  <c r="B305" i="36"/>
  <c r="C305" i="36"/>
  <c r="A306" i="36"/>
  <c r="B306" i="36"/>
  <c r="C306" i="36"/>
  <c r="G306" i="36"/>
  <c r="A307" i="36"/>
  <c r="B307" i="36"/>
  <c r="C307" i="36"/>
  <c r="G307" i="36" s="1"/>
  <c r="E307" i="36"/>
  <c r="F307" i="36"/>
  <c r="A308" i="36"/>
  <c r="B308" i="36"/>
  <c r="C308" i="36"/>
  <c r="D308" i="36"/>
  <c r="A13" i="34"/>
  <c r="B13" i="34"/>
  <c r="D13" i="34"/>
  <c r="A14" i="34"/>
  <c r="B14" i="34"/>
  <c r="D14" i="34"/>
  <c r="A15" i="34"/>
  <c r="B15" i="34"/>
  <c r="D15" i="34"/>
  <c r="A16" i="34"/>
  <c r="B16" i="34"/>
  <c r="D16" i="34"/>
  <c r="A17" i="34"/>
  <c r="B17" i="34"/>
  <c r="D17" i="34"/>
  <c r="A18" i="34"/>
  <c r="B18" i="34"/>
  <c r="D18" i="34"/>
  <c r="A19" i="34"/>
  <c r="B19" i="34"/>
  <c r="D19" i="34"/>
  <c r="A20" i="34"/>
  <c r="B20" i="34"/>
  <c r="D20" i="34"/>
  <c r="A21" i="34"/>
  <c r="B21" i="34"/>
  <c r="D21" i="34"/>
  <c r="A22" i="34"/>
  <c r="B22" i="34"/>
  <c r="D22" i="34"/>
  <c r="A23" i="34"/>
  <c r="B23" i="34"/>
  <c r="D23" i="34"/>
  <c r="A24" i="34"/>
  <c r="B24" i="34"/>
  <c r="D24" i="34"/>
  <c r="A25" i="34"/>
  <c r="B25" i="34"/>
  <c r="D25" i="34"/>
  <c r="A26" i="34"/>
  <c r="B26" i="34"/>
  <c r="D26" i="34"/>
  <c r="A27" i="34"/>
  <c r="B27" i="34"/>
  <c r="D27" i="34"/>
  <c r="A28" i="34"/>
  <c r="B28" i="34"/>
  <c r="D28" i="34"/>
  <c r="A29" i="34"/>
  <c r="B29" i="34"/>
  <c r="D29" i="34"/>
  <c r="A30" i="34"/>
  <c r="B30" i="34"/>
  <c r="D30" i="34"/>
  <c r="A31" i="34"/>
  <c r="B31" i="34"/>
  <c r="D31" i="34"/>
  <c r="A32" i="34"/>
  <c r="B32" i="34"/>
  <c r="D32" i="34"/>
  <c r="A33" i="34"/>
  <c r="B33" i="34"/>
  <c r="D33" i="34"/>
  <c r="A34" i="34"/>
  <c r="B34" i="34"/>
  <c r="D34" i="34"/>
  <c r="A35" i="34"/>
  <c r="B35" i="34"/>
  <c r="D35" i="34"/>
  <c r="A36" i="34"/>
  <c r="B36" i="34"/>
  <c r="D36" i="34"/>
  <c r="A37" i="34"/>
  <c r="B37" i="34"/>
  <c r="D37" i="34"/>
  <c r="A38" i="34"/>
  <c r="B38" i="34"/>
  <c r="D38" i="34"/>
  <c r="A39" i="34"/>
  <c r="B39" i="34"/>
  <c r="D39" i="34"/>
  <c r="A40" i="34"/>
  <c r="B40" i="34"/>
  <c r="D40" i="34"/>
  <c r="A41" i="34"/>
  <c r="B41" i="34"/>
  <c r="D41" i="34"/>
  <c r="A42" i="34"/>
  <c r="B42" i="34"/>
  <c r="D42" i="34"/>
  <c r="A43" i="34"/>
  <c r="B43" i="34"/>
  <c r="D43" i="34"/>
  <c r="A44" i="34"/>
  <c r="B44" i="34"/>
  <c r="D44" i="34"/>
  <c r="A45" i="34"/>
  <c r="B45" i="34"/>
  <c r="D45" i="34"/>
  <c r="A46" i="34"/>
  <c r="B46" i="34"/>
  <c r="D46" i="34"/>
  <c r="A47" i="34"/>
  <c r="B47" i="34"/>
  <c r="D47" i="34"/>
  <c r="A48" i="34"/>
  <c r="B48" i="34"/>
  <c r="D48" i="34"/>
  <c r="A49" i="34"/>
  <c r="B49" i="34"/>
  <c r="D49" i="34"/>
  <c r="A50" i="34"/>
  <c r="B50" i="34"/>
  <c r="D50" i="34"/>
  <c r="A51" i="34"/>
  <c r="B51" i="34"/>
  <c r="D51" i="34"/>
  <c r="A52" i="34"/>
  <c r="B52" i="34"/>
  <c r="D52" i="34"/>
  <c r="A53" i="34"/>
  <c r="B53" i="34"/>
  <c r="D53" i="34"/>
  <c r="A54" i="34"/>
  <c r="B54" i="34"/>
  <c r="D54" i="34"/>
  <c r="A55" i="34"/>
  <c r="B55" i="34"/>
  <c r="D55" i="34"/>
  <c r="A56" i="34"/>
  <c r="B56" i="34"/>
  <c r="D56" i="34"/>
  <c r="A57" i="34"/>
  <c r="B57" i="34"/>
  <c r="D57" i="34"/>
  <c r="A58" i="34"/>
  <c r="B58" i="34"/>
  <c r="D58" i="34"/>
  <c r="A59" i="34"/>
  <c r="B59" i="34"/>
  <c r="D59" i="34"/>
  <c r="A60" i="34"/>
  <c r="B60" i="34"/>
  <c r="D60" i="34"/>
  <c r="A61" i="34"/>
  <c r="B61" i="34"/>
  <c r="D61" i="34"/>
  <c r="A62" i="34"/>
  <c r="B62" i="34"/>
  <c r="D62" i="34"/>
  <c r="A63" i="34"/>
  <c r="B63" i="34"/>
  <c r="D63" i="34"/>
  <c r="A64" i="34"/>
  <c r="B64" i="34"/>
  <c r="D64" i="34"/>
  <c r="A65" i="34"/>
  <c r="B65" i="34"/>
  <c r="D65" i="34"/>
  <c r="A66" i="34"/>
  <c r="B66" i="34"/>
  <c r="D66" i="34"/>
  <c r="A67" i="34"/>
  <c r="B67" i="34"/>
  <c r="D67" i="34"/>
  <c r="A68" i="34"/>
  <c r="B68" i="34"/>
  <c r="D68" i="34"/>
  <c r="A69" i="34"/>
  <c r="B69" i="34"/>
  <c r="D69" i="34"/>
  <c r="A70" i="34"/>
  <c r="B70" i="34"/>
  <c r="D70" i="34"/>
  <c r="A71" i="34"/>
  <c r="B71" i="34"/>
  <c r="D71" i="34"/>
  <c r="A72" i="34"/>
  <c r="B72" i="34"/>
  <c r="D72" i="34"/>
  <c r="A73" i="34"/>
  <c r="B73" i="34"/>
  <c r="D73" i="34"/>
  <c r="A74" i="34"/>
  <c r="B74" i="34"/>
  <c r="D74" i="34"/>
  <c r="A75" i="34"/>
  <c r="B75" i="34"/>
  <c r="D75" i="34"/>
  <c r="A76" i="34"/>
  <c r="B76" i="34"/>
  <c r="D76" i="34"/>
  <c r="A77" i="34"/>
  <c r="B77" i="34"/>
  <c r="D77" i="34"/>
  <c r="A78" i="34"/>
  <c r="B78" i="34"/>
  <c r="D78" i="34"/>
  <c r="A79" i="34"/>
  <c r="B79" i="34"/>
  <c r="D79" i="34"/>
  <c r="A80" i="34"/>
  <c r="B80" i="34"/>
  <c r="D80" i="34"/>
  <c r="A81" i="34"/>
  <c r="B81" i="34"/>
  <c r="D81" i="34"/>
  <c r="A82" i="34"/>
  <c r="B82" i="34"/>
  <c r="D82" i="34"/>
  <c r="A83" i="34"/>
  <c r="B83" i="34"/>
  <c r="D83" i="34"/>
  <c r="A84" i="34"/>
  <c r="B84" i="34"/>
  <c r="D84" i="34"/>
  <c r="A85" i="34"/>
  <c r="B85" i="34"/>
  <c r="D85" i="34"/>
  <c r="A86" i="34"/>
  <c r="B86" i="34"/>
  <c r="D86" i="34"/>
  <c r="A87" i="34"/>
  <c r="B87" i="34"/>
  <c r="D87" i="34"/>
  <c r="A88" i="34"/>
  <c r="B88" i="34"/>
  <c r="D88" i="34"/>
  <c r="A89" i="34"/>
  <c r="B89" i="34"/>
  <c r="D89" i="34"/>
  <c r="A90" i="34"/>
  <c r="B90" i="34"/>
  <c r="D90" i="34"/>
  <c r="A91" i="34"/>
  <c r="B91" i="34"/>
  <c r="D91" i="34"/>
  <c r="A92" i="34"/>
  <c r="B92" i="34"/>
  <c r="D92" i="34"/>
  <c r="A93" i="34"/>
  <c r="B93" i="34"/>
  <c r="D93" i="34"/>
  <c r="A94" i="34"/>
  <c r="B94" i="34"/>
  <c r="D94" i="34"/>
  <c r="A95" i="34"/>
  <c r="B95" i="34"/>
  <c r="D95" i="34"/>
  <c r="A96" i="34"/>
  <c r="B96" i="34"/>
  <c r="D96" i="34"/>
  <c r="A97" i="34"/>
  <c r="B97" i="34"/>
  <c r="D97" i="34"/>
  <c r="A98" i="34"/>
  <c r="B98" i="34"/>
  <c r="D98" i="34"/>
  <c r="A99" i="34"/>
  <c r="B99" i="34"/>
  <c r="D99" i="34"/>
  <c r="A100" i="34"/>
  <c r="B100" i="34"/>
  <c r="D100" i="34"/>
  <c r="A101" i="34"/>
  <c r="B101" i="34"/>
  <c r="D101" i="34"/>
  <c r="A102" i="34"/>
  <c r="B102" i="34"/>
  <c r="D102" i="34"/>
  <c r="A103" i="34"/>
  <c r="B103" i="34"/>
  <c r="D103" i="34"/>
  <c r="A104" i="34"/>
  <c r="B104" i="34"/>
  <c r="D104" i="34"/>
  <c r="A105" i="34"/>
  <c r="B105" i="34"/>
  <c r="D105" i="34"/>
  <c r="A106" i="34"/>
  <c r="B106" i="34"/>
  <c r="D106" i="34"/>
  <c r="A107" i="34"/>
  <c r="B107" i="34"/>
  <c r="D107" i="34"/>
  <c r="A108" i="34"/>
  <c r="B108" i="34"/>
  <c r="D108" i="34"/>
  <c r="A109" i="34"/>
  <c r="B109" i="34"/>
  <c r="D109" i="34"/>
  <c r="A110" i="34"/>
  <c r="B110" i="34"/>
  <c r="D110" i="34"/>
  <c r="A111" i="34"/>
  <c r="B111" i="34"/>
  <c r="D111" i="34"/>
  <c r="A112" i="34"/>
  <c r="B112" i="34"/>
  <c r="D112" i="34"/>
  <c r="A113" i="34"/>
  <c r="B113" i="34"/>
  <c r="D113" i="34"/>
  <c r="A114" i="34"/>
  <c r="B114" i="34"/>
  <c r="D114" i="34"/>
  <c r="A115" i="34"/>
  <c r="B115" i="34"/>
  <c r="D115" i="34"/>
  <c r="A116" i="34"/>
  <c r="B116" i="34"/>
  <c r="D116" i="34"/>
  <c r="A117" i="34"/>
  <c r="B117" i="34"/>
  <c r="D117" i="34"/>
  <c r="A118" i="34"/>
  <c r="B118" i="34"/>
  <c r="D118" i="34"/>
  <c r="A119" i="34"/>
  <c r="B119" i="34"/>
  <c r="D119" i="34"/>
  <c r="A120" i="34"/>
  <c r="B120" i="34"/>
  <c r="D120" i="34"/>
  <c r="A121" i="34"/>
  <c r="B121" i="34"/>
  <c r="D121" i="34"/>
  <c r="A122" i="34"/>
  <c r="B122" i="34"/>
  <c r="D122" i="34"/>
  <c r="A123" i="34"/>
  <c r="B123" i="34"/>
  <c r="D123" i="34"/>
  <c r="A124" i="34"/>
  <c r="B124" i="34"/>
  <c r="D124" i="34"/>
  <c r="A125" i="34"/>
  <c r="B125" i="34"/>
  <c r="D125" i="34"/>
  <c r="A126" i="34"/>
  <c r="B126" i="34"/>
  <c r="D126" i="34"/>
  <c r="A127" i="34"/>
  <c r="B127" i="34"/>
  <c r="D127" i="34"/>
  <c r="A128" i="34"/>
  <c r="B128" i="34"/>
  <c r="D128" i="34"/>
  <c r="A129" i="34"/>
  <c r="B129" i="34"/>
  <c r="D129" i="34"/>
  <c r="A130" i="34"/>
  <c r="B130" i="34"/>
  <c r="D130" i="34"/>
  <c r="A131" i="34"/>
  <c r="B131" i="34"/>
  <c r="D131" i="34"/>
  <c r="A132" i="34"/>
  <c r="B132" i="34"/>
  <c r="D132" i="34"/>
  <c r="A133" i="34"/>
  <c r="B133" i="34"/>
  <c r="D133" i="34"/>
  <c r="A134" i="34"/>
  <c r="B134" i="34"/>
  <c r="D134" i="34"/>
  <c r="A135" i="34"/>
  <c r="B135" i="34"/>
  <c r="D135" i="34"/>
  <c r="A136" i="34"/>
  <c r="B136" i="34"/>
  <c r="D136" i="34"/>
  <c r="A137" i="34"/>
  <c r="B137" i="34"/>
  <c r="D137" i="34"/>
  <c r="A138" i="34"/>
  <c r="B138" i="34"/>
  <c r="D138" i="34"/>
  <c r="A139" i="34"/>
  <c r="B139" i="34"/>
  <c r="D139" i="34"/>
  <c r="A140" i="34"/>
  <c r="B140" i="34"/>
  <c r="D140" i="34"/>
  <c r="A141" i="34"/>
  <c r="B141" i="34"/>
  <c r="D141" i="34"/>
  <c r="A142" i="34"/>
  <c r="B142" i="34"/>
  <c r="D142" i="34"/>
  <c r="A143" i="34"/>
  <c r="B143" i="34"/>
  <c r="D143" i="34"/>
  <c r="A144" i="34"/>
  <c r="B144" i="34"/>
  <c r="D144" i="34"/>
  <c r="A145" i="34"/>
  <c r="B145" i="34"/>
  <c r="D145" i="34"/>
  <c r="A146" i="34"/>
  <c r="B146" i="34"/>
  <c r="D146" i="34"/>
  <c r="A147" i="34"/>
  <c r="B147" i="34"/>
  <c r="D147" i="34"/>
  <c r="A148" i="34"/>
  <c r="B148" i="34"/>
  <c r="D148" i="34"/>
  <c r="A149" i="34"/>
  <c r="B149" i="34"/>
  <c r="D149" i="34"/>
  <c r="A150" i="34"/>
  <c r="B150" i="34"/>
  <c r="D150" i="34"/>
  <c r="A151" i="34"/>
  <c r="B151" i="34"/>
  <c r="D151" i="34"/>
  <c r="A152" i="34"/>
  <c r="B152" i="34"/>
  <c r="D152" i="34"/>
  <c r="A153" i="34"/>
  <c r="B153" i="34"/>
  <c r="D153" i="34"/>
  <c r="A154" i="34"/>
  <c r="B154" i="34"/>
  <c r="D154" i="34"/>
  <c r="A155" i="34"/>
  <c r="B155" i="34"/>
  <c r="D155" i="34"/>
  <c r="A156" i="34"/>
  <c r="B156" i="34"/>
  <c r="D156" i="34"/>
  <c r="A157" i="34"/>
  <c r="B157" i="34"/>
  <c r="D157" i="34"/>
  <c r="A158" i="34"/>
  <c r="B158" i="34"/>
  <c r="D158" i="34"/>
  <c r="A159" i="34"/>
  <c r="B159" i="34"/>
  <c r="D159" i="34"/>
  <c r="A160" i="34"/>
  <c r="B160" i="34"/>
  <c r="D160" i="34"/>
  <c r="A161" i="34"/>
  <c r="B161" i="34"/>
  <c r="D161" i="34"/>
  <c r="A162" i="34"/>
  <c r="B162" i="34"/>
  <c r="D162" i="34"/>
  <c r="A163" i="34"/>
  <c r="B163" i="34"/>
  <c r="D163" i="34"/>
  <c r="A164" i="34"/>
  <c r="B164" i="34"/>
  <c r="D164" i="34"/>
  <c r="A165" i="34"/>
  <c r="B165" i="34"/>
  <c r="D165" i="34"/>
  <c r="A166" i="34"/>
  <c r="B166" i="34"/>
  <c r="D166" i="34"/>
  <c r="A167" i="34"/>
  <c r="B167" i="34"/>
  <c r="D167" i="34"/>
  <c r="A168" i="34"/>
  <c r="B168" i="34"/>
  <c r="D168" i="34"/>
  <c r="A169" i="34"/>
  <c r="B169" i="34"/>
  <c r="D169" i="34"/>
  <c r="A170" i="34"/>
  <c r="B170" i="34"/>
  <c r="D170" i="34"/>
  <c r="A171" i="34"/>
  <c r="B171" i="34"/>
  <c r="D171" i="34"/>
  <c r="A172" i="34"/>
  <c r="B172" i="34"/>
  <c r="D172" i="34"/>
  <c r="A173" i="34"/>
  <c r="B173" i="34"/>
  <c r="D173" i="34"/>
  <c r="A174" i="34"/>
  <c r="B174" i="34"/>
  <c r="D174" i="34"/>
  <c r="A175" i="34"/>
  <c r="B175" i="34"/>
  <c r="D175" i="34"/>
  <c r="A176" i="34"/>
  <c r="B176" i="34"/>
  <c r="D176" i="34"/>
  <c r="A177" i="34"/>
  <c r="B177" i="34"/>
  <c r="D177" i="34"/>
  <c r="A178" i="34"/>
  <c r="B178" i="34"/>
  <c r="D178" i="34"/>
  <c r="A179" i="34"/>
  <c r="B179" i="34"/>
  <c r="D179" i="34"/>
  <c r="A180" i="34"/>
  <c r="B180" i="34"/>
  <c r="D180" i="34"/>
  <c r="A181" i="34"/>
  <c r="B181" i="34"/>
  <c r="D181" i="34"/>
  <c r="A182" i="34"/>
  <c r="B182" i="34"/>
  <c r="D182" i="34"/>
  <c r="A183" i="34"/>
  <c r="B183" i="34"/>
  <c r="D183" i="34"/>
  <c r="A184" i="34"/>
  <c r="B184" i="34"/>
  <c r="D184" i="34"/>
  <c r="A185" i="34"/>
  <c r="B185" i="34"/>
  <c r="D185" i="34"/>
  <c r="A186" i="34"/>
  <c r="B186" i="34"/>
  <c r="D186" i="34"/>
  <c r="A187" i="34"/>
  <c r="B187" i="34"/>
  <c r="D187" i="34"/>
  <c r="A188" i="34"/>
  <c r="B188" i="34"/>
  <c r="D188" i="34"/>
  <c r="A189" i="34"/>
  <c r="B189" i="34"/>
  <c r="D189" i="34"/>
  <c r="A190" i="34"/>
  <c r="B190" i="34"/>
  <c r="D190" i="34"/>
  <c r="A191" i="34"/>
  <c r="B191" i="34"/>
  <c r="D191" i="34"/>
  <c r="A192" i="34"/>
  <c r="B192" i="34"/>
  <c r="D192" i="34"/>
  <c r="A193" i="34"/>
  <c r="B193" i="34"/>
  <c r="D193" i="34"/>
  <c r="A194" i="34"/>
  <c r="B194" i="34"/>
  <c r="D194" i="34"/>
  <c r="A195" i="34"/>
  <c r="B195" i="34"/>
  <c r="D195" i="34"/>
  <c r="A196" i="34"/>
  <c r="B196" i="34"/>
  <c r="D196" i="34"/>
  <c r="A197" i="34"/>
  <c r="B197" i="34"/>
  <c r="D197" i="34"/>
  <c r="A198" i="34"/>
  <c r="B198" i="34"/>
  <c r="D198" i="34"/>
  <c r="A199" i="34"/>
  <c r="B199" i="34"/>
  <c r="D199" i="34"/>
  <c r="A200" i="34"/>
  <c r="B200" i="34"/>
  <c r="D200" i="34"/>
  <c r="A201" i="34"/>
  <c r="B201" i="34"/>
  <c r="D201" i="34"/>
  <c r="A202" i="34"/>
  <c r="B202" i="34"/>
  <c r="D202" i="34"/>
  <c r="A203" i="34"/>
  <c r="B203" i="34"/>
  <c r="D203" i="34"/>
  <c r="A204" i="34"/>
  <c r="B204" i="34"/>
  <c r="D204" i="34"/>
  <c r="A205" i="34"/>
  <c r="B205" i="34"/>
  <c r="D205" i="34"/>
  <c r="A206" i="34"/>
  <c r="B206" i="34"/>
  <c r="D206" i="34"/>
  <c r="A207" i="34"/>
  <c r="B207" i="34"/>
  <c r="D207" i="34"/>
  <c r="A208" i="34"/>
  <c r="B208" i="34"/>
  <c r="D208" i="34"/>
  <c r="A209" i="34"/>
  <c r="B209" i="34"/>
  <c r="D209" i="34"/>
  <c r="A210" i="34"/>
  <c r="B210" i="34"/>
  <c r="D210" i="34"/>
  <c r="A211" i="34"/>
  <c r="B211" i="34"/>
  <c r="D211" i="34"/>
  <c r="A212" i="34"/>
  <c r="B212" i="34"/>
  <c r="D212" i="34"/>
  <c r="A213" i="34"/>
  <c r="B213" i="34"/>
  <c r="D213" i="34"/>
  <c r="A214" i="34"/>
  <c r="B214" i="34"/>
  <c r="D214" i="34"/>
  <c r="A215" i="34"/>
  <c r="B215" i="34"/>
  <c r="D215" i="34"/>
  <c r="A216" i="34"/>
  <c r="B216" i="34"/>
  <c r="D216" i="34"/>
  <c r="A217" i="34"/>
  <c r="B217" i="34"/>
  <c r="D217" i="34"/>
  <c r="A218" i="34"/>
  <c r="B218" i="34"/>
  <c r="D218" i="34"/>
  <c r="A219" i="34"/>
  <c r="B219" i="34"/>
  <c r="D219" i="34"/>
  <c r="A220" i="34"/>
  <c r="B220" i="34"/>
  <c r="D220" i="34"/>
  <c r="A221" i="34"/>
  <c r="B221" i="34"/>
  <c r="D221" i="34"/>
  <c r="A222" i="34"/>
  <c r="B222" i="34"/>
  <c r="D222" i="34"/>
  <c r="A223" i="34"/>
  <c r="B223" i="34"/>
  <c r="D223" i="34"/>
  <c r="A224" i="34"/>
  <c r="B224" i="34"/>
  <c r="D224" i="34"/>
  <c r="A225" i="34"/>
  <c r="B225" i="34"/>
  <c r="D225" i="34"/>
  <c r="A226" i="34"/>
  <c r="B226" i="34"/>
  <c r="D226" i="34"/>
  <c r="A227" i="34"/>
  <c r="B227" i="34"/>
  <c r="D227" i="34"/>
  <c r="A228" i="34"/>
  <c r="B228" i="34"/>
  <c r="D228" i="34"/>
  <c r="A229" i="34"/>
  <c r="B229" i="34"/>
  <c r="D229" i="34"/>
  <c r="A230" i="34"/>
  <c r="B230" i="34"/>
  <c r="D230" i="34"/>
  <c r="A231" i="34"/>
  <c r="B231" i="34"/>
  <c r="D231" i="34"/>
  <c r="A232" i="34"/>
  <c r="B232" i="34"/>
  <c r="D232" i="34"/>
  <c r="A233" i="34"/>
  <c r="B233" i="34"/>
  <c r="D233" i="34"/>
  <c r="A234" i="34"/>
  <c r="B234" i="34"/>
  <c r="D234" i="34"/>
  <c r="A235" i="34"/>
  <c r="B235" i="34"/>
  <c r="D235" i="34"/>
  <c r="A236" i="34"/>
  <c r="B236" i="34"/>
  <c r="D236" i="34"/>
  <c r="A237" i="34"/>
  <c r="B237" i="34"/>
  <c r="D237" i="34"/>
  <c r="A238" i="34"/>
  <c r="B238" i="34"/>
  <c r="D238" i="34"/>
  <c r="A239" i="34"/>
  <c r="B239" i="34"/>
  <c r="D239" i="34"/>
  <c r="A240" i="34"/>
  <c r="B240" i="34"/>
  <c r="D240" i="34"/>
  <c r="A241" i="34"/>
  <c r="B241" i="34"/>
  <c r="D241" i="34"/>
  <c r="A242" i="34"/>
  <c r="B242" i="34"/>
  <c r="D242" i="34"/>
  <c r="A243" i="34"/>
  <c r="B243" i="34"/>
  <c r="D243" i="34"/>
  <c r="A244" i="34"/>
  <c r="B244" i="34"/>
  <c r="D244" i="34"/>
  <c r="A245" i="34"/>
  <c r="B245" i="34"/>
  <c r="D245" i="34"/>
  <c r="A246" i="34"/>
  <c r="B246" i="34"/>
  <c r="D246" i="34"/>
  <c r="A247" i="34"/>
  <c r="B247" i="34"/>
  <c r="D247" i="34"/>
  <c r="A248" i="34"/>
  <c r="B248" i="34"/>
  <c r="D248" i="34"/>
  <c r="A249" i="34"/>
  <c r="B249" i="34"/>
  <c r="D249" i="34"/>
  <c r="A250" i="34"/>
  <c r="B250" i="34"/>
  <c r="D250" i="34"/>
  <c r="A251" i="34"/>
  <c r="B251" i="34"/>
  <c r="D251" i="34"/>
  <c r="A252" i="34"/>
  <c r="B252" i="34"/>
  <c r="D252" i="34"/>
  <c r="A253" i="34"/>
  <c r="B253" i="34"/>
  <c r="D253" i="34"/>
  <c r="A254" i="34"/>
  <c r="B254" i="34"/>
  <c r="D254" i="34"/>
  <c r="A255" i="34"/>
  <c r="B255" i="34"/>
  <c r="D255" i="34"/>
  <c r="A256" i="34"/>
  <c r="B256" i="34"/>
  <c r="D256" i="34"/>
  <c r="A257" i="34"/>
  <c r="B257" i="34"/>
  <c r="D257" i="34"/>
  <c r="A258" i="34"/>
  <c r="B258" i="34"/>
  <c r="D258" i="34"/>
  <c r="A259" i="34"/>
  <c r="B259" i="34"/>
  <c r="D259" i="34"/>
  <c r="A260" i="34"/>
  <c r="B260" i="34"/>
  <c r="D260" i="34"/>
  <c r="A261" i="34"/>
  <c r="B261" i="34"/>
  <c r="D261" i="34"/>
  <c r="A262" i="34"/>
  <c r="B262" i="34"/>
  <c r="D262" i="34"/>
  <c r="A263" i="34"/>
  <c r="B263" i="34"/>
  <c r="D263" i="34"/>
  <c r="A264" i="34"/>
  <c r="B264" i="34"/>
  <c r="D264" i="34"/>
  <c r="A265" i="34"/>
  <c r="B265" i="34"/>
  <c r="D265" i="34"/>
  <c r="A266" i="34"/>
  <c r="B266" i="34"/>
  <c r="D266" i="34"/>
  <c r="A267" i="34"/>
  <c r="B267" i="34"/>
  <c r="D267" i="34"/>
  <c r="A268" i="34"/>
  <c r="B268" i="34"/>
  <c r="D268" i="34"/>
  <c r="A269" i="34"/>
  <c r="B269" i="34"/>
  <c r="D269" i="34"/>
  <c r="A270" i="34"/>
  <c r="B270" i="34"/>
  <c r="D270" i="34"/>
  <c r="A271" i="34"/>
  <c r="B271" i="34"/>
  <c r="D271" i="34"/>
  <c r="A272" i="34"/>
  <c r="B272" i="34"/>
  <c r="D272" i="34"/>
  <c r="A273" i="34"/>
  <c r="B273" i="34"/>
  <c r="D273" i="34"/>
  <c r="A274" i="34"/>
  <c r="B274" i="34"/>
  <c r="D274" i="34"/>
  <c r="A275" i="34"/>
  <c r="B275" i="34"/>
  <c r="D275" i="34"/>
  <c r="A276" i="34"/>
  <c r="B276" i="34"/>
  <c r="D276" i="34"/>
  <c r="A277" i="34"/>
  <c r="B277" i="34"/>
  <c r="D277" i="34"/>
  <c r="A278" i="34"/>
  <c r="B278" i="34"/>
  <c r="D278" i="34"/>
  <c r="A279" i="34"/>
  <c r="B279" i="34"/>
  <c r="D279" i="34"/>
  <c r="A280" i="34"/>
  <c r="B280" i="34"/>
  <c r="D280" i="34"/>
  <c r="A281" i="34"/>
  <c r="B281" i="34"/>
  <c r="D281" i="34"/>
  <c r="A282" i="34"/>
  <c r="B282" i="34"/>
  <c r="D282" i="34"/>
  <c r="A283" i="34"/>
  <c r="B283" i="34"/>
  <c r="D283" i="34"/>
  <c r="A284" i="34"/>
  <c r="B284" i="34"/>
  <c r="D284" i="34"/>
  <c r="A285" i="34"/>
  <c r="B285" i="34"/>
  <c r="D285" i="34"/>
  <c r="A286" i="34"/>
  <c r="B286" i="34"/>
  <c r="D286" i="34"/>
  <c r="A287" i="34"/>
  <c r="B287" i="34"/>
  <c r="D287" i="34"/>
  <c r="A288" i="34"/>
  <c r="B288" i="34"/>
  <c r="D288" i="34"/>
  <c r="A289" i="34"/>
  <c r="B289" i="34"/>
  <c r="D289" i="34"/>
  <c r="A290" i="34"/>
  <c r="B290" i="34"/>
  <c r="D290" i="34"/>
  <c r="A291" i="34"/>
  <c r="B291" i="34"/>
  <c r="D291" i="34"/>
  <c r="A292" i="34"/>
  <c r="B292" i="34"/>
  <c r="D292" i="34"/>
  <c r="A293" i="34"/>
  <c r="B293" i="34"/>
  <c r="D293" i="34"/>
  <c r="A294" i="34"/>
  <c r="B294" i="34"/>
  <c r="D294" i="34"/>
  <c r="A295" i="34"/>
  <c r="B295" i="34"/>
  <c r="D295" i="34"/>
  <c r="A296" i="34"/>
  <c r="B296" i="34"/>
  <c r="D296" i="34"/>
  <c r="A297" i="34"/>
  <c r="B297" i="34"/>
  <c r="D297" i="34"/>
  <c r="A298" i="34"/>
  <c r="B298" i="34"/>
  <c r="D298" i="34"/>
  <c r="A299" i="34"/>
  <c r="B299" i="34"/>
  <c r="D299" i="34"/>
  <c r="A300" i="34"/>
  <c r="B300" i="34"/>
  <c r="D300" i="34"/>
  <c r="A301" i="34"/>
  <c r="B301" i="34"/>
  <c r="D301" i="34"/>
  <c r="A302" i="34"/>
  <c r="B302" i="34"/>
  <c r="D302" i="34"/>
  <c r="A303" i="34"/>
  <c r="B303" i="34"/>
  <c r="D303" i="34"/>
  <c r="A304" i="34"/>
  <c r="B304" i="34"/>
  <c r="D304" i="34"/>
  <c r="A305" i="34"/>
  <c r="B305" i="34"/>
  <c r="D305" i="34"/>
  <c r="A306" i="34"/>
  <c r="B306" i="34"/>
  <c r="D306" i="34"/>
  <c r="A307" i="34"/>
  <c r="B307" i="34"/>
  <c r="D307" i="34"/>
  <c r="A308" i="34"/>
  <c r="B308" i="34"/>
  <c r="D308" i="34"/>
  <c r="A309" i="34"/>
  <c r="B309" i="34"/>
  <c r="D309" i="34"/>
  <c r="A310" i="34"/>
  <c r="B310" i="34"/>
  <c r="D310" i="34"/>
  <c r="A311" i="34"/>
  <c r="B311" i="34"/>
  <c r="D311" i="34"/>
  <c r="A7" i="33"/>
  <c r="B7" i="33"/>
  <c r="D7" i="33"/>
  <c r="A8" i="33"/>
  <c r="B8" i="33"/>
  <c r="D8" i="33"/>
  <c r="A9" i="33"/>
  <c r="B9" i="33"/>
  <c r="D9" i="33"/>
  <c r="A10" i="33"/>
  <c r="B10" i="33"/>
  <c r="D10" i="33"/>
  <c r="A11" i="33"/>
  <c r="B11" i="33"/>
  <c r="D11" i="33"/>
  <c r="A12" i="33"/>
  <c r="B12" i="33"/>
  <c r="D12" i="33"/>
  <c r="A13" i="33"/>
  <c r="B13" i="33"/>
  <c r="D13" i="33"/>
  <c r="A14" i="33"/>
  <c r="B14" i="33"/>
  <c r="D14" i="33"/>
  <c r="A15" i="33"/>
  <c r="B15" i="33"/>
  <c r="D15" i="33"/>
  <c r="A16" i="33"/>
  <c r="B16" i="33"/>
  <c r="D16" i="33"/>
  <c r="A17" i="33"/>
  <c r="B17" i="33"/>
  <c r="D17" i="33"/>
  <c r="A18" i="33"/>
  <c r="B18" i="33"/>
  <c r="D18" i="33"/>
  <c r="A19" i="33"/>
  <c r="B19" i="33"/>
  <c r="D19" i="33"/>
  <c r="A20" i="33"/>
  <c r="B20" i="33"/>
  <c r="D20" i="33"/>
  <c r="A21" i="33"/>
  <c r="B21" i="33"/>
  <c r="D21" i="33"/>
  <c r="A22" i="33"/>
  <c r="B22" i="33"/>
  <c r="D22" i="33"/>
  <c r="A23" i="33"/>
  <c r="B23" i="33"/>
  <c r="D23" i="33"/>
  <c r="A24" i="33"/>
  <c r="B24" i="33"/>
  <c r="D24" i="33"/>
  <c r="A25" i="33"/>
  <c r="B25" i="33"/>
  <c r="D25" i="33"/>
  <c r="A26" i="33"/>
  <c r="B26" i="33"/>
  <c r="D26" i="33"/>
  <c r="A27" i="33"/>
  <c r="B27" i="33"/>
  <c r="D27" i="33"/>
  <c r="A28" i="33"/>
  <c r="B28" i="33"/>
  <c r="D28" i="33"/>
  <c r="A29" i="33"/>
  <c r="B29" i="33"/>
  <c r="D29" i="33"/>
  <c r="A30" i="33"/>
  <c r="B30" i="33"/>
  <c r="D30" i="33"/>
  <c r="A31" i="33"/>
  <c r="B31" i="33"/>
  <c r="D31" i="33"/>
  <c r="A32" i="33"/>
  <c r="B32" i="33"/>
  <c r="D32" i="33"/>
  <c r="A33" i="33"/>
  <c r="B33" i="33"/>
  <c r="D33" i="33"/>
  <c r="A34" i="33"/>
  <c r="B34" i="33"/>
  <c r="D34" i="33"/>
  <c r="A35" i="33"/>
  <c r="B35" i="33"/>
  <c r="D35" i="33"/>
  <c r="A36" i="33"/>
  <c r="B36" i="33"/>
  <c r="D36" i="33"/>
  <c r="A37" i="33"/>
  <c r="B37" i="33"/>
  <c r="D37" i="33"/>
  <c r="A38" i="33"/>
  <c r="B38" i="33"/>
  <c r="D38" i="33"/>
  <c r="A39" i="33"/>
  <c r="B39" i="33"/>
  <c r="D39" i="33"/>
  <c r="A40" i="33"/>
  <c r="B40" i="33"/>
  <c r="D40" i="33"/>
  <c r="A41" i="33"/>
  <c r="B41" i="33"/>
  <c r="D41" i="33"/>
  <c r="A42" i="33"/>
  <c r="B42" i="33"/>
  <c r="D42" i="33"/>
  <c r="A43" i="33"/>
  <c r="B43" i="33"/>
  <c r="D43" i="33"/>
  <c r="A44" i="33"/>
  <c r="B44" i="33"/>
  <c r="D44" i="33"/>
  <c r="A45" i="33"/>
  <c r="B45" i="33"/>
  <c r="D45" i="33"/>
  <c r="A46" i="33"/>
  <c r="B46" i="33"/>
  <c r="D46" i="33"/>
  <c r="A47" i="33"/>
  <c r="B47" i="33"/>
  <c r="D47" i="33"/>
  <c r="A48" i="33"/>
  <c r="B48" i="33"/>
  <c r="D48" i="33"/>
  <c r="A49" i="33"/>
  <c r="B49" i="33"/>
  <c r="D49" i="33"/>
  <c r="A50" i="33"/>
  <c r="B50" i="33"/>
  <c r="D50" i="33"/>
  <c r="A51" i="33"/>
  <c r="B51" i="33"/>
  <c r="D51" i="33"/>
  <c r="A52" i="33"/>
  <c r="B52" i="33"/>
  <c r="D52" i="33"/>
  <c r="A53" i="33"/>
  <c r="B53" i="33"/>
  <c r="D53" i="33"/>
  <c r="A54" i="33"/>
  <c r="B54" i="33"/>
  <c r="D54" i="33"/>
  <c r="A55" i="33"/>
  <c r="B55" i="33"/>
  <c r="D55" i="33"/>
  <c r="A56" i="33"/>
  <c r="B56" i="33"/>
  <c r="D56" i="33"/>
  <c r="A57" i="33"/>
  <c r="B57" i="33"/>
  <c r="D57" i="33"/>
  <c r="A58" i="33"/>
  <c r="B58" i="33"/>
  <c r="D58" i="33"/>
  <c r="A59" i="33"/>
  <c r="B59" i="33"/>
  <c r="D59" i="33"/>
  <c r="A60" i="33"/>
  <c r="B60" i="33"/>
  <c r="D60" i="33"/>
  <c r="A61" i="33"/>
  <c r="B61" i="33"/>
  <c r="D61" i="33"/>
  <c r="A62" i="33"/>
  <c r="B62" i="33"/>
  <c r="D62" i="33"/>
  <c r="A63" i="33"/>
  <c r="B63" i="33"/>
  <c r="D63" i="33"/>
  <c r="A64" i="33"/>
  <c r="B64" i="33"/>
  <c r="D64" i="33"/>
  <c r="A65" i="33"/>
  <c r="B65" i="33"/>
  <c r="D65" i="33"/>
  <c r="A66" i="33"/>
  <c r="B66" i="33"/>
  <c r="D66" i="33"/>
  <c r="A67" i="33"/>
  <c r="B67" i="33"/>
  <c r="D67" i="33"/>
  <c r="A68" i="33"/>
  <c r="B68" i="33"/>
  <c r="D68" i="33"/>
  <c r="A69" i="33"/>
  <c r="B69" i="33"/>
  <c r="D69" i="33"/>
  <c r="A70" i="33"/>
  <c r="B70" i="33"/>
  <c r="D70" i="33"/>
  <c r="A71" i="33"/>
  <c r="B71" i="33"/>
  <c r="D71" i="33"/>
  <c r="A72" i="33"/>
  <c r="B72" i="33"/>
  <c r="D72" i="33"/>
  <c r="A73" i="33"/>
  <c r="B73" i="33"/>
  <c r="D73" i="33"/>
  <c r="A74" i="33"/>
  <c r="B74" i="33"/>
  <c r="D74" i="33"/>
  <c r="A75" i="33"/>
  <c r="B75" i="33"/>
  <c r="D75" i="33"/>
  <c r="A76" i="33"/>
  <c r="B76" i="33"/>
  <c r="D76" i="33"/>
  <c r="A77" i="33"/>
  <c r="B77" i="33"/>
  <c r="D77" i="33"/>
  <c r="A78" i="33"/>
  <c r="B78" i="33"/>
  <c r="D78" i="33"/>
  <c r="A79" i="33"/>
  <c r="B79" i="33"/>
  <c r="D79" i="33"/>
  <c r="A80" i="33"/>
  <c r="B80" i="33"/>
  <c r="D80" i="33"/>
  <c r="A81" i="33"/>
  <c r="B81" i="33"/>
  <c r="D81" i="33"/>
  <c r="A82" i="33"/>
  <c r="B82" i="33"/>
  <c r="D82" i="33"/>
  <c r="A83" i="33"/>
  <c r="B83" i="33"/>
  <c r="D83" i="33"/>
  <c r="A84" i="33"/>
  <c r="B84" i="33"/>
  <c r="D84" i="33"/>
  <c r="A85" i="33"/>
  <c r="B85" i="33"/>
  <c r="D85" i="33"/>
  <c r="A86" i="33"/>
  <c r="B86" i="33"/>
  <c r="D86" i="33"/>
  <c r="A87" i="33"/>
  <c r="B87" i="33"/>
  <c r="D87" i="33"/>
  <c r="A88" i="33"/>
  <c r="B88" i="33"/>
  <c r="D88" i="33"/>
  <c r="A89" i="33"/>
  <c r="B89" i="33"/>
  <c r="D89" i="33"/>
  <c r="A90" i="33"/>
  <c r="B90" i="33"/>
  <c r="D90" i="33"/>
  <c r="A91" i="33"/>
  <c r="B91" i="33"/>
  <c r="D91" i="33"/>
  <c r="A92" i="33"/>
  <c r="B92" i="33"/>
  <c r="D92" i="33"/>
  <c r="A93" i="33"/>
  <c r="B93" i="33"/>
  <c r="D93" i="33"/>
  <c r="A94" i="33"/>
  <c r="B94" i="33"/>
  <c r="D94" i="33"/>
  <c r="A95" i="33"/>
  <c r="B95" i="33"/>
  <c r="D95" i="33"/>
  <c r="A96" i="33"/>
  <c r="B96" i="33"/>
  <c r="D96" i="33"/>
  <c r="A97" i="33"/>
  <c r="B97" i="33"/>
  <c r="D97" i="33"/>
  <c r="A98" i="33"/>
  <c r="B98" i="33"/>
  <c r="D98" i="33"/>
  <c r="A99" i="33"/>
  <c r="B99" i="33"/>
  <c r="D99" i="33"/>
  <c r="A100" i="33"/>
  <c r="B100" i="33"/>
  <c r="D100" i="33"/>
  <c r="A101" i="33"/>
  <c r="B101" i="33"/>
  <c r="D101" i="33"/>
  <c r="A102" i="33"/>
  <c r="B102" i="33"/>
  <c r="D102" i="33"/>
  <c r="A103" i="33"/>
  <c r="B103" i="33"/>
  <c r="D103" i="33"/>
  <c r="A104" i="33"/>
  <c r="B104" i="33"/>
  <c r="D104" i="33"/>
  <c r="A105" i="33"/>
  <c r="B105" i="33"/>
  <c r="D105" i="33"/>
  <c r="A106" i="33"/>
  <c r="B106" i="33"/>
  <c r="D106" i="33"/>
  <c r="A107" i="33"/>
  <c r="B107" i="33"/>
  <c r="D107" i="33"/>
  <c r="A108" i="33"/>
  <c r="B108" i="33"/>
  <c r="D108" i="33"/>
  <c r="A109" i="33"/>
  <c r="B109" i="33"/>
  <c r="D109" i="33"/>
  <c r="A110" i="33"/>
  <c r="B110" i="33"/>
  <c r="D110" i="33"/>
  <c r="A111" i="33"/>
  <c r="B111" i="33"/>
  <c r="D111" i="33"/>
  <c r="A112" i="33"/>
  <c r="B112" i="33"/>
  <c r="D112" i="33"/>
  <c r="A113" i="33"/>
  <c r="B113" i="33"/>
  <c r="D113" i="33"/>
  <c r="A114" i="33"/>
  <c r="B114" i="33"/>
  <c r="D114" i="33"/>
  <c r="A115" i="33"/>
  <c r="B115" i="33"/>
  <c r="D115" i="33"/>
  <c r="A116" i="33"/>
  <c r="B116" i="33"/>
  <c r="D116" i="33"/>
  <c r="A117" i="33"/>
  <c r="B117" i="33"/>
  <c r="D117" i="33"/>
  <c r="A118" i="33"/>
  <c r="B118" i="33"/>
  <c r="D118" i="33"/>
  <c r="A119" i="33"/>
  <c r="B119" i="33"/>
  <c r="D119" i="33"/>
  <c r="A120" i="33"/>
  <c r="B120" i="33"/>
  <c r="D120" i="33"/>
  <c r="A121" i="33"/>
  <c r="B121" i="33"/>
  <c r="D121" i="33"/>
  <c r="A122" i="33"/>
  <c r="B122" i="33"/>
  <c r="D122" i="33"/>
  <c r="A123" i="33"/>
  <c r="B123" i="33"/>
  <c r="D123" i="33"/>
  <c r="A124" i="33"/>
  <c r="B124" i="33"/>
  <c r="D124" i="33"/>
  <c r="A125" i="33"/>
  <c r="B125" i="33"/>
  <c r="D125" i="33"/>
  <c r="A126" i="33"/>
  <c r="B126" i="33"/>
  <c r="D126" i="33"/>
  <c r="A127" i="33"/>
  <c r="B127" i="33"/>
  <c r="D127" i="33"/>
  <c r="A128" i="33"/>
  <c r="B128" i="33"/>
  <c r="D128" i="33"/>
  <c r="A129" i="33"/>
  <c r="B129" i="33"/>
  <c r="D129" i="33"/>
  <c r="A130" i="33"/>
  <c r="B130" i="33"/>
  <c r="D130" i="33"/>
  <c r="A131" i="33"/>
  <c r="B131" i="33"/>
  <c r="D131" i="33"/>
  <c r="A132" i="33"/>
  <c r="B132" i="33"/>
  <c r="D132" i="33"/>
  <c r="A133" i="33"/>
  <c r="B133" i="33"/>
  <c r="D133" i="33"/>
  <c r="A134" i="33"/>
  <c r="B134" i="33"/>
  <c r="D134" i="33"/>
  <c r="A135" i="33"/>
  <c r="B135" i="33"/>
  <c r="D135" i="33"/>
  <c r="A136" i="33"/>
  <c r="B136" i="33"/>
  <c r="D136" i="33"/>
  <c r="A137" i="33"/>
  <c r="B137" i="33"/>
  <c r="D137" i="33"/>
  <c r="A138" i="33"/>
  <c r="B138" i="33"/>
  <c r="D138" i="33"/>
  <c r="A139" i="33"/>
  <c r="B139" i="33"/>
  <c r="D139" i="33"/>
  <c r="A140" i="33"/>
  <c r="B140" i="33"/>
  <c r="D140" i="33"/>
  <c r="A141" i="33"/>
  <c r="B141" i="33"/>
  <c r="D141" i="33"/>
  <c r="A142" i="33"/>
  <c r="B142" i="33"/>
  <c r="D142" i="33"/>
  <c r="A143" i="33"/>
  <c r="B143" i="33"/>
  <c r="D143" i="33"/>
  <c r="A144" i="33"/>
  <c r="B144" i="33"/>
  <c r="D144" i="33"/>
  <c r="A145" i="33"/>
  <c r="B145" i="33"/>
  <c r="D145" i="33"/>
  <c r="A146" i="33"/>
  <c r="B146" i="33"/>
  <c r="D146" i="33"/>
  <c r="A147" i="33"/>
  <c r="B147" i="33"/>
  <c r="D147" i="33"/>
  <c r="A148" i="33"/>
  <c r="B148" i="33"/>
  <c r="D148" i="33"/>
  <c r="A149" i="33"/>
  <c r="B149" i="33"/>
  <c r="D149" i="33"/>
  <c r="A150" i="33"/>
  <c r="B150" i="33"/>
  <c r="D150" i="33"/>
  <c r="A151" i="33"/>
  <c r="B151" i="33"/>
  <c r="D151" i="33"/>
  <c r="A152" i="33"/>
  <c r="B152" i="33"/>
  <c r="D152" i="33"/>
  <c r="A153" i="33"/>
  <c r="B153" i="33"/>
  <c r="D153" i="33"/>
  <c r="A154" i="33"/>
  <c r="B154" i="33"/>
  <c r="D154" i="33"/>
  <c r="A155" i="33"/>
  <c r="B155" i="33"/>
  <c r="D155" i="33"/>
  <c r="A156" i="33"/>
  <c r="B156" i="33"/>
  <c r="D156" i="33"/>
  <c r="A157" i="33"/>
  <c r="B157" i="33"/>
  <c r="D157" i="33"/>
  <c r="A158" i="33"/>
  <c r="B158" i="33"/>
  <c r="D158" i="33"/>
  <c r="A159" i="33"/>
  <c r="B159" i="33"/>
  <c r="D159" i="33"/>
  <c r="A160" i="33"/>
  <c r="B160" i="33"/>
  <c r="D160" i="33"/>
  <c r="A161" i="33"/>
  <c r="B161" i="33"/>
  <c r="D161" i="33"/>
  <c r="A162" i="33"/>
  <c r="B162" i="33"/>
  <c r="D162" i="33"/>
  <c r="A163" i="33"/>
  <c r="B163" i="33"/>
  <c r="D163" i="33"/>
  <c r="A164" i="33"/>
  <c r="B164" i="33"/>
  <c r="D164" i="33"/>
  <c r="A165" i="33"/>
  <c r="B165" i="33"/>
  <c r="D165" i="33"/>
  <c r="A166" i="33"/>
  <c r="B166" i="33"/>
  <c r="D166" i="33"/>
  <c r="A167" i="33"/>
  <c r="B167" i="33"/>
  <c r="D167" i="33"/>
  <c r="A168" i="33"/>
  <c r="B168" i="33"/>
  <c r="D168" i="33"/>
  <c r="A169" i="33"/>
  <c r="B169" i="33"/>
  <c r="D169" i="33"/>
  <c r="A170" i="33"/>
  <c r="B170" i="33"/>
  <c r="D170" i="33"/>
  <c r="A171" i="33"/>
  <c r="B171" i="33"/>
  <c r="D171" i="33"/>
  <c r="A172" i="33"/>
  <c r="B172" i="33"/>
  <c r="D172" i="33"/>
  <c r="A173" i="33"/>
  <c r="B173" i="33"/>
  <c r="D173" i="33"/>
  <c r="A174" i="33"/>
  <c r="B174" i="33"/>
  <c r="D174" i="33"/>
  <c r="A175" i="33"/>
  <c r="B175" i="33"/>
  <c r="D175" i="33"/>
  <c r="A176" i="33"/>
  <c r="B176" i="33"/>
  <c r="D176" i="33"/>
  <c r="A177" i="33"/>
  <c r="B177" i="33"/>
  <c r="D177" i="33"/>
  <c r="A178" i="33"/>
  <c r="B178" i="33"/>
  <c r="D178" i="33"/>
  <c r="A179" i="33"/>
  <c r="B179" i="33"/>
  <c r="D179" i="33"/>
  <c r="A180" i="33"/>
  <c r="B180" i="33"/>
  <c r="D180" i="33"/>
  <c r="A181" i="33"/>
  <c r="B181" i="33"/>
  <c r="D181" i="33"/>
  <c r="A182" i="33"/>
  <c r="B182" i="33"/>
  <c r="D182" i="33"/>
  <c r="A183" i="33"/>
  <c r="B183" i="33"/>
  <c r="D183" i="33"/>
  <c r="A184" i="33"/>
  <c r="B184" i="33"/>
  <c r="D184" i="33"/>
  <c r="A185" i="33"/>
  <c r="B185" i="33"/>
  <c r="D185" i="33"/>
  <c r="A186" i="33"/>
  <c r="B186" i="33"/>
  <c r="D186" i="33"/>
  <c r="A187" i="33"/>
  <c r="B187" i="33"/>
  <c r="D187" i="33"/>
  <c r="A188" i="33"/>
  <c r="B188" i="33"/>
  <c r="D188" i="33"/>
  <c r="A189" i="33"/>
  <c r="B189" i="33"/>
  <c r="D189" i="33"/>
  <c r="A190" i="33"/>
  <c r="B190" i="33"/>
  <c r="D190" i="33"/>
  <c r="A191" i="33"/>
  <c r="B191" i="33"/>
  <c r="D191" i="33"/>
  <c r="A192" i="33"/>
  <c r="B192" i="33"/>
  <c r="D192" i="33"/>
  <c r="A193" i="33"/>
  <c r="B193" i="33"/>
  <c r="D193" i="33"/>
  <c r="A194" i="33"/>
  <c r="B194" i="33"/>
  <c r="D194" i="33"/>
  <c r="A195" i="33"/>
  <c r="B195" i="33"/>
  <c r="D195" i="33"/>
  <c r="A196" i="33"/>
  <c r="B196" i="33"/>
  <c r="D196" i="33"/>
  <c r="A197" i="33"/>
  <c r="B197" i="33"/>
  <c r="D197" i="33"/>
  <c r="A198" i="33"/>
  <c r="B198" i="33"/>
  <c r="D198" i="33"/>
  <c r="A199" i="33"/>
  <c r="B199" i="33"/>
  <c r="D199" i="33"/>
  <c r="A200" i="33"/>
  <c r="B200" i="33"/>
  <c r="D200" i="33"/>
  <c r="A201" i="33"/>
  <c r="B201" i="33"/>
  <c r="D201" i="33"/>
  <c r="A202" i="33"/>
  <c r="B202" i="33"/>
  <c r="D202" i="33"/>
  <c r="A203" i="33"/>
  <c r="B203" i="33"/>
  <c r="D203" i="33"/>
  <c r="A204" i="33"/>
  <c r="B204" i="33"/>
  <c r="D204" i="33"/>
  <c r="A205" i="33"/>
  <c r="B205" i="33"/>
  <c r="D205" i="33"/>
  <c r="A206" i="33"/>
  <c r="B206" i="33"/>
  <c r="D206" i="33"/>
  <c r="A207" i="33"/>
  <c r="B207" i="33"/>
  <c r="D207" i="33"/>
  <c r="A208" i="33"/>
  <c r="B208" i="33"/>
  <c r="D208" i="33"/>
  <c r="A209" i="33"/>
  <c r="B209" i="33"/>
  <c r="D209" i="33"/>
  <c r="A210" i="33"/>
  <c r="B210" i="33"/>
  <c r="D210" i="33"/>
  <c r="A211" i="33"/>
  <c r="B211" i="33"/>
  <c r="D211" i="33"/>
  <c r="A212" i="33"/>
  <c r="B212" i="33"/>
  <c r="D212" i="33"/>
  <c r="A213" i="33"/>
  <c r="B213" i="33"/>
  <c r="D213" i="33"/>
  <c r="A214" i="33"/>
  <c r="B214" i="33"/>
  <c r="D214" i="33"/>
  <c r="A215" i="33"/>
  <c r="B215" i="33"/>
  <c r="D215" i="33"/>
  <c r="A216" i="33"/>
  <c r="B216" i="33"/>
  <c r="D216" i="33"/>
  <c r="A217" i="33"/>
  <c r="B217" i="33"/>
  <c r="D217" i="33"/>
  <c r="A218" i="33"/>
  <c r="B218" i="33"/>
  <c r="D218" i="33"/>
  <c r="A219" i="33"/>
  <c r="B219" i="33"/>
  <c r="D219" i="33"/>
  <c r="A220" i="33"/>
  <c r="B220" i="33"/>
  <c r="D220" i="33"/>
  <c r="A221" i="33"/>
  <c r="B221" i="33"/>
  <c r="D221" i="33"/>
  <c r="A222" i="33"/>
  <c r="B222" i="33"/>
  <c r="D222" i="33"/>
  <c r="A223" i="33"/>
  <c r="B223" i="33"/>
  <c r="D223" i="33"/>
  <c r="A224" i="33"/>
  <c r="B224" i="33"/>
  <c r="D224" i="33"/>
  <c r="A225" i="33"/>
  <c r="B225" i="33"/>
  <c r="D225" i="33"/>
  <c r="A226" i="33"/>
  <c r="B226" i="33"/>
  <c r="D226" i="33"/>
  <c r="A227" i="33"/>
  <c r="B227" i="33"/>
  <c r="D227" i="33"/>
  <c r="A228" i="33"/>
  <c r="B228" i="33"/>
  <c r="D228" i="33"/>
  <c r="A229" i="33"/>
  <c r="B229" i="33"/>
  <c r="D229" i="33"/>
  <c r="A230" i="33"/>
  <c r="B230" i="33"/>
  <c r="D230" i="33"/>
  <c r="A231" i="33"/>
  <c r="B231" i="33"/>
  <c r="D231" i="33"/>
  <c r="A232" i="33"/>
  <c r="B232" i="33"/>
  <c r="D232" i="33"/>
  <c r="A233" i="33"/>
  <c r="B233" i="33"/>
  <c r="D233" i="33"/>
  <c r="A234" i="33"/>
  <c r="B234" i="33"/>
  <c r="D234" i="33"/>
  <c r="A235" i="33"/>
  <c r="B235" i="33"/>
  <c r="D235" i="33"/>
  <c r="A236" i="33"/>
  <c r="B236" i="33"/>
  <c r="D236" i="33"/>
  <c r="A237" i="33"/>
  <c r="B237" i="33"/>
  <c r="D237" i="33"/>
  <c r="A238" i="33"/>
  <c r="B238" i="33"/>
  <c r="D238" i="33"/>
  <c r="A239" i="33"/>
  <c r="B239" i="33"/>
  <c r="D239" i="33"/>
  <c r="A240" i="33"/>
  <c r="B240" i="33"/>
  <c r="D240" i="33"/>
  <c r="A241" i="33"/>
  <c r="B241" i="33"/>
  <c r="D241" i="33"/>
  <c r="A242" i="33"/>
  <c r="B242" i="33"/>
  <c r="D242" i="33"/>
  <c r="A243" i="33"/>
  <c r="B243" i="33"/>
  <c r="D243" i="33"/>
  <c r="A244" i="33"/>
  <c r="B244" i="33"/>
  <c r="D244" i="33"/>
  <c r="A245" i="33"/>
  <c r="B245" i="33"/>
  <c r="D245" i="33"/>
  <c r="A246" i="33"/>
  <c r="B246" i="33"/>
  <c r="D246" i="33"/>
  <c r="A247" i="33"/>
  <c r="B247" i="33"/>
  <c r="D247" i="33"/>
  <c r="A248" i="33"/>
  <c r="B248" i="33"/>
  <c r="D248" i="33"/>
  <c r="A249" i="33"/>
  <c r="B249" i="33"/>
  <c r="D249" i="33"/>
  <c r="A250" i="33"/>
  <c r="B250" i="33"/>
  <c r="D250" i="33"/>
  <c r="A251" i="33"/>
  <c r="B251" i="33"/>
  <c r="D251" i="33"/>
  <c r="A252" i="33"/>
  <c r="B252" i="33"/>
  <c r="D252" i="33"/>
  <c r="A253" i="33"/>
  <c r="B253" i="33"/>
  <c r="D253" i="33"/>
  <c r="A254" i="33"/>
  <c r="B254" i="33"/>
  <c r="D254" i="33"/>
  <c r="A255" i="33"/>
  <c r="B255" i="33"/>
  <c r="D255" i="33"/>
  <c r="A256" i="33"/>
  <c r="B256" i="33"/>
  <c r="D256" i="33"/>
  <c r="A257" i="33"/>
  <c r="B257" i="33"/>
  <c r="D257" i="33"/>
  <c r="A258" i="33"/>
  <c r="B258" i="33"/>
  <c r="D258" i="33"/>
  <c r="A259" i="33"/>
  <c r="B259" i="33"/>
  <c r="D259" i="33"/>
  <c r="A260" i="33"/>
  <c r="B260" i="33"/>
  <c r="D260" i="33"/>
  <c r="A261" i="33"/>
  <c r="B261" i="33"/>
  <c r="D261" i="33"/>
  <c r="A262" i="33"/>
  <c r="B262" i="33"/>
  <c r="D262" i="33"/>
  <c r="A263" i="33"/>
  <c r="B263" i="33"/>
  <c r="D263" i="33"/>
  <c r="A264" i="33"/>
  <c r="B264" i="33"/>
  <c r="D264" i="33"/>
  <c r="A265" i="33"/>
  <c r="B265" i="33"/>
  <c r="D265" i="33"/>
  <c r="A266" i="33"/>
  <c r="B266" i="33"/>
  <c r="D266" i="33"/>
  <c r="A267" i="33"/>
  <c r="B267" i="33"/>
  <c r="D267" i="33"/>
  <c r="A268" i="33"/>
  <c r="B268" i="33"/>
  <c r="D268" i="33"/>
  <c r="A269" i="33"/>
  <c r="B269" i="33"/>
  <c r="D269" i="33"/>
  <c r="A270" i="33"/>
  <c r="B270" i="33"/>
  <c r="D270" i="33"/>
  <c r="A271" i="33"/>
  <c r="B271" i="33"/>
  <c r="D271" i="33"/>
  <c r="A272" i="33"/>
  <c r="B272" i="33"/>
  <c r="D272" i="33"/>
  <c r="A273" i="33"/>
  <c r="B273" i="33"/>
  <c r="D273" i="33"/>
  <c r="A274" i="33"/>
  <c r="B274" i="33"/>
  <c r="D274" i="33"/>
  <c r="A275" i="33"/>
  <c r="B275" i="33"/>
  <c r="D275" i="33"/>
  <c r="A276" i="33"/>
  <c r="B276" i="33"/>
  <c r="D276" i="33"/>
  <c r="A277" i="33"/>
  <c r="B277" i="33"/>
  <c r="D277" i="33"/>
  <c r="A278" i="33"/>
  <c r="B278" i="33"/>
  <c r="D278" i="33"/>
  <c r="A279" i="33"/>
  <c r="B279" i="33"/>
  <c r="D279" i="33"/>
  <c r="A280" i="33"/>
  <c r="B280" i="33"/>
  <c r="D280" i="33"/>
  <c r="A281" i="33"/>
  <c r="B281" i="33"/>
  <c r="D281" i="33"/>
  <c r="A282" i="33"/>
  <c r="B282" i="33"/>
  <c r="D282" i="33"/>
  <c r="A283" i="33"/>
  <c r="B283" i="33"/>
  <c r="D283" i="33"/>
  <c r="A284" i="33"/>
  <c r="B284" i="33"/>
  <c r="D284" i="33"/>
  <c r="A285" i="33"/>
  <c r="B285" i="33"/>
  <c r="D285" i="33"/>
  <c r="A286" i="33"/>
  <c r="B286" i="33"/>
  <c r="D286" i="33"/>
  <c r="A287" i="33"/>
  <c r="B287" i="33"/>
  <c r="D287" i="33"/>
  <c r="A288" i="33"/>
  <c r="B288" i="33"/>
  <c r="D288" i="33"/>
  <c r="A289" i="33"/>
  <c r="B289" i="33"/>
  <c r="D289" i="33"/>
  <c r="A290" i="33"/>
  <c r="B290" i="33"/>
  <c r="D290" i="33"/>
  <c r="A291" i="33"/>
  <c r="B291" i="33"/>
  <c r="D291" i="33"/>
  <c r="A292" i="33"/>
  <c r="B292" i="33"/>
  <c r="D292" i="33"/>
  <c r="A293" i="33"/>
  <c r="B293" i="33"/>
  <c r="D293" i="33"/>
  <c r="A294" i="33"/>
  <c r="B294" i="33"/>
  <c r="D294" i="33"/>
  <c r="A295" i="33"/>
  <c r="B295" i="33"/>
  <c r="D295" i="33"/>
  <c r="A296" i="33"/>
  <c r="B296" i="33"/>
  <c r="D296" i="33"/>
  <c r="A297" i="33"/>
  <c r="B297" i="33"/>
  <c r="D297" i="33"/>
  <c r="A298" i="33"/>
  <c r="B298" i="33"/>
  <c r="D298" i="33"/>
  <c r="A299" i="33"/>
  <c r="B299" i="33"/>
  <c r="D299" i="33"/>
  <c r="A300" i="33"/>
  <c r="B300" i="33"/>
  <c r="D300" i="33"/>
  <c r="A301" i="33"/>
  <c r="B301" i="33"/>
  <c r="D301" i="33"/>
  <c r="A302" i="33"/>
  <c r="B302" i="33"/>
  <c r="D302" i="33"/>
  <c r="A303" i="33"/>
  <c r="B303" i="33"/>
  <c r="D303" i="33"/>
  <c r="A304" i="33"/>
  <c r="B304" i="33"/>
  <c r="D304" i="33"/>
  <c r="A305" i="33"/>
  <c r="B305" i="33"/>
  <c r="D305" i="33"/>
  <c r="A13" i="9"/>
  <c r="B13" i="9"/>
  <c r="D13" i="9"/>
  <c r="E13" i="9"/>
  <c r="A14" i="9"/>
  <c r="B14" i="9"/>
  <c r="D14" i="9"/>
  <c r="F14" i="9" s="1"/>
  <c r="E14" i="9"/>
  <c r="A15" i="9"/>
  <c r="B15" i="9"/>
  <c r="D15" i="9"/>
  <c r="E15" i="9"/>
  <c r="A16" i="9"/>
  <c r="B16" i="9"/>
  <c r="D16" i="9"/>
  <c r="E16" i="9"/>
  <c r="A17" i="9"/>
  <c r="B17" i="9"/>
  <c r="D17" i="9"/>
  <c r="F17" i="9" s="1"/>
  <c r="E17" i="9"/>
  <c r="A18" i="9"/>
  <c r="B18" i="9"/>
  <c r="D18" i="9"/>
  <c r="E18" i="9"/>
  <c r="F18" i="9" s="1"/>
  <c r="A19" i="9"/>
  <c r="B19" i="9"/>
  <c r="D19" i="9"/>
  <c r="E19" i="9"/>
  <c r="A20" i="9"/>
  <c r="B20" i="9"/>
  <c r="D20" i="9"/>
  <c r="F20" i="9" s="1"/>
  <c r="E20" i="9"/>
  <c r="A21" i="9"/>
  <c r="B21" i="9"/>
  <c r="D21" i="9"/>
  <c r="F21" i="9" s="1"/>
  <c r="E21" i="9"/>
  <c r="A22" i="9"/>
  <c r="B22" i="9"/>
  <c r="D22" i="9"/>
  <c r="E22" i="9"/>
  <c r="F22" i="9"/>
  <c r="A23" i="9"/>
  <c r="B23" i="9"/>
  <c r="D23" i="9"/>
  <c r="F23" i="9" s="1"/>
  <c r="E23" i="9"/>
  <c r="A24" i="9"/>
  <c r="B24" i="9"/>
  <c r="D24" i="9"/>
  <c r="F24" i="9" s="1"/>
  <c r="E24" i="9"/>
  <c r="A25" i="9"/>
  <c r="B25" i="9"/>
  <c r="D25" i="9"/>
  <c r="E25" i="9"/>
  <c r="F25" i="9"/>
  <c r="A26" i="9"/>
  <c r="B26" i="9"/>
  <c r="D26" i="9"/>
  <c r="E26" i="9"/>
  <c r="A27" i="9"/>
  <c r="B27" i="9"/>
  <c r="D27" i="9"/>
  <c r="F27" i="9" s="1"/>
  <c r="E27" i="9"/>
  <c r="A28" i="9"/>
  <c r="B28" i="9"/>
  <c r="D28" i="9"/>
  <c r="E28" i="9"/>
  <c r="A29" i="9"/>
  <c r="B29" i="9"/>
  <c r="D29" i="9"/>
  <c r="E29" i="9"/>
  <c r="A30" i="9"/>
  <c r="B30" i="9"/>
  <c r="D30" i="9"/>
  <c r="F30" i="9" s="1"/>
  <c r="E30" i="9"/>
  <c r="A31" i="9"/>
  <c r="B31" i="9"/>
  <c r="D31" i="9"/>
  <c r="E31" i="9"/>
  <c r="A32" i="9"/>
  <c r="B32" i="9"/>
  <c r="D32" i="9"/>
  <c r="F32" i="9" s="1"/>
  <c r="E32" i="9"/>
  <c r="A33" i="9"/>
  <c r="B33" i="9"/>
  <c r="D33" i="9"/>
  <c r="F33" i="9" s="1"/>
  <c r="E33" i="9"/>
  <c r="A34" i="9"/>
  <c r="B34" i="9"/>
  <c r="D34" i="9"/>
  <c r="E34" i="9"/>
  <c r="F34" i="9" s="1"/>
  <c r="A35" i="9"/>
  <c r="B35" i="9"/>
  <c r="D35" i="9"/>
  <c r="E35" i="9"/>
  <c r="A36" i="9"/>
  <c r="B36" i="9"/>
  <c r="D36" i="9"/>
  <c r="F36" i="9" s="1"/>
  <c r="E36" i="9"/>
  <c r="A37" i="9"/>
  <c r="B37" i="9"/>
  <c r="D37" i="9"/>
  <c r="F37" i="9" s="1"/>
  <c r="E37" i="9"/>
  <c r="A38" i="9"/>
  <c r="B38" i="9"/>
  <c r="D38" i="9"/>
  <c r="E38" i="9"/>
  <c r="F38" i="9" s="1"/>
  <c r="A39" i="9"/>
  <c r="B39" i="9"/>
  <c r="D39" i="9"/>
  <c r="F39" i="9" s="1"/>
  <c r="E39" i="9"/>
  <c r="A40" i="9"/>
  <c r="B40" i="9"/>
  <c r="D40" i="9"/>
  <c r="F40" i="9" s="1"/>
  <c r="E40" i="9"/>
  <c r="A41" i="9"/>
  <c r="B41" i="9"/>
  <c r="D41" i="9"/>
  <c r="E41" i="9"/>
  <c r="F41" i="9" s="1"/>
  <c r="A42" i="9"/>
  <c r="B42" i="9"/>
  <c r="D42" i="9"/>
  <c r="E42" i="9"/>
  <c r="A43" i="9"/>
  <c r="B43" i="9"/>
  <c r="D43" i="9"/>
  <c r="F43" i="9" s="1"/>
  <c r="E43" i="9"/>
  <c r="A44" i="9"/>
  <c r="B44" i="9"/>
  <c r="D44" i="9"/>
  <c r="E44" i="9"/>
  <c r="A45" i="9"/>
  <c r="B45" i="9"/>
  <c r="D45" i="9"/>
  <c r="F45" i="9" s="1"/>
  <c r="E45" i="9"/>
  <c r="A46" i="9"/>
  <c r="B46" i="9"/>
  <c r="D46" i="9"/>
  <c r="F46" i="9" s="1"/>
  <c r="E46" i="9"/>
  <c r="A47" i="9"/>
  <c r="B47" i="9"/>
  <c r="D47" i="9"/>
  <c r="E47" i="9"/>
  <c r="A48" i="9"/>
  <c r="B48" i="9"/>
  <c r="D48" i="9"/>
  <c r="E48" i="9"/>
  <c r="A49" i="9"/>
  <c r="B49" i="9"/>
  <c r="D49" i="9"/>
  <c r="F49" i="9" s="1"/>
  <c r="E49" i="9"/>
  <c r="A50" i="9"/>
  <c r="B50" i="9"/>
  <c r="D50" i="9"/>
  <c r="E50" i="9"/>
  <c r="F50" i="9" s="1"/>
  <c r="A51" i="9"/>
  <c r="B51" i="9"/>
  <c r="D51" i="9"/>
  <c r="E51" i="9"/>
  <c r="A52" i="9"/>
  <c r="B52" i="9"/>
  <c r="D52" i="9"/>
  <c r="F52" i="9" s="1"/>
  <c r="E52" i="9"/>
  <c r="A53" i="9"/>
  <c r="B53" i="9"/>
  <c r="D53" i="9"/>
  <c r="F53" i="9" s="1"/>
  <c r="E53" i="9"/>
  <c r="A54" i="9"/>
  <c r="B54" i="9"/>
  <c r="D54" i="9"/>
  <c r="E54" i="9"/>
  <c r="F54" i="9" s="1"/>
  <c r="A55" i="9"/>
  <c r="B55" i="9"/>
  <c r="D55" i="9"/>
  <c r="F55" i="9" s="1"/>
  <c r="E55" i="9"/>
  <c r="A56" i="9"/>
  <c r="B56" i="9"/>
  <c r="D56" i="9"/>
  <c r="F56" i="9" s="1"/>
  <c r="E56" i="9"/>
  <c r="A57" i="9"/>
  <c r="B57" i="9"/>
  <c r="D57" i="9"/>
  <c r="E57" i="9"/>
  <c r="F57" i="9" s="1"/>
  <c r="A58" i="9"/>
  <c r="B58" i="9"/>
  <c r="D58" i="9"/>
  <c r="E58" i="9"/>
  <c r="A59" i="9"/>
  <c r="B59" i="9"/>
  <c r="D59" i="9"/>
  <c r="F59" i="9" s="1"/>
  <c r="E59" i="9"/>
  <c r="A60" i="9"/>
  <c r="B60" i="9"/>
  <c r="D60" i="9"/>
  <c r="E60" i="9"/>
  <c r="A61" i="9"/>
  <c r="B61" i="9"/>
  <c r="D61" i="9"/>
  <c r="E61" i="9"/>
  <c r="A62" i="9"/>
  <c r="B62" i="9"/>
  <c r="D62" i="9"/>
  <c r="F62" i="9" s="1"/>
  <c r="E62" i="9"/>
  <c r="A63" i="9"/>
  <c r="B63" i="9"/>
  <c r="D63" i="9"/>
  <c r="E63" i="9"/>
  <c r="A64" i="9"/>
  <c r="B64" i="9"/>
  <c r="D64" i="9"/>
  <c r="F64" i="9" s="1"/>
  <c r="E64" i="9"/>
  <c r="A65" i="9"/>
  <c r="B65" i="9"/>
  <c r="D65" i="9"/>
  <c r="F65" i="9" s="1"/>
  <c r="E65" i="9"/>
  <c r="A66" i="9"/>
  <c r="B66" i="9"/>
  <c r="D66" i="9"/>
  <c r="E66" i="9"/>
  <c r="F66" i="9" s="1"/>
  <c r="A67" i="9"/>
  <c r="B67" i="9"/>
  <c r="D67" i="9"/>
  <c r="E67" i="9"/>
  <c r="A68" i="9"/>
  <c r="B68" i="9"/>
  <c r="D68" i="9"/>
  <c r="F68" i="9" s="1"/>
  <c r="E68" i="9"/>
  <c r="A69" i="9"/>
  <c r="B69" i="9"/>
  <c r="D69" i="9"/>
  <c r="F69" i="9" s="1"/>
  <c r="E69" i="9"/>
  <c r="A70" i="9"/>
  <c r="B70" i="9"/>
  <c r="D70" i="9"/>
  <c r="E70" i="9"/>
  <c r="F70" i="9"/>
  <c r="A71" i="9"/>
  <c r="B71" i="9"/>
  <c r="D71" i="9"/>
  <c r="F71" i="9" s="1"/>
  <c r="E71" i="9"/>
  <c r="A72" i="9"/>
  <c r="B72" i="9"/>
  <c r="D72" i="9"/>
  <c r="F72" i="9" s="1"/>
  <c r="E72" i="9"/>
  <c r="A73" i="9"/>
  <c r="B73" i="9"/>
  <c r="D73" i="9"/>
  <c r="E73" i="9"/>
  <c r="F73" i="9"/>
  <c r="A74" i="9"/>
  <c r="B74" i="9"/>
  <c r="D74" i="9"/>
  <c r="E74" i="9"/>
  <c r="A75" i="9"/>
  <c r="B75" i="9"/>
  <c r="D75" i="9"/>
  <c r="F75" i="9" s="1"/>
  <c r="E75" i="9"/>
  <c r="A76" i="9"/>
  <c r="B76" i="9"/>
  <c r="D76" i="9"/>
  <c r="E76" i="9"/>
  <c r="A77" i="9"/>
  <c r="B77" i="9"/>
  <c r="D77" i="9"/>
  <c r="F77" i="9" s="1"/>
  <c r="E77" i="9"/>
  <c r="A78" i="9"/>
  <c r="B78" i="9"/>
  <c r="D78" i="9"/>
  <c r="F78" i="9" s="1"/>
  <c r="E78" i="9"/>
  <c r="A79" i="9"/>
  <c r="B79" i="9"/>
  <c r="D79" i="9"/>
  <c r="E79" i="9"/>
  <c r="A80" i="9"/>
  <c r="B80" i="9"/>
  <c r="D80" i="9"/>
  <c r="F80" i="9" s="1"/>
  <c r="E80" i="9"/>
  <c r="A81" i="9"/>
  <c r="B81" i="9"/>
  <c r="D81" i="9"/>
  <c r="F81" i="9" s="1"/>
  <c r="E81" i="9"/>
  <c r="A82" i="9"/>
  <c r="B82" i="9"/>
  <c r="D82" i="9"/>
  <c r="E82" i="9"/>
  <c r="F82" i="9" s="1"/>
  <c r="A83" i="9"/>
  <c r="B83" i="9"/>
  <c r="D83" i="9"/>
  <c r="F83" i="9" s="1"/>
  <c r="E83" i="9"/>
  <c r="A84" i="9"/>
  <c r="B84" i="9"/>
  <c r="D84" i="9"/>
  <c r="F84" i="9" s="1"/>
  <c r="E84" i="9"/>
  <c r="A85" i="9"/>
  <c r="B85" i="9"/>
  <c r="D85" i="9"/>
  <c r="F85" i="9" s="1"/>
  <c r="E85" i="9"/>
  <c r="A86" i="9"/>
  <c r="B86" i="9"/>
  <c r="D86" i="9"/>
  <c r="E86" i="9"/>
  <c r="F86" i="9"/>
  <c r="A87" i="9"/>
  <c r="B87" i="9"/>
  <c r="D87" i="9"/>
  <c r="F87" i="9" s="1"/>
  <c r="E87" i="9"/>
  <c r="A88" i="9"/>
  <c r="B88" i="9"/>
  <c r="D88" i="9"/>
  <c r="F88" i="9" s="1"/>
  <c r="E88" i="9"/>
  <c r="A89" i="9"/>
  <c r="B89" i="9"/>
  <c r="D89" i="9"/>
  <c r="E89" i="9"/>
  <c r="F89" i="9" s="1"/>
  <c r="A90" i="9"/>
  <c r="B90" i="9"/>
  <c r="D90" i="9"/>
  <c r="E90" i="9"/>
  <c r="A91" i="9"/>
  <c r="B91" i="9"/>
  <c r="D91" i="9"/>
  <c r="F91" i="9" s="1"/>
  <c r="E91" i="9"/>
  <c r="A92" i="9"/>
  <c r="B92" i="9"/>
  <c r="D92" i="9"/>
  <c r="E92" i="9"/>
  <c r="A93" i="9"/>
  <c r="B93" i="9"/>
  <c r="D93" i="9"/>
  <c r="F93" i="9" s="1"/>
  <c r="E93" i="9"/>
  <c r="A94" i="9"/>
  <c r="B94" i="9"/>
  <c r="D94" i="9"/>
  <c r="F94" i="9" s="1"/>
  <c r="E94" i="9"/>
  <c r="A95" i="9"/>
  <c r="B95" i="9"/>
  <c r="D95" i="9"/>
  <c r="E95" i="9"/>
  <c r="A96" i="9"/>
  <c r="B96" i="9"/>
  <c r="D96" i="9"/>
  <c r="E96" i="9"/>
  <c r="A97" i="9"/>
  <c r="B97" i="9"/>
  <c r="D97" i="9"/>
  <c r="F97" i="9" s="1"/>
  <c r="E97" i="9"/>
  <c r="A98" i="9"/>
  <c r="B98" i="9"/>
  <c r="D98" i="9"/>
  <c r="E98" i="9"/>
  <c r="F98" i="9" s="1"/>
  <c r="A99" i="9"/>
  <c r="B99" i="9"/>
  <c r="D99" i="9"/>
  <c r="E99" i="9"/>
  <c r="A100" i="9"/>
  <c r="B100" i="9"/>
  <c r="D100" i="9"/>
  <c r="F100" i="9" s="1"/>
  <c r="E100" i="9"/>
  <c r="A101" i="9"/>
  <c r="B101" i="9"/>
  <c r="D101" i="9"/>
  <c r="F101" i="9" s="1"/>
  <c r="E101" i="9"/>
  <c r="A102" i="9"/>
  <c r="B102" i="9"/>
  <c r="D102" i="9"/>
  <c r="E102" i="9"/>
  <c r="F102" i="9" s="1"/>
  <c r="A103" i="9"/>
  <c r="B103" i="9"/>
  <c r="D103" i="9"/>
  <c r="F103" i="9" s="1"/>
  <c r="E103" i="9"/>
  <c r="A104" i="9"/>
  <c r="B104" i="9"/>
  <c r="D104" i="9"/>
  <c r="F104" i="9" s="1"/>
  <c r="E104" i="9"/>
  <c r="A105" i="9"/>
  <c r="B105" i="9"/>
  <c r="D105" i="9"/>
  <c r="E105" i="9"/>
  <c r="F105" i="9" s="1"/>
  <c r="A106" i="9"/>
  <c r="B106" i="9"/>
  <c r="D106" i="9"/>
  <c r="E106" i="9"/>
  <c r="A107" i="9"/>
  <c r="B107" i="9"/>
  <c r="D107" i="9"/>
  <c r="F107" i="9" s="1"/>
  <c r="E107" i="9"/>
  <c r="A108" i="9"/>
  <c r="B108" i="9"/>
  <c r="D108" i="9"/>
  <c r="E108" i="9"/>
  <c r="A109" i="9"/>
  <c r="B109" i="9"/>
  <c r="D109" i="9"/>
  <c r="E109" i="9"/>
  <c r="A110" i="9"/>
  <c r="B110" i="9"/>
  <c r="D110" i="9"/>
  <c r="F110" i="9" s="1"/>
  <c r="E110" i="9"/>
  <c r="A111" i="9"/>
  <c r="B111" i="9"/>
  <c r="D111" i="9"/>
  <c r="E111" i="9"/>
  <c r="A112" i="9"/>
  <c r="B112" i="9"/>
  <c r="D112" i="9"/>
  <c r="E112" i="9"/>
  <c r="A113" i="9"/>
  <c r="B113" i="9"/>
  <c r="D113" i="9"/>
  <c r="F113" i="9" s="1"/>
  <c r="E113" i="9"/>
  <c r="A114" i="9"/>
  <c r="B114" i="9"/>
  <c r="D114" i="9"/>
  <c r="E114" i="9"/>
  <c r="F114" i="9" s="1"/>
  <c r="A115" i="9"/>
  <c r="B115" i="9"/>
  <c r="D115" i="9"/>
  <c r="E115" i="9"/>
  <c r="A116" i="9"/>
  <c r="B116" i="9"/>
  <c r="D116" i="9"/>
  <c r="F116" i="9" s="1"/>
  <c r="E116" i="9"/>
  <c r="A117" i="9"/>
  <c r="B117" i="9"/>
  <c r="D117" i="9"/>
  <c r="F117" i="9" s="1"/>
  <c r="E117" i="9"/>
  <c r="A118" i="9"/>
  <c r="B118" i="9"/>
  <c r="D118" i="9"/>
  <c r="E118" i="9"/>
  <c r="F118" i="9" s="1"/>
  <c r="A119" i="9"/>
  <c r="B119" i="9"/>
  <c r="D119" i="9"/>
  <c r="F119" i="9" s="1"/>
  <c r="E119" i="9"/>
  <c r="A120" i="9"/>
  <c r="B120" i="9"/>
  <c r="D120" i="9"/>
  <c r="F120" i="9" s="1"/>
  <c r="E120" i="9"/>
  <c r="A121" i="9"/>
  <c r="B121" i="9"/>
  <c r="D121" i="9"/>
  <c r="E121" i="9"/>
  <c r="F121" i="9"/>
  <c r="A122" i="9"/>
  <c r="B122" i="9"/>
  <c r="D122" i="9"/>
  <c r="E122" i="9"/>
  <c r="F122" i="9" s="1"/>
  <c r="A123" i="9"/>
  <c r="B123" i="9"/>
  <c r="D123" i="9"/>
  <c r="F123" i="9" s="1"/>
  <c r="E123" i="9"/>
  <c r="A124" i="9"/>
  <c r="B124" i="9"/>
  <c r="D124" i="9"/>
  <c r="E124" i="9"/>
  <c r="A125" i="9"/>
  <c r="B125" i="9"/>
  <c r="D125" i="9"/>
  <c r="E125" i="9"/>
  <c r="A126" i="9"/>
  <c r="B126" i="9"/>
  <c r="D126" i="9"/>
  <c r="E126" i="9"/>
  <c r="A127" i="9"/>
  <c r="B127" i="9"/>
  <c r="D127" i="9"/>
  <c r="E127" i="9"/>
  <c r="A128" i="9"/>
  <c r="B128" i="9"/>
  <c r="D128" i="9"/>
  <c r="F128" i="9" s="1"/>
  <c r="E128" i="9"/>
  <c r="A129" i="9"/>
  <c r="B129" i="9"/>
  <c r="D129" i="9"/>
  <c r="F129" i="9" s="1"/>
  <c r="E129" i="9"/>
  <c r="A130" i="9"/>
  <c r="B130" i="9"/>
  <c r="D130" i="9"/>
  <c r="E130" i="9"/>
  <c r="F130" i="9" s="1"/>
  <c r="A131" i="9"/>
  <c r="B131" i="9"/>
  <c r="D131" i="9"/>
  <c r="F131" i="9" s="1"/>
  <c r="E131" i="9"/>
  <c r="A132" i="9"/>
  <c r="B132" i="9"/>
  <c r="D132" i="9"/>
  <c r="F132" i="9" s="1"/>
  <c r="E132" i="9"/>
  <c r="A133" i="9"/>
  <c r="B133" i="9"/>
  <c r="D133" i="9"/>
  <c r="F133" i="9" s="1"/>
  <c r="E133" i="9"/>
  <c r="A134" i="9"/>
  <c r="B134" i="9"/>
  <c r="D134" i="9"/>
  <c r="E134" i="9"/>
  <c r="F134" i="9" s="1"/>
  <c r="A135" i="9"/>
  <c r="B135" i="9"/>
  <c r="D135" i="9"/>
  <c r="F135" i="9" s="1"/>
  <c r="E135" i="9"/>
  <c r="A136" i="9"/>
  <c r="B136" i="9"/>
  <c r="D136" i="9"/>
  <c r="F136" i="9" s="1"/>
  <c r="E136" i="9"/>
  <c r="A137" i="9"/>
  <c r="B137" i="9"/>
  <c r="D137" i="9"/>
  <c r="E137" i="9"/>
  <c r="F137" i="9" s="1"/>
  <c r="A138" i="9"/>
  <c r="B138" i="9"/>
  <c r="D138" i="9"/>
  <c r="E138" i="9"/>
  <c r="A139" i="9"/>
  <c r="B139" i="9"/>
  <c r="D139" i="9"/>
  <c r="F139" i="9" s="1"/>
  <c r="E139" i="9"/>
  <c r="A140" i="9"/>
  <c r="B140" i="9"/>
  <c r="D140" i="9"/>
  <c r="E140" i="9"/>
  <c r="A141" i="9"/>
  <c r="B141" i="9"/>
  <c r="D141" i="9"/>
  <c r="E141" i="9"/>
  <c r="A142" i="9"/>
  <c r="B142" i="9"/>
  <c r="D142" i="9"/>
  <c r="F142" i="9" s="1"/>
  <c r="E142" i="9"/>
  <c r="A143" i="9"/>
  <c r="B143" i="9"/>
  <c r="D143" i="9"/>
  <c r="E143" i="9"/>
  <c r="A144" i="9"/>
  <c r="B144" i="9"/>
  <c r="D144" i="9"/>
  <c r="E144" i="9"/>
  <c r="A145" i="9"/>
  <c r="B145" i="9"/>
  <c r="D145" i="9"/>
  <c r="F145" i="9" s="1"/>
  <c r="E145" i="9"/>
  <c r="A146" i="9"/>
  <c r="B146" i="9"/>
  <c r="D146" i="9"/>
  <c r="E146" i="9"/>
  <c r="A147" i="9"/>
  <c r="B147" i="9"/>
  <c r="D147" i="9"/>
  <c r="E147" i="9"/>
  <c r="A148" i="9"/>
  <c r="B148" i="9"/>
  <c r="D148" i="9"/>
  <c r="E148" i="9"/>
  <c r="A149" i="9"/>
  <c r="B149" i="9"/>
  <c r="D149" i="9"/>
  <c r="E149" i="9"/>
  <c r="A150" i="9"/>
  <c r="B150" i="9"/>
  <c r="D150" i="9"/>
  <c r="E150" i="9"/>
  <c r="F150" i="9"/>
  <c r="A151" i="9"/>
  <c r="B151" i="9"/>
  <c r="D151" i="9"/>
  <c r="E151" i="9"/>
  <c r="A152" i="9"/>
  <c r="B152" i="9"/>
  <c r="D152" i="9"/>
  <c r="E152" i="9"/>
  <c r="A153" i="9"/>
  <c r="B153" i="9"/>
  <c r="D153" i="9"/>
  <c r="E153" i="9"/>
  <c r="F153" i="9"/>
  <c r="A154" i="9"/>
  <c r="B154" i="9"/>
  <c r="D154" i="9"/>
  <c r="E154" i="9"/>
  <c r="F154" i="9" s="1"/>
  <c r="A155" i="9"/>
  <c r="B155" i="9"/>
  <c r="D155" i="9"/>
  <c r="E155" i="9"/>
  <c r="A156" i="9"/>
  <c r="B156" i="9"/>
  <c r="D156" i="9"/>
  <c r="E156" i="9"/>
  <c r="A157" i="9"/>
  <c r="B157" i="9"/>
  <c r="D157" i="9"/>
  <c r="F157" i="9" s="1"/>
  <c r="E157" i="9"/>
  <c r="A158" i="9"/>
  <c r="B158" i="9"/>
  <c r="D158" i="9"/>
  <c r="E158" i="9"/>
  <c r="F158" i="9"/>
  <c r="A159" i="9"/>
  <c r="B159" i="9"/>
  <c r="D159" i="9"/>
  <c r="E159" i="9"/>
  <c r="A160" i="9"/>
  <c r="B160" i="9"/>
  <c r="D160" i="9"/>
  <c r="F160" i="9" s="1"/>
  <c r="E160" i="9"/>
  <c r="A161" i="9"/>
  <c r="B161" i="9"/>
  <c r="D161" i="9"/>
  <c r="E161" i="9"/>
  <c r="F161" i="9"/>
  <c r="A162" i="9"/>
  <c r="B162" i="9"/>
  <c r="D162" i="9"/>
  <c r="E162" i="9"/>
  <c r="F162" i="9" s="1"/>
  <c r="A163" i="9"/>
  <c r="B163" i="9"/>
  <c r="D163" i="9"/>
  <c r="F163" i="9" s="1"/>
  <c r="E163" i="9"/>
  <c r="A164" i="9"/>
  <c r="B164" i="9"/>
  <c r="D164" i="9"/>
  <c r="F164" i="9" s="1"/>
  <c r="E164" i="9"/>
  <c r="A165" i="9"/>
  <c r="B165" i="9"/>
  <c r="D165" i="9"/>
  <c r="F165" i="9" s="1"/>
  <c r="E165" i="9"/>
  <c r="A166" i="9"/>
  <c r="B166" i="9"/>
  <c r="D166" i="9"/>
  <c r="F166" i="9" s="1"/>
  <c r="E166" i="9"/>
  <c r="A167" i="9"/>
  <c r="B167" i="9"/>
  <c r="D167" i="9"/>
  <c r="F167" i="9" s="1"/>
  <c r="E167" i="9"/>
  <c r="A168" i="9"/>
  <c r="B168" i="9"/>
  <c r="D168" i="9"/>
  <c r="F168" i="9" s="1"/>
  <c r="E168" i="9"/>
  <c r="A169" i="9"/>
  <c r="B169" i="9"/>
  <c r="D169" i="9"/>
  <c r="F169" i="9" s="1"/>
  <c r="E169" i="9"/>
  <c r="A170" i="9"/>
  <c r="B170" i="9"/>
  <c r="D170" i="9"/>
  <c r="E170" i="9"/>
  <c r="A171" i="9"/>
  <c r="B171" i="9"/>
  <c r="D171" i="9"/>
  <c r="F171" i="9" s="1"/>
  <c r="E171" i="9"/>
  <c r="A172" i="9"/>
  <c r="B172" i="9"/>
  <c r="D172" i="9"/>
  <c r="F172" i="9" s="1"/>
  <c r="E172" i="9"/>
  <c r="A173" i="9"/>
  <c r="B173" i="9"/>
  <c r="D173" i="9"/>
  <c r="E173" i="9"/>
  <c r="A174" i="9"/>
  <c r="B174" i="9"/>
  <c r="D174" i="9"/>
  <c r="F174" i="9" s="1"/>
  <c r="E174" i="9"/>
  <c r="A175" i="9"/>
  <c r="B175" i="9"/>
  <c r="D175" i="9"/>
  <c r="E175" i="9"/>
  <c r="A176" i="9"/>
  <c r="B176" i="9"/>
  <c r="D176" i="9"/>
  <c r="E176" i="9"/>
  <c r="A177" i="9"/>
  <c r="B177" i="9"/>
  <c r="D177" i="9"/>
  <c r="F177" i="9" s="1"/>
  <c r="E177" i="9"/>
  <c r="A178" i="9"/>
  <c r="B178" i="9"/>
  <c r="D178" i="9"/>
  <c r="E178" i="9"/>
  <c r="A179" i="9"/>
  <c r="B179" i="9"/>
  <c r="D179" i="9"/>
  <c r="E179" i="9"/>
  <c r="A180" i="9"/>
  <c r="B180" i="9"/>
  <c r="D180" i="9"/>
  <c r="E180" i="9"/>
  <c r="A181" i="9"/>
  <c r="B181" i="9"/>
  <c r="D181" i="9"/>
  <c r="E181" i="9"/>
  <c r="A182" i="9"/>
  <c r="B182" i="9"/>
  <c r="D182" i="9"/>
  <c r="E182" i="9"/>
  <c r="F182" i="9"/>
  <c r="A183" i="9"/>
  <c r="B183" i="9"/>
  <c r="D183" i="9"/>
  <c r="E183" i="9"/>
  <c r="A184" i="9"/>
  <c r="B184" i="9"/>
  <c r="D184" i="9"/>
  <c r="E184" i="9"/>
  <c r="A185" i="9"/>
  <c r="B185" i="9"/>
  <c r="D185" i="9"/>
  <c r="E185" i="9"/>
  <c r="F185" i="9"/>
  <c r="A186" i="9"/>
  <c r="B186" i="9"/>
  <c r="D186" i="9"/>
  <c r="E186" i="9"/>
  <c r="F186" i="9" s="1"/>
  <c r="A187" i="9"/>
  <c r="B187" i="9"/>
  <c r="D187" i="9"/>
  <c r="E187" i="9"/>
  <c r="A188" i="9"/>
  <c r="B188" i="9"/>
  <c r="D188" i="9"/>
  <c r="E188" i="9"/>
  <c r="A189" i="9"/>
  <c r="B189" i="9"/>
  <c r="D189" i="9"/>
  <c r="F189" i="9" s="1"/>
  <c r="E189" i="9"/>
  <c r="A190" i="9"/>
  <c r="B190" i="9"/>
  <c r="D190" i="9"/>
  <c r="E190" i="9"/>
  <c r="F190" i="9"/>
  <c r="A191" i="9"/>
  <c r="B191" i="9"/>
  <c r="D191" i="9"/>
  <c r="E191" i="9"/>
  <c r="A192" i="9"/>
  <c r="B192" i="9"/>
  <c r="D192" i="9"/>
  <c r="F192" i="9" s="1"/>
  <c r="E192" i="9"/>
  <c r="A193" i="9"/>
  <c r="B193" i="9"/>
  <c r="D193" i="9"/>
  <c r="E193" i="9"/>
  <c r="F193" i="9"/>
  <c r="A194" i="9"/>
  <c r="B194" i="9"/>
  <c r="D194" i="9"/>
  <c r="E194" i="9"/>
  <c r="F194" i="9" s="1"/>
  <c r="A195" i="9"/>
  <c r="B195" i="9"/>
  <c r="D195" i="9"/>
  <c r="F195" i="9" s="1"/>
  <c r="E195" i="9"/>
  <c r="A196" i="9"/>
  <c r="B196" i="9"/>
  <c r="D196" i="9"/>
  <c r="F196" i="9" s="1"/>
  <c r="E196" i="9"/>
  <c r="A197" i="9"/>
  <c r="B197" i="9"/>
  <c r="D197" i="9"/>
  <c r="F197" i="9" s="1"/>
  <c r="E197" i="9"/>
  <c r="A198" i="9"/>
  <c r="B198" i="9"/>
  <c r="D198" i="9"/>
  <c r="F198" i="9" s="1"/>
  <c r="E198" i="9"/>
  <c r="A199" i="9"/>
  <c r="B199" i="9"/>
  <c r="D199" i="9"/>
  <c r="F199" i="9" s="1"/>
  <c r="E199" i="9"/>
  <c r="A200" i="9"/>
  <c r="B200" i="9"/>
  <c r="D200" i="9"/>
  <c r="F200" i="9" s="1"/>
  <c r="E200" i="9"/>
  <c r="A201" i="9"/>
  <c r="B201" i="9"/>
  <c r="D201" i="9"/>
  <c r="F201" i="9" s="1"/>
  <c r="E201" i="9"/>
  <c r="A202" i="9"/>
  <c r="B202" i="9"/>
  <c r="D202" i="9"/>
  <c r="E202" i="9"/>
  <c r="A203" i="9"/>
  <c r="B203" i="9"/>
  <c r="D203" i="9"/>
  <c r="F203" i="9" s="1"/>
  <c r="E203" i="9"/>
  <c r="A204" i="9"/>
  <c r="B204" i="9"/>
  <c r="D204" i="9"/>
  <c r="F204" i="9" s="1"/>
  <c r="E204" i="9"/>
  <c r="A205" i="9"/>
  <c r="B205" i="9"/>
  <c r="D205" i="9"/>
  <c r="E205" i="9"/>
  <c r="A206" i="9"/>
  <c r="B206" i="9"/>
  <c r="D206" i="9"/>
  <c r="E206" i="9"/>
  <c r="F206" i="9" s="1"/>
  <c r="A207" i="9"/>
  <c r="B207" i="9"/>
  <c r="D207" i="9"/>
  <c r="E207" i="9"/>
  <c r="A208" i="9"/>
  <c r="B208" i="9"/>
  <c r="D208" i="9"/>
  <c r="E208" i="9"/>
  <c r="A209" i="9"/>
  <c r="B209" i="9"/>
  <c r="D209" i="9"/>
  <c r="E209" i="9"/>
  <c r="F209" i="9" s="1"/>
  <c r="A210" i="9"/>
  <c r="B210" i="9"/>
  <c r="D210" i="9"/>
  <c r="E210" i="9"/>
  <c r="A211" i="9"/>
  <c r="B211" i="9"/>
  <c r="D211" i="9"/>
  <c r="E211" i="9"/>
  <c r="A212" i="9"/>
  <c r="B212" i="9"/>
  <c r="D212" i="9"/>
  <c r="E212" i="9"/>
  <c r="A213" i="9"/>
  <c r="B213" i="9"/>
  <c r="D213" i="9"/>
  <c r="E213" i="9"/>
  <c r="A214" i="9"/>
  <c r="B214" i="9"/>
  <c r="D214" i="9"/>
  <c r="E214" i="9"/>
  <c r="F214" i="9"/>
  <c r="A215" i="9"/>
  <c r="B215" i="9"/>
  <c r="D215" i="9"/>
  <c r="E215" i="9"/>
  <c r="A216" i="9"/>
  <c r="B216" i="9"/>
  <c r="D216" i="9"/>
  <c r="E216" i="9"/>
  <c r="A217" i="9"/>
  <c r="B217" i="9"/>
  <c r="D217" i="9"/>
  <c r="E217" i="9"/>
  <c r="F217" i="9"/>
  <c r="A218" i="9"/>
  <c r="B218" i="9"/>
  <c r="D218" i="9"/>
  <c r="E218" i="9"/>
  <c r="F218" i="9" s="1"/>
  <c r="A219" i="9"/>
  <c r="B219" i="9"/>
  <c r="D219" i="9"/>
  <c r="E219" i="9"/>
  <c r="A220" i="9"/>
  <c r="B220" i="9"/>
  <c r="D220" i="9"/>
  <c r="E220" i="9"/>
  <c r="A221" i="9"/>
  <c r="B221" i="9"/>
  <c r="D221" i="9"/>
  <c r="F221" i="9" s="1"/>
  <c r="E221" i="9"/>
  <c r="A222" i="9"/>
  <c r="B222" i="9"/>
  <c r="D222" i="9"/>
  <c r="E222" i="9"/>
  <c r="F222" i="9"/>
  <c r="A223" i="9"/>
  <c r="B223" i="9"/>
  <c r="D223" i="9"/>
  <c r="E223" i="9"/>
  <c r="A224" i="9"/>
  <c r="B224" i="9"/>
  <c r="D224" i="9"/>
  <c r="F224" i="9" s="1"/>
  <c r="E224" i="9"/>
  <c r="A225" i="9"/>
  <c r="B225" i="9"/>
  <c r="D225" i="9"/>
  <c r="F225" i="9" s="1"/>
  <c r="E225" i="9"/>
  <c r="A226" i="9"/>
  <c r="B226" i="9"/>
  <c r="D226" i="9"/>
  <c r="E226" i="9"/>
  <c r="A227" i="9"/>
  <c r="B227" i="9"/>
  <c r="D227" i="9"/>
  <c r="F227" i="9" s="1"/>
  <c r="E227" i="9"/>
  <c r="A228" i="9"/>
  <c r="B228" i="9"/>
  <c r="D228" i="9"/>
  <c r="E228" i="9"/>
  <c r="A229" i="9"/>
  <c r="B229" i="9"/>
  <c r="D229" i="9"/>
  <c r="E229" i="9"/>
  <c r="A230" i="9"/>
  <c r="B230" i="9"/>
  <c r="D230" i="9"/>
  <c r="E230" i="9"/>
  <c r="F230" i="9" s="1"/>
  <c r="A231" i="9"/>
  <c r="B231" i="9"/>
  <c r="D231" i="9"/>
  <c r="E231" i="9"/>
  <c r="A232" i="9"/>
  <c r="B232" i="9"/>
  <c r="D232" i="9"/>
  <c r="E232" i="9"/>
  <c r="A233" i="9"/>
  <c r="B233" i="9"/>
  <c r="D233" i="9"/>
  <c r="E233" i="9"/>
  <c r="F233" i="9" s="1"/>
  <c r="A234" i="9"/>
  <c r="B234" i="9"/>
  <c r="D234" i="9"/>
  <c r="E234" i="9"/>
  <c r="F234" i="9" s="1"/>
  <c r="A235" i="9"/>
  <c r="B235" i="9"/>
  <c r="D235" i="9"/>
  <c r="E235" i="9"/>
  <c r="A236" i="9"/>
  <c r="B236" i="9"/>
  <c r="D236" i="9"/>
  <c r="E236" i="9"/>
  <c r="A237" i="9"/>
  <c r="B237" i="9"/>
  <c r="D237" i="9"/>
  <c r="E237" i="9"/>
  <c r="A238" i="9"/>
  <c r="B238" i="9"/>
  <c r="D238" i="9"/>
  <c r="F238" i="9" s="1"/>
  <c r="E238" i="9"/>
  <c r="A239" i="9"/>
  <c r="B239" i="9"/>
  <c r="D239" i="9"/>
  <c r="E239" i="9"/>
  <c r="A240" i="9"/>
  <c r="B240" i="9"/>
  <c r="D240" i="9"/>
  <c r="F240" i="9" s="1"/>
  <c r="E240" i="9"/>
  <c r="A241" i="9"/>
  <c r="B241" i="9"/>
  <c r="D241" i="9"/>
  <c r="F241" i="9" s="1"/>
  <c r="E241" i="9"/>
  <c r="A242" i="9"/>
  <c r="B242" i="9"/>
  <c r="D242" i="9"/>
  <c r="F242" i="9" s="1"/>
  <c r="E242" i="9"/>
  <c r="A243" i="9"/>
  <c r="B243" i="9"/>
  <c r="D243" i="9"/>
  <c r="F243" i="9" s="1"/>
  <c r="E243" i="9"/>
  <c r="A244" i="9"/>
  <c r="B244" i="9"/>
  <c r="D244" i="9"/>
  <c r="E244" i="9"/>
  <c r="A245" i="9"/>
  <c r="B245" i="9"/>
  <c r="D245" i="9"/>
  <c r="F245" i="9" s="1"/>
  <c r="E245" i="9"/>
  <c r="A246" i="9"/>
  <c r="B246" i="9"/>
  <c r="D246" i="9"/>
  <c r="F246" i="9" s="1"/>
  <c r="E246" i="9"/>
  <c r="A247" i="9"/>
  <c r="B247" i="9"/>
  <c r="D247" i="9"/>
  <c r="E247" i="9"/>
  <c r="A248" i="9"/>
  <c r="B248" i="9"/>
  <c r="D248" i="9"/>
  <c r="E248" i="9"/>
  <c r="F248" i="9" s="1"/>
  <c r="A249" i="9"/>
  <c r="B249" i="9"/>
  <c r="D249" i="9"/>
  <c r="E249" i="9"/>
  <c r="A250" i="9"/>
  <c r="B250" i="9"/>
  <c r="D250" i="9"/>
  <c r="F250" i="9" s="1"/>
  <c r="E250" i="9"/>
  <c r="A251" i="9"/>
  <c r="B251" i="9"/>
  <c r="D251" i="9"/>
  <c r="E251" i="9"/>
  <c r="F251" i="9" s="1"/>
  <c r="A252" i="9"/>
  <c r="B252" i="9"/>
  <c r="D252" i="9"/>
  <c r="E252" i="9"/>
  <c r="A253" i="9"/>
  <c r="B253" i="9"/>
  <c r="D253" i="9"/>
  <c r="F253" i="9" s="1"/>
  <c r="E253" i="9"/>
  <c r="A254" i="9"/>
  <c r="B254" i="9"/>
  <c r="D254" i="9"/>
  <c r="E254" i="9"/>
  <c r="A255" i="9"/>
  <c r="B255" i="9"/>
  <c r="D255" i="9"/>
  <c r="E255" i="9"/>
  <c r="F255" i="9" s="1"/>
  <c r="A256" i="9"/>
  <c r="B256" i="9"/>
  <c r="D256" i="9"/>
  <c r="E256" i="9"/>
  <c r="F256" i="9" s="1"/>
  <c r="A257" i="9"/>
  <c r="B257" i="9"/>
  <c r="D257" i="9"/>
  <c r="E257" i="9"/>
  <c r="A258" i="9"/>
  <c r="B258" i="9"/>
  <c r="D258" i="9"/>
  <c r="E258" i="9"/>
  <c r="A259" i="9"/>
  <c r="B259" i="9"/>
  <c r="D259" i="9"/>
  <c r="E259" i="9"/>
  <c r="F259" i="9" s="1"/>
  <c r="A260" i="9"/>
  <c r="B260" i="9"/>
  <c r="D260" i="9"/>
  <c r="E260" i="9"/>
  <c r="F260" i="9" s="1"/>
  <c r="A261" i="9"/>
  <c r="B261" i="9"/>
  <c r="D261" i="9"/>
  <c r="E261" i="9"/>
  <c r="A262" i="9"/>
  <c r="B262" i="9"/>
  <c r="D262" i="9"/>
  <c r="E262" i="9"/>
  <c r="A263" i="9"/>
  <c r="B263" i="9"/>
  <c r="D263" i="9"/>
  <c r="E263" i="9"/>
  <c r="F263" i="9" s="1"/>
  <c r="A264" i="9"/>
  <c r="B264" i="9"/>
  <c r="D264" i="9"/>
  <c r="E264" i="9"/>
  <c r="F264" i="9"/>
  <c r="A265" i="9"/>
  <c r="B265" i="9"/>
  <c r="D265" i="9"/>
  <c r="E265" i="9"/>
  <c r="A266" i="9"/>
  <c r="B266" i="9"/>
  <c r="D266" i="9"/>
  <c r="E266" i="9"/>
  <c r="A267" i="9"/>
  <c r="B267" i="9"/>
  <c r="D267" i="9"/>
  <c r="E267" i="9"/>
  <c r="F267" i="9"/>
  <c r="A268" i="9"/>
  <c r="B268" i="9"/>
  <c r="D268" i="9"/>
  <c r="E268" i="9"/>
  <c r="F268" i="9" s="1"/>
  <c r="A269" i="9"/>
  <c r="B269" i="9"/>
  <c r="D269" i="9"/>
  <c r="E269" i="9"/>
  <c r="A270" i="9"/>
  <c r="B270" i="9"/>
  <c r="D270" i="9"/>
  <c r="F270" i="9" s="1"/>
  <c r="E270" i="9"/>
  <c r="A271" i="9"/>
  <c r="B271" i="9"/>
  <c r="D271" i="9"/>
  <c r="E271" i="9"/>
  <c r="A272" i="9"/>
  <c r="B272" i="9"/>
  <c r="D272" i="9"/>
  <c r="F272" i="9" s="1"/>
  <c r="E272" i="9"/>
  <c r="A273" i="9"/>
  <c r="B273" i="9"/>
  <c r="D273" i="9"/>
  <c r="F273" i="9" s="1"/>
  <c r="E273" i="9"/>
  <c r="A274" i="9"/>
  <c r="B274" i="9"/>
  <c r="D274" i="9"/>
  <c r="F274" i="9" s="1"/>
  <c r="E274" i="9"/>
  <c r="A275" i="9"/>
  <c r="B275" i="9"/>
  <c r="D275" i="9"/>
  <c r="F275" i="9" s="1"/>
  <c r="E275" i="9"/>
  <c r="A276" i="9"/>
  <c r="B276" i="9"/>
  <c r="D276" i="9"/>
  <c r="E276" i="9"/>
  <c r="A277" i="9"/>
  <c r="B277" i="9"/>
  <c r="D277" i="9"/>
  <c r="F277" i="9" s="1"/>
  <c r="E277" i="9"/>
  <c r="A278" i="9"/>
  <c r="B278" i="9"/>
  <c r="D278" i="9"/>
  <c r="F278" i="9" s="1"/>
  <c r="E278" i="9"/>
  <c r="A279" i="9"/>
  <c r="B279" i="9"/>
  <c r="D279" i="9"/>
  <c r="E279" i="9"/>
  <c r="A280" i="9"/>
  <c r="B280" i="9"/>
  <c r="D280" i="9"/>
  <c r="F280" i="9" s="1"/>
  <c r="E280" i="9"/>
  <c r="A281" i="9"/>
  <c r="B281" i="9"/>
  <c r="D281" i="9"/>
  <c r="E281" i="9"/>
  <c r="A282" i="9"/>
  <c r="B282" i="9"/>
  <c r="D282" i="9"/>
  <c r="F282" i="9" s="1"/>
  <c r="E282" i="9"/>
  <c r="A283" i="9"/>
  <c r="B283" i="9"/>
  <c r="D283" i="9"/>
  <c r="F283" i="9" s="1"/>
  <c r="E283" i="9"/>
  <c r="A284" i="9"/>
  <c r="B284" i="9"/>
  <c r="D284" i="9"/>
  <c r="E284" i="9"/>
  <c r="A285" i="9"/>
  <c r="B285" i="9"/>
  <c r="D285" i="9"/>
  <c r="F285" i="9" s="1"/>
  <c r="E285" i="9"/>
  <c r="A286" i="9"/>
  <c r="B286" i="9"/>
  <c r="D286" i="9"/>
  <c r="E286" i="9"/>
  <c r="A287" i="9"/>
  <c r="B287" i="9"/>
  <c r="D287" i="9"/>
  <c r="E287" i="9"/>
  <c r="F287" i="9" s="1"/>
  <c r="A288" i="9"/>
  <c r="B288" i="9"/>
  <c r="D288" i="9"/>
  <c r="E288" i="9"/>
  <c r="F288" i="9" s="1"/>
  <c r="A289" i="9"/>
  <c r="B289" i="9"/>
  <c r="D289" i="9"/>
  <c r="E289" i="9"/>
  <c r="A290" i="9"/>
  <c r="B290" i="9"/>
  <c r="D290" i="9"/>
  <c r="E290" i="9"/>
  <c r="A291" i="9"/>
  <c r="B291" i="9"/>
  <c r="D291" i="9"/>
  <c r="E291" i="9"/>
  <c r="F291" i="9" s="1"/>
  <c r="A292" i="9"/>
  <c r="B292" i="9"/>
  <c r="D292" i="9"/>
  <c r="E292" i="9"/>
  <c r="F292" i="9" s="1"/>
  <c r="A293" i="9"/>
  <c r="B293" i="9"/>
  <c r="D293" i="9"/>
  <c r="E293" i="9"/>
  <c r="A294" i="9"/>
  <c r="B294" i="9"/>
  <c r="D294" i="9"/>
  <c r="E294" i="9"/>
  <c r="A295" i="9"/>
  <c r="B295" i="9"/>
  <c r="D295" i="9"/>
  <c r="E295" i="9"/>
  <c r="F295" i="9" s="1"/>
  <c r="A296" i="9"/>
  <c r="B296" i="9"/>
  <c r="D296" i="9"/>
  <c r="F296" i="9" s="1"/>
  <c r="E296" i="9"/>
  <c r="A297" i="9"/>
  <c r="B297" i="9"/>
  <c r="D297" i="9"/>
  <c r="E297" i="9"/>
  <c r="A298" i="9"/>
  <c r="B298" i="9"/>
  <c r="D298" i="9"/>
  <c r="E298" i="9"/>
  <c r="A299" i="9"/>
  <c r="B299" i="9"/>
  <c r="D299" i="9"/>
  <c r="F299" i="9" s="1"/>
  <c r="E299" i="9"/>
  <c r="A300" i="9"/>
  <c r="B300" i="9"/>
  <c r="D300" i="9"/>
  <c r="E300" i="9"/>
  <c r="F300" i="9" s="1"/>
  <c r="A301" i="9"/>
  <c r="B301" i="9"/>
  <c r="D301" i="9"/>
  <c r="E301" i="9"/>
  <c r="A302" i="9"/>
  <c r="B302" i="9"/>
  <c r="D302" i="9"/>
  <c r="E302" i="9"/>
  <c r="A303" i="9"/>
  <c r="B303" i="9"/>
  <c r="D303" i="9"/>
  <c r="E303" i="9"/>
  <c r="F303" i="9" s="1"/>
  <c r="A304" i="9"/>
  <c r="B304" i="9"/>
  <c r="D304" i="9"/>
  <c r="E304" i="9"/>
  <c r="F304" i="9"/>
  <c r="A305" i="9"/>
  <c r="B305" i="9"/>
  <c r="D305" i="9"/>
  <c r="E305" i="9"/>
  <c r="A306" i="9"/>
  <c r="B306" i="9"/>
  <c r="D306" i="9"/>
  <c r="E306" i="9"/>
  <c r="A307" i="9"/>
  <c r="B307" i="9"/>
  <c r="D307" i="9"/>
  <c r="E307" i="9"/>
  <c r="F307" i="9"/>
  <c r="A308" i="9"/>
  <c r="B308" i="9"/>
  <c r="D308" i="9"/>
  <c r="F308" i="9" s="1"/>
  <c r="E308" i="9"/>
  <c r="A309" i="9"/>
  <c r="B309" i="9"/>
  <c r="D309" i="9"/>
  <c r="F309" i="9" s="1"/>
  <c r="E309" i="9"/>
  <c r="A310" i="9"/>
  <c r="B310" i="9"/>
  <c r="D310" i="9"/>
  <c r="E310" i="9"/>
  <c r="A311" i="9"/>
  <c r="B311" i="9"/>
  <c r="D311" i="9"/>
  <c r="E311" i="9"/>
  <c r="F311" i="9" s="1"/>
  <c r="F301" i="9" l="1"/>
  <c r="F289" i="9"/>
  <c r="F286" i="9"/>
  <c r="F257" i="9"/>
  <c r="F254" i="9"/>
  <c r="F228" i="9"/>
  <c r="F211" i="9"/>
  <c r="F208" i="9"/>
  <c r="F205" i="9"/>
  <c r="F179" i="9"/>
  <c r="F176" i="9"/>
  <c r="F173" i="9"/>
  <c r="F147" i="9"/>
  <c r="F144" i="9"/>
  <c r="F141" i="9"/>
  <c r="F125" i="9"/>
  <c r="F96" i="9"/>
  <c r="F35" i="9"/>
  <c r="F29" i="9"/>
  <c r="F310" i="9"/>
  <c r="F298" i="9"/>
  <c r="F284" i="9"/>
  <c r="F269" i="9"/>
  <c r="F266" i="9"/>
  <c r="F252" i="9"/>
  <c r="F237" i="9"/>
  <c r="F226" i="9"/>
  <c r="F220" i="9"/>
  <c r="F188" i="9"/>
  <c r="F156" i="9"/>
  <c r="F115" i="9"/>
  <c r="F302" i="9"/>
  <c r="F293" i="9"/>
  <c r="F290" i="9"/>
  <c r="F276" i="9"/>
  <c r="F261" i="9"/>
  <c r="F258" i="9"/>
  <c r="F244" i="9"/>
  <c r="F235" i="9"/>
  <c r="F232" i="9"/>
  <c r="F229" i="9"/>
  <c r="F212" i="9"/>
  <c r="F183" i="9"/>
  <c r="F180" i="9"/>
  <c r="F151" i="9"/>
  <c r="F148" i="9"/>
  <c r="F126" i="9"/>
  <c r="F109" i="9"/>
  <c r="F99" i="9"/>
  <c r="F279" i="9"/>
  <c r="F247" i="9"/>
  <c r="F210" i="9"/>
  <c r="F178" i="9"/>
  <c r="F146" i="9"/>
  <c r="F306" i="9"/>
  <c r="F294" i="9"/>
  <c r="F271" i="9"/>
  <c r="F262" i="9"/>
  <c r="F239" i="9"/>
  <c r="F236" i="9"/>
  <c r="F219" i="9"/>
  <c r="F216" i="9"/>
  <c r="F213" i="9"/>
  <c r="F202" i="9"/>
  <c r="F187" i="9"/>
  <c r="F184" i="9"/>
  <c r="F181" i="9"/>
  <c r="F170" i="9"/>
  <c r="F155" i="9"/>
  <c r="F152" i="9"/>
  <c r="F149" i="9"/>
  <c r="F138" i="9"/>
  <c r="F112" i="9"/>
  <c r="F67" i="9"/>
  <c r="F61" i="9"/>
  <c r="E221" i="36"/>
  <c r="F221" i="36"/>
  <c r="J221" i="36"/>
  <c r="D221" i="36"/>
  <c r="G221" i="36"/>
  <c r="H221" i="36"/>
  <c r="I221" i="36"/>
  <c r="D219" i="36"/>
  <c r="F219" i="36"/>
  <c r="F51" i="9"/>
  <c r="F48" i="9"/>
  <c r="F19" i="9"/>
  <c r="F16" i="9"/>
  <c r="F13" i="9"/>
  <c r="G286" i="36"/>
  <c r="F286" i="36"/>
  <c r="D255" i="36"/>
  <c r="H255" i="36"/>
  <c r="H179" i="36"/>
  <c r="G179" i="36"/>
  <c r="D179" i="36"/>
  <c r="E179" i="36"/>
  <c r="F179" i="36"/>
  <c r="F124" i="9"/>
  <c r="F92" i="9"/>
  <c r="F60" i="9"/>
  <c r="F28" i="9"/>
  <c r="G305" i="36"/>
  <c r="D305" i="36"/>
  <c r="E305" i="36"/>
  <c r="F305" i="36"/>
  <c r="J305" i="36"/>
  <c r="J272" i="36"/>
  <c r="G272" i="36"/>
  <c r="E272" i="36"/>
  <c r="F272" i="36"/>
  <c r="H272" i="36"/>
  <c r="I272" i="36"/>
  <c r="H151" i="36"/>
  <c r="D151" i="36"/>
  <c r="F151" i="36"/>
  <c r="E151" i="36"/>
  <c r="G151" i="36"/>
  <c r="E149" i="36"/>
  <c r="J149" i="36"/>
  <c r="D149" i="36"/>
  <c r="I149" i="36"/>
  <c r="F90" i="9"/>
  <c r="F58" i="9"/>
  <c r="F26" i="9"/>
  <c r="H295" i="36"/>
  <c r="D295" i="36"/>
  <c r="G216" i="36"/>
  <c r="H216" i="36"/>
  <c r="D216" i="36"/>
  <c r="E216" i="36"/>
  <c r="F216" i="36"/>
  <c r="D212" i="36"/>
  <c r="H212" i="36"/>
  <c r="E181" i="36"/>
  <c r="F181" i="36"/>
  <c r="J181" i="36"/>
  <c r="D181" i="36"/>
  <c r="G181" i="36"/>
  <c r="H181" i="36"/>
  <c r="I181" i="36"/>
  <c r="E245" i="36"/>
  <c r="J245" i="36"/>
  <c r="G245" i="36"/>
  <c r="D245" i="36"/>
  <c r="F245" i="36"/>
  <c r="H245" i="36"/>
  <c r="I245" i="36"/>
  <c r="F38" i="36"/>
  <c r="D38" i="36"/>
  <c r="E38" i="36"/>
  <c r="I38" i="36"/>
  <c r="J38" i="36"/>
  <c r="J304" i="36"/>
  <c r="E304" i="36"/>
  <c r="F304" i="36"/>
  <c r="G304" i="36"/>
  <c r="H304" i="36"/>
  <c r="I304" i="36"/>
  <c r="D206" i="36"/>
  <c r="F206" i="36"/>
  <c r="E206" i="36"/>
  <c r="D170" i="36"/>
  <c r="K170" i="36" s="1"/>
  <c r="E170" i="36"/>
  <c r="I170" i="36"/>
  <c r="F170" i="36"/>
  <c r="G170" i="36"/>
  <c r="H170" i="36"/>
  <c r="J170" i="36"/>
  <c r="F140" i="9"/>
  <c r="F108" i="9"/>
  <c r="F76" i="9"/>
  <c r="F44" i="9"/>
  <c r="E308" i="36"/>
  <c r="I308" i="36"/>
  <c r="D299" i="36"/>
  <c r="E299" i="36"/>
  <c r="F299" i="36"/>
  <c r="G299" i="36"/>
  <c r="H299" i="36"/>
  <c r="I299" i="36"/>
  <c r="J299" i="36"/>
  <c r="I208" i="36"/>
  <c r="D208" i="36"/>
  <c r="E208" i="36"/>
  <c r="F208" i="36"/>
  <c r="G208" i="36"/>
  <c r="H208" i="36"/>
  <c r="F106" i="9"/>
  <c r="F74" i="9"/>
  <c r="F42" i="9"/>
  <c r="I306" i="36"/>
  <c r="J306" i="36"/>
  <c r="E301" i="36"/>
  <c r="D301" i="36"/>
  <c r="F301" i="36"/>
  <c r="G301" i="36"/>
  <c r="H301" i="36"/>
  <c r="I301" i="36"/>
  <c r="J301" i="36"/>
  <c r="H203" i="36"/>
  <c r="F203" i="36"/>
  <c r="D203" i="36"/>
  <c r="E203" i="36"/>
  <c r="G203" i="36"/>
  <c r="E277" i="36"/>
  <c r="G277" i="36"/>
  <c r="G273" i="36"/>
  <c r="F273" i="36"/>
  <c r="F252" i="36"/>
  <c r="D252" i="36"/>
  <c r="E252" i="36"/>
  <c r="E237" i="36"/>
  <c r="F237" i="36"/>
  <c r="G237" i="36"/>
  <c r="D226" i="36"/>
  <c r="J226" i="36"/>
  <c r="J224" i="36"/>
  <c r="F224" i="36"/>
  <c r="F177" i="36"/>
  <c r="D177" i="36"/>
  <c r="G174" i="36"/>
  <c r="D174" i="36"/>
  <c r="J129" i="36"/>
  <c r="I129" i="36"/>
  <c r="E129" i="36"/>
  <c r="F129" i="36"/>
  <c r="G129" i="36"/>
  <c r="E125" i="36"/>
  <c r="D125" i="36"/>
  <c r="I125" i="36"/>
  <c r="D73" i="36"/>
  <c r="H73" i="36"/>
  <c r="I73" i="36"/>
  <c r="J73" i="36"/>
  <c r="D307" i="36"/>
  <c r="E297" i="36"/>
  <c r="F296" i="36"/>
  <c r="D292" i="36"/>
  <c r="I288" i="36"/>
  <c r="J283" i="36"/>
  <c r="D281" i="36"/>
  <c r="J280" i="36"/>
  <c r="F280" i="36"/>
  <c r="H275" i="36"/>
  <c r="J269" i="36"/>
  <c r="I264" i="36"/>
  <c r="J248" i="36"/>
  <c r="I248" i="36"/>
  <c r="F248" i="36"/>
  <c r="G238" i="36"/>
  <c r="F238" i="36"/>
  <c r="I229" i="36"/>
  <c r="J229" i="36"/>
  <c r="F229" i="36"/>
  <c r="D209" i="36"/>
  <c r="E209" i="36"/>
  <c r="H209" i="36"/>
  <c r="I200" i="36"/>
  <c r="G200" i="36"/>
  <c r="H200" i="36"/>
  <c r="D200" i="36"/>
  <c r="D197" i="36"/>
  <c r="E197" i="36"/>
  <c r="I197" i="36"/>
  <c r="H189" i="36"/>
  <c r="J186" i="36"/>
  <c r="I168" i="36"/>
  <c r="H168" i="36"/>
  <c r="E168" i="36"/>
  <c r="J165" i="36"/>
  <c r="D165" i="36"/>
  <c r="K165" i="36" s="1"/>
  <c r="E165" i="36"/>
  <c r="I165" i="36"/>
  <c r="H162" i="36"/>
  <c r="I162" i="36"/>
  <c r="E162" i="36"/>
  <c r="K162" i="36" s="1"/>
  <c r="J157" i="36"/>
  <c r="H157" i="36"/>
  <c r="G157" i="36"/>
  <c r="I157" i="36"/>
  <c r="D157" i="36"/>
  <c r="H147" i="36"/>
  <c r="J147" i="36"/>
  <c r="I147" i="36"/>
  <c r="I132" i="36"/>
  <c r="D132" i="36"/>
  <c r="F132" i="36"/>
  <c r="H132" i="36"/>
  <c r="J132" i="36"/>
  <c r="E132" i="36"/>
  <c r="F127" i="36"/>
  <c r="G127" i="36"/>
  <c r="E127" i="36"/>
  <c r="G98" i="36"/>
  <c r="F98" i="36"/>
  <c r="J98" i="36"/>
  <c r="E98" i="36"/>
  <c r="D98" i="36"/>
  <c r="I91" i="36"/>
  <c r="E91" i="36"/>
  <c r="F91" i="36"/>
  <c r="G91" i="36"/>
  <c r="D63" i="36"/>
  <c r="H63" i="36"/>
  <c r="I63" i="36"/>
  <c r="J63" i="36"/>
  <c r="F63" i="36"/>
  <c r="G63" i="36"/>
  <c r="G61" i="36"/>
  <c r="H61" i="36"/>
  <c r="I61" i="36"/>
  <c r="E61" i="36"/>
  <c r="J61" i="36"/>
  <c r="D61" i="36"/>
  <c r="H24" i="36"/>
  <c r="G24" i="36"/>
  <c r="F24" i="36"/>
  <c r="J285" i="36"/>
  <c r="I283" i="36"/>
  <c r="J256" i="36"/>
  <c r="E256" i="36"/>
  <c r="F256" i="36"/>
  <c r="G230" i="36"/>
  <c r="F230" i="36"/>
  <c r="D217" i="36"/>
  <c r="J217" i="36"/>
  <c r="E217" i="36"/>
  <c r="I160" i="36"/>
  <c r="D160" i="36"/>
  <c r="E160" i="36"/>
  <c r="G154" i="36"/>
  <c r="D154" i="36"/>
  <c r="F154" i="36"/>
  <c r="I154" i="36"/>
  <c r="J121" i="36"/>
  <c r="E121" i="36"/>
  <c r="F121" i="36"/>
  <c r="G121" i="36"/>
  <c r="H121" i="36"/>
  <c r="F70" i="36"/>
  <c r="I70" i="36"/>
  <c r="E70" i="36"/>
  <c r="D42" i="36"/>
  <c r="F42" i="36"/>
  <c r="G42" i="36"/>
  <c r="H42" i="36"/>
  <c r="E42" i="36"/>
  <c r="I42" i="36"/>
  <c r="J42" i="36"/>
  <c r="J307" i="36"/>
  <c r="E300" i="36"/>
  <c r="K291" i="36"/>
  <c r="F289" i="36"/>
  <c r="G288" i="36"/>
  <c r="I285" i="36"/>
  <c r="I284" i="36"/>
  <c r="H283" i="36"/>
  <c r="J277" i="36"/>
  <c r="I276" i="36"/>
  <c r="E275" i="36"/>
  <c r="H269" i="36"/>
  <c r="F268" i="36"/>
  <c r="D268" i="36"/>
  <c r="F267" i="36"/>
  <c r="J267" i="36"/>
  <c r="J265" i="36"/>
  <c r="F264" i="36"/>
  <c r="F260" i="36"/>
  <c r="E260" i="36"/>
  <c r="K259" i="36"/>
  <c r="G249" i="36"/>
  <c r="E249" i="36"/>
  <c r="I243" i="36"/>
  <c r="J243" i="36"/>
  <c r="F243" i="36"/>
  <c r="J241" i="36"/>
  <c r="J240" i="36"/>
  <c r="F240" i="36"/>
  <c r="G240" i="36"/>
  <c r="I235" i="36"/>
  <c r="D235" i="36"/>
  <c r="E235" i="36"/>
  <c r="J235" i="36"/>
  <c r="J233" i="36"/>
  <c r="H223" i="36"/>
  <c r="G218" i="36"/>
  <c r="G211" i="36"/>
  <c r="I205" i="36"/>
  <c r="D194" i="36"/>
  <c r="J194" i="36"/>
  <c r="G194" i="36"/>
  <c r="E189" i="36"/>
  <c r="H186" i="36"/>
  <c r="G184" i="36"/>
  <c r="G178" i="36"/>
  <c r="H176" i="36"/>
  <c r="G173" i="36"/>
  <c r="H108" i="36"/>
  <c r="D49" i="36"/>
  <c r="H49" i="36"/>
  <c r="D47" i="36"/>
  <c r="J47" i="36"/>
  <c r="G47" i="36"/>
  <c r="I47" i="36"/>
  <c r="F47" i="36"/>
  <c r="F21" i="36"/>
  <c r="G21" i="36"/>
  <c r="H21" i="36"/>
  <c r="E21" i="36"/>
  <c r="I21" i="36"/>
  <c r="J21" i="36"/>
  <c r="D21" i="36"/>
  <c r="I307" i="36"/>
  <c r="D300" i="36"/>
  <c r="E289" i="36"/>
  <c r="F288" i="36"/>
  <c r="H285" i="36"/>
  <c r="E284" i="36"/>
  <c r="G283" i="36"/>
  <c r="K283" i="36" s="1"/>
  <c r="I277" i="36"/>
  <c r="F269" i="36"/>
  <c r="E265" i="36"/>
  <c r="G257" i="36"/>
  <c r="D257" i="36"/>
  <c r="E257" i="36"/>
  <c r="F244" i="36"/>
  <c r="D244" i="36"/>
  <c r="J237" i="36"/>
  <c r="F233" i="36"/>
  <c r="J232" i="36"/>
  <c r="I232" i="36"/>
  <c r="F232" i="36"/>
  <c r="I228" i="36"/>
  <c r="I227" i="36"/>
  <c r="H227" i="36"/>
  <c r="J227" i="36"/>
  <c r="E227" i="36"/>
  <c r="H213" i="36"/>
  <c r="I213" i="36"/>
  <c r="E213" i="36"/>
  <c r="D210" i="36"/>
  <c r="F210" i="36"/>
  <c r="G210" i="36"/>
  <c r="F205" i="36"/>
  <c r="J196" i="36"/>
  <c r="H195" i="36"/>
  <c r="E195" i="36"/>
  <c r="I192" i="36"/>
  <c r="D192" i="36"/>
  <c r="E192" i="36"/>
  <c r="G187" i="36"/>
  <c r="F184" i="36"/>
  <c r="G176" i="36"/>
  <c r="F173" i="36"/>
  <c r="F161" i="36"/>
  <c r="D161" i="36"/>
  <c r="G158" i="36"/>
  <c r="D158" i="36"/>
  <c r="F150" i="36"/>
  <c r="H150" i="36"/>
  <c r="I150" i="36"/>
  <c r="J150" i="36"/>
  <c r="D150" i="36"/>
  <c r="G143" i="36"/>
  <c r="D142" i="36"/>
  <c r="F142" i="36"/>
  <c r="J142" i="36"/>
  <c r="G142" i="36"/>
  <c r="H134" i="36"/>
  <c r="G114" i="36"/>
  <c r="F114" i="36"/>
  <c r="D114" i="36"/>
  <c r="E114" i="36"/>
  <c r="J114" i="36"/>
  <c r="K102" i="36"/>
  <c r="E105" i="34" s="1"/>
  <c r="J97" i="36"/>
  <c r="G97" i="36"/>
  <c r="H97" i="36"/>
  <c r="I97" i="36"/>
  <c r="E97" i="36"/>
  <c r="F97" i="36"/>
  <c r="J88" i="36"/>
  <c r="D88" i="36"/>
  <c r="E88" i="36"/>
  <c r="D39" i="36"/>
  <c r="G39" i="36"/>
  <c r="H39" i="36"/>
  <c r="I39" i="36"/>
  <c r="J39" i="36"/>
  <c r="D28" i="36"/>
  <c r="J28" i="36"/>
  <c r="H307" i="36"/>
  <c r="D289" i="36"/>
  <c r="E288" i="36"/>
  <c r="G285" i="36"/>
  <c r="D284" i="36"/>
  <c r="F283" i="36"/>
  <c r="H277" i="36"/>
  <c r="F276" i="36"/>
  <c r="D276" i="36"/>
  <c r="J275" i="36"/>
  <c r="F275" i="36"/>
  <c r="J273" i="36"/>
  <c r="J264" i="36"/>
  <c r="G264" i="36"/>
  <c r="G241" i="36"/>
  <c r="E241" i="36"/>
  <c r="F241" i="36"/>
  <c r="I237" i="36"/>
  <c r="E223" i="36"/>
  <c r="I223" i="36"/>
  <c r="J223" i="36"/>
  <c r="F223" i="36"/>
  <c r="D218" i="36"/>
  <c r="I218" i="36"/>
  <c r="J218" i="36"/>
  <c r="F218" i="36"/>
  <c r="D211" i="36"/>
  <c r="E211" i="36"/>
  <c r="D199" i="36"/>
  <c r="I199" i="36"/>
  <c r="J199" i="36"/>
  <c r="I189" i="36"/>
  <c r="J189" i="36"/>
  <c r="F189" i="36"/>
  <c r="D186" i="36"/>
  <c r="F186" i="36"/>
  <c r="G186" i="36"/>
  <c r="D178" i="36"/>
  <c r="I178" i="36"/>
  <c r="J178" i="36"/>
  <c r="F178" i="36"/>
  <c r="D146" i="36"/>
  <c r="F146" i="36"/>
  <c r="J146" i="36"/>
  <c r="H136" i="36"/>
  <c r="D136" i="36"/>
  <c r="G126" i="36"/>
  <c r="I126" i="36"/>
  <c r="E126" i="36"/>
  <c r="H126" i="36"/>
  <c r="J126" i="36"/>
  <c r="D126" i="36"/>
  <c r="I108" i="36"/>
  <c r="G108" i="36"/>
  <c r="J108" i="36"/>
  <c r="F108" i="36"/>
  <c r="E108" i="36"/>
  <c r="D74" i="36"/>
  <c r="F74" i="36"/>
  <c r="G74" i="36"/>
  <c r="H74" i="36"/>
  <c r="J74" i="36"/>
  <c r="I74" i="36"/>
  <c r="F62" i="36"/>
  <c r="E62" i="36"/>
  <c r="I62" i="36"/>
  <c r="J62" i="36"/>
  <c r="F285" i="36"/>
  <c r="J281" i="36"/>
  <c r="F277" i="36"/>
  <c r="E273" i="36"/>
  <c r="K273" i="36" s="1"/>
  <c r="E269" i="36"/>
  <c r="G269" i="36"/>
  <c r="G265" i="36"/>
  <c r="F265" i="36"/>
  <c r="H237" i="36"/>
  <c r="J234" i="36"/>
  <c r="G233" i="36"/>
  <c r="E233" i="36"/>
  <c r="F228" i="36"/>
  <c r="D228" i="36"/>
  <c r="G205" i="36"/>
  <c r="H205" i="36"/>
  <c r="D205" i="36"/>
  <c r="G190" i="36"/>
  <c r="D190" i="36"/>
  <c r="H187" i="36"/>
  <c r="D187" i="36"/>
  <c r="E187" i="36"/>
  <c r="I184" i="36"/>
  <c r="H184" i="36"/>
  <c r="E184" i="36"/>
  <c r="I176" i="36"/>
  <c r="D176" i="36"/>
  <c r="E176" i="36"/>
  <c r="J173" i="36"/>
  <c r="H173" i="36"/>
  <c r="I173" i="36"/>
  <c r="E173" i="36"/>
  <c r="D143" i="36"/>
  <c r="F143" i="36"/>
  <c r="J134" i="36"/>
  <c r="D134" i="36"/>
  <c r="G134" i="36"/>
  <c r="I134" i="36"/>
  <c r="F134" i="36"/>
  <c r="G76" i="36"/>
  <c r="J76" i="36"/>
  <c r="I76" i="36"/>
  <c r="H76" i="36"/>
  <c r="D66" i="36"/>
  <c r="G66" i="36"/>
  <c r="H66" i="36"/>
  <c r="I66" i="36"/>
  <c r="F66" i="36"/>
  <c r="E66" i="36"/>
  <c r="J140" i="36"/>
  <c r="H139" i="36"/>
  <c r="G139" i="36"/>
  <c r="D55" i="36"/>
  <c r="G55" i="36"/>
  <c r="H55" i="36"/>
  <c r="I55" i="36"/>
  <c r="G43" i="36"/>
  <c r="E43" i="36"/>
  <c r="F43" i="36"/>
  <c r="J43" i="36"/>
  <c r="F19" i="36"/>
  <c r="F14" i="36"/>
  <c r="I14" i="36"/>
  <c r="D26" i="36"/>
  <c r="F26" i="36"/>
  <c r="G26" i="36"/>
  <c r="H26" i="36"/>
  <c r="F22" i="36"/>
  <c r="D22" i="36"/>
  <c r="E22" i="36"/>
  <c r="I22" i="36"/>
  <c r="J137" i="36"/>
  <c r="I137" i="36"/>
  <c r="J130" i="36"/>
  <c r="I118" i="36"/>
  <c r="F117" i="36"/>
  <c r="D117" i="36"/>
  <c r="E102" i="36"/>
  <c r="F102" i="36"/>
  <c r="G102" i="36"/>
  <c r="D90" i="36"/>
  <c r="F90" i="36"/>
  <c r="G90" i="36"/>
  <c r="H90" i="36"/>
  <c r="J85" i="36"/>
  <c r="G67" i="36"/>
  <c r="F67" i="36"/>
  <c r="J67" i="36"/>
  <c r="F53" i="36"/>
  <c r="G53" i="36"/>
  <c r="K53" i="36" s="1"/>
  <c r="H53" i="36"/>
  <c r="D50" i="36"/>
  <c r="I50" i="36"/>
  <c r="J50" i="36"/>
  <c r="J35" i="36"/>
  <c r="D236" i="36"/>
  <c r="D225" i="36"/>
  <c r="G222" i="36"/>
  <c r="I215" i="36"/>
  <c r="D182" i="36"/>
  <c r="D166" i="36"/>
  <c r="G163" i="36"/>
  <c r="F130" i="36"/>
  <c r="J122" i="36"/>
  <c r="H118" i="36"/>
  <c r="J113" i="36"/>
  <c r="G113" i="36"/>
  <c r="I113" i="36"/>
  <c r="E111" i="36"/>
  <c r="G106" i="36"/>
  <c r="D106" i="36"/>
  <c r="G95" i="36"/>
  <c r="I85" i="36"/>
  <c r="H77" i="36"/>
  <c r="I77" i="36"/>
  <c r="J77" i="36"/>
  <c r="D75" i="36"/>
  <c r="E75" i="36"/>
  <c r="F75" i="36"/>
  <c r="J75" i="36"/>
  <c r="G60" i="36"/>
  <c r="J60" i="36"/>
  <c r="F54" i="36"/>
  <c r="D54" i="36"/>
  <c r="E54" i="36"/>
  <c r="I54" i="36"/>
  <c r="I46" i="36"/>
  <c r="G44" i="36"/>
  <c r="F35" i="36"/>
  <c r="D30" i="36"/>
  <c r="G27" i="36"/>
  <c r="E27" i="36"/>
  <c r="F27" i="36"/>
  <c r="J27" i="36"/>
  <c r="J23" i="36"/>
  <c r="D12" i="36"/>
  <c r="J12" i="36"/>
  <c r="D10" i="36"/>
  <c r="E10" i="36"/>
  <c r="F10" i="36"/>
  <c r="G10" i="36"/>
  <c r="H10" i="36"/>
  <c r="I10" i="36"/>
  <c r="I148" i="36"/>
  <c r="F148" i="36"/>
  <c r="H148" i="36"/>
  <c r="J145" i="36"/>
  <c r="E145" i="36"/>
  <c r="G145" i="36"/>
  <c r="I140" i="36"/>
  <c r="H140" i="36"/>
  <c r="I124" i="36"/>
  <c r="F124" i="36"/>
  <c r="H124" i="36"/>
  <c r="F95" i="36"/>
  <c r="H94" i="36"/>
  <c r="I94" i="36"/>
  <c r="J94" i="36"/>
  <c r="F78" i="36"/>
  <c r="I78" i="36"/>
  <c r="H40" i="36"/>
  <c r="G40" i="36"/>
  <c r="F37" i="36"/>
  <c r="K37" i="36" s="1"/>
  <c r="G37" i="36"/>
  <c r="H37" i="36"/>
  <c r="E35" i="36"/>
  <c r="D23" i="36"/>
  <c r="G23" i="36"/>
  <c r="H23" i="36"/>
  <c r="I23" i="36"/>
  <c r="G122" i="36"/>
  <c r="D122" i="36"/>
  <c r="E118" i="36"/>
  <c r="G118" i="36"/>
  <c r="E85" i="36"/>
  <c r="F85" i="36"/>
  <c r="G85" i="36"/>
  <c r="F46" i="36"/>
  <c r="J46" i="36"/>
  <c r="J26" i="36"/>
  <c r="J19" i="36"/>
  <c r="E105" i="36"/>
  <c r="D101" i="36"/>
  <c r="D84" i="36"/>
  <c r="D69" i="36"/>
  <c r="E59" i="36"/>
  <c r="J36" i="36"/>
  <c r="D29" i="36"/>
  <c r="J20" i="36"/>
  <c r="D13" i="36"/>
  <c r="K13" i="36" s="1"/>
  <c r="K100" i="36"/>
  <c r="J11" i="36"/>
  <c r="J34" i="36"/>
  <c r="J18" i="36"/>
  <c r="F11" i="36"/>
  <c r="D282" i="36"/>
  <c r="E282" i="36"/>
  <c r="F282" i="36"/>
  <c r="H282" i="36"/>
  <c r="I282" i="36"/>
  <c r="D250" i="36"/>
  <c r="E250" i="36"/>
  <c r="F250" i="36"/>
  <c r="H250" i="36"/>
  <c r="I250" i="36"/>
  <c r="E303" i="36"/>
  <c r="F303" i="36"/>
  <c r="G303" i="36"/>
  <c r="I303" i="36"/>
  <c r="J303" i="36"/>
  <c r="H294" i="36"/>
  <c r="I294" i="36"/>
  <c r="J294" i="36"/>
  <c r="D294" i="36"/>
  <c r="E294" i="36"/>
  <c r="K293" i="36"/>
  <c r="G282" i="36"/>
  <c r="E271" i="36"/>
  <c r="F271" i="36"/>
  <c r="K271" i="36" s="1"/>
  <c r="G271" i="36"/>
  <c r="I271" i="36"/>
  <c r="J271" i="36"/>
  <c r="H262" i="36"/>
  <c r="I262" i="36"/>
  <c r="J262" i="36"/>
  <c r="D262" i="36"/>
  <c r="E262" i="36"/>
  <c r="K261" i="36"/>
  <c r="E264" i="34" s="1"/>
  <c r="G250" i="36"/>
  <c r="F308" i="36"/>
  <c r="K308" i="36" s="1"/>
  <c r="G308" i="36"/>
  <c r="H308" i="36"/>
  <c r="E295" i="36"/>
  <c r="F295" i="36"/>
  <c r="G295" i="36"/>
  <c r="I295" i="36"/>
  <c r="J295" i="36"/>
  <c r="H286" i="36"/>
  <c r="I286" i="36"/>
  <c r="J286" i="36"/>
  <c r="D286" i="36"/>
  <c r="E286" i="36"/>
  <c r="K285" i="36"/>
  <c r="E288" i="34" s="1"/>
  <c r="E263" i="36"/>
  <c r="K263" i="36" s="1"/>
  <c r="E266" i="34" s="1"/>
  <c r="F263" i="36"/>
  <c r="G263" i="36"/>
  <c r="I263" i="36"/>
  <c r="J263" i="36"/>
  <c r="H254" i="36"/>
  <c r="I254" i="36"/>
  <c r="J254" i="36"/>
  <c r="D254" i="36"/>
  <c r="E254" i="36"/>
  <c r="K253" i="36"/>
  <c r="E256" i="34" s="1"/>
  <c r="K251" i="36"/>
  <c r="G246" i="36"/>
  <c r="H246" i="36"/>
  <c r="I246" i="36"/>
  <c r="J246" i="36"/>
  <c r="D246" i="36"/>
  <c r="E246" i="36"/>
  <c r="K245" i="36"/>
  <c r="K243" i="36"/>
  <c r="K307" i="36"/>
  <c r="D306" i="36"/>
  <c r="E306" i="36"/>
  <c r="F306" i="36"/>
  <c r="H306" i="36"/>
  <c r="D274" i="36"/>
  <c r="E274" i="36"/>
  <c r="F274" i="36"/>
  <c r="H274" i="36"/>
  <c r="I274" i="36"/>
  <c r="D239" i="36"/>
  <c r="E239" i="36"/>
  <c r="F239" i="36"/>
  <c r="G239" i="36"/>
  <c r="H239" i="36"/>
  <c r="I239" i="36"/>
  <c r="J239" i="36"/>
  <c r="K227" i="36"/>
  <c r="G302" i="36"/>
  <c r="E287" i="36"/>
  <c r="F287" i="36"/>
  <c r="G287" i="36"/>
  <c r="I287" i="36"/>
  <c r="J287" i="36"/>
  <c r="H279" i="36"/>
  <c r="H278" i="36"/>
  <c r="I278" i="36"/>
  <c r="J278" i="36"/>
  <c r="D278" i="36"/>
  <c r="E278" i="36"/>
  <c r="K277" i="36"/>
  <c r="K275" i="36"/>
  <c r="G270" i="36"/>
  <c r="E255" i="36"/>
  <c r="F255" i="36"/>
  <c r="G255" i="36"/>
  <c r="I255" i="36"/>
  <c r="J255" i="36"/>
  <c r="K229" i="36"/>
  <c r="G214" i="36"/>
  <c r="H214" i="36"/>
  <c r="D214" i="36"/>
  <c r="E214" i="36"/>
  <c r="F214" i="36"/>
  <c r="I214" i="36"/>
  <c r="J214" i="36"/>
  <c r="D298" i="36"/>
  <c r="E298" i="36"/>
  <c r="F298" i="36"/>
  <c r="H298" i="36"/>
  <c r="I298" i="36"/>
  <c r="J290" i="36"/>
  <c r="D266" i="36"/>
  <c r="E266" i="36"/>
  <c r="F266" i="36"/>
  <c r="H266" i="36"/>
  <c r="I266" i="36"/>
  <c r="J258" i="36"/>
  <c r="D247" i="36"/>
  <c r="K247" i="36" s="1"/>
  <c r="E247" i="36"/>
  <c r="F247" i="36"/>
  <c r="G247" i="36"/>
  <c r="I247" i="36"/>
  <c r="J247" i="36"/>
  <c r="J308" i="36"/>
  <c r="H303" i="36"/>
  <c r="K303" i="36" s="1"/>
  <c r="H302" i="36"/>
  <c r="I302" i="36"/>
  <c r="J302" i="36"/>
  <c r="D302" i="36"/>
  <c r="E302" i="36"/>
  <c r="K301" i="36"/>
  <c r="K299" i="36"/>
  <c r="G294" i="36"/>
  <c r="E279" i="36"/>
  <c r="K279" i="36" s="1"/>
  <c r="F279" i="36"/>
  <c r="G279" i="36"/>
  <c r="I279" i="36"/>
  <c r="J279" i="36"/>
  <c r="H271" i="36"/>
  <c r="H270" i="36"/>
  <c r="I270" i="36"/>
  <c r="J270" i="36"/>
  <c r="D270" i="36"/>
  <c r="E270" i="36"/>
  <c r="K269" i="36"/>
  <c r="E272" i="34" s="1"/>
  <c r="K267" i="36"/>
  <c r="G262" i="36"/>
  <c r="K235" i="36"/>
  <c r="E164" i="36"/>
  <c r="F164" i="36"/>
  <c r="G164" i="36"/>
  <c r="H164" i="36"/>
  <c r="I164" i="36"/>
  <c r="J164" i="36"/>
  <c r="D164" i="36"/>
  <c r="D290" i="36"/>
  <c r="E290" i="36"/>
  <c r="F290" i="36"/>
  <c r="H290" i="36"/>
  <c r="I290" i="36"/>
  <c r="J282" i="36"/>
  <c r="D258" i="36"/>
  <c r="E258" i="36"/>
  <c r="F258" i="36"/>
  <c r="H258" i="36"/>
  <c r="I258" i="36"/>
  <c r="J250" i="36"/>
  <c r="D231" i="36"/>
  <c r="E231" i="36"/>
  <c r="F231" i="36"/>
  <c r="G231" i="36"/>
  <c r="H231" i="36"/>
  <c r="I231" i="36"/>
  <c r="J231" i="36"/>
  <c r="I242" i="36"/>
  <c r="E238" i="36"/>
  <c r="I234" i="36"/>
  <c r="E230" i="36"/>
  <c r="I226" i="36"/>
  <c r="E224" i="36"/>
  <c r="J222" i="36"/>
  <c r="E219" i="36"/>
  <c r="K213" i="36"/>
  <c r="G212" i="36"/>
  <c r="G198" i="36"/>
  <c r="H198" i="36"/>
  <c r="I198" i="36"/>
  <c r="J198" i="36"/>
  <c r="F198" i="36"/>
  <c r="E196" i="36"/>
  <c r="F196" i="36"/>
  <c r="G196" i="36"/>
  <c r="H196" i="36"/>
  <c r="D196" i="36"/>
  <c r="K196" i="36" s="1"/>
  <c r="E199" i="34" s="1"/>
  <c r="E188" i="36"/>
  <c r="F188" i="36"/>
  <c r="G188" i="36"/>
  <c r="H188" i="36"/>
  <c r="I188" i="36"/>
  <c r="D188" i="36"/>
  <c r="J300" i="36"/>
  <c r="J292" i="36"/>
  <c r="J284" i="36"/>
  <c r="J276" i="36"/>
  <c r="K276" i="36" s="1"/>
  <c r="E279" i="34" s="1"/>
  <c r="J268" i="36"/>
  <c r="J260" i="36"/>
  <c r="J252" i="36"/>
  <c r="J244" i="36"/>
  <c r="H242" i="36"/>
  <c r="D238" i="36"/>
  <c r="J236" i="36"/>
  <c r="H234" i="36"/>
  <c r="D230" i="36"/>
  <c r="J228" i="36"/>
  <c r="H226" i="36"/>
  <c r="D224" i="36"/>
  <c r="I222" i="36"/>
  <c r="E220" i="36"/>
  <c r="F220" i="36"/>
  <c r="J215" i="36"/>
  <c r="K197" i="36"/>
  <c r="H219" i="36"/>
  <c r="I219" i="36"/>
  <c r="E212" i="36"/>
  <c r="F212" i="36"/>
  <c r="K189" i="36"/>
  <c r="E172" i="36"/>
  <c r="F172" i="36"/>
  <c r="G172" i="36"/>
  <c r="H172" i="36"/>
  <c r="I172" i="36"/>
  <c r="J172" i="36"/>
  <c r="D172" i="36"/>
  <c r="F141" i="36"/>
  <c r="G141" i="36"/>
  <c r="H141" i="36"/>
  <c r="E141" i="36"/>
  <c r="I141" i="36"/>
  <c r="J141" i="36"/>
  <c r="D141" i="36"/>
  <c r="E120" i="36"/>
  <c r="F120" i="36"/>
  <c r="G120" i="36"/>
  <c r="H120" i="36"/>
  <c r="I120" i="36"/>
  <c r="J120" i="36"/>
  <c r="D120" i="36"/>
  <c r="I305" i="36"/>
  <c r="D304" i="36"/>
  <c r="K304" i="36" s="1"/>
  <c r="H300" i="36"/>
  <c r="I297" i="36"/>
  <c r="D296" i="36"/>
  <c r="K296" i="36" s="1"/>
  <c r="H292" i="36"/>
  <c r="I289" i="36"/>
  <c r="D288" i="36"/>
  <c r="K288" i="36" s="1"/>
  <c r="H284" i="36"/>
  <c r="K284" i="36" s="1"/>
  <c r="E287" i="34" s="1"/>
  <c r="I281" i="36"/>
  <c r="D280" i="36"/>
  <c r="K280" i="36" s="1"/>
  <c r="H276" i="36"/>
  <c r="I273" i="36"/>
  <c r="D272" i="36"/>
  <c r="K272" i="36" s="1"/>
  <c r="H268" i="36"/>
  <c r="K268" i="36" s="1"/>
  <c r="E271" i="34" s="1"/>
  <c r="I265" i="36"/>
  <c r="D264" i="36"/>
  <c r="K264" i="36" s="1"/>
  <c r="H260" i="36"/>
  <c r="I257" i="36"/>
  <c r="D256" i="36"/>
  <c r="K256" i="36" s="1"/>
  <c r="H252" i="36"/>
  <c r="I249" i="36"/>
  <c r="D248" i="36"/>
  <c r="K248" i="36" s="1"/>
  <c r="H244" i="36"/>
  <c r="F242" i="36"/>
  <c r="K242" i="36" s="1"/>
  <c r="E245" i="34" s="1"/>
  <c r="I241" i="36"/>
  <c r="D240" i="36"/>
  <c r="K240" i="36" s="1"/>
  <c r="J238" i="36"/>
  <c r="H236" i="36"/>
  <c r="F234" i="36"/>
  <c r="I233" i="36"/>
  <c r="D232" i="36"/>
  <c r="K232" i="36" s="1"/>
  <c r="J230" i="36"/>
  <c r="H228" i="36"/>
  <c r="F226" i="36"/>
  <c r="I225" i="36"/>
  <c r="D223" i="36"/>
  <c r="K223" i="36" s="1"/>
  <c r="F222" i="36"/>
  <c r="K218" i="36"/>
  <c r="E221" i="34" s="1"/>
  <c r="H215" i="36"/>
  <c r="H211" i="36"/>
  <c r="K211" i="36" s="1"/>
  <c r="E214" i="34" s="1"/>
  <c r="I211" i="36"/>
  <c r="I207" i="36"/>
  <c r="J204" i="36"/>
  <c r="H305" i="36"/>
  <c r="K305" i="36" s="1"/>
  <c r="E308" i="34" s="1"/>
  <c r="G300" i="36"/>
  <c r="H297" i="36"/>
  <c r="K297" i="36" s="1"/>
  <c r="G292" i="36"/>
  <c r="K292" i="36" s="1"/>
  <c r="E295" i="34" s="1"/>
  <c r="H289" i="36"/>
  <c r="G284" i="36"/>
  <c r="H281" i="36"/>
  <c r="G276" i="36"/>
  <c r="H273" i="36"/>
  <c r="G268" i="36"/>
  <c r="H265" i="36"/>
  <c r="K265" i="36" s="1"/>
  <c r="G260" i="36"/>
  <c r="K260" i="36" s="1"/>
  <c r="E263" i="34" s="1"/>
  <c r="H257" i="36"/>
  <c r="K257" i="36" s="1"/>
  <c r="G252" i="36"/>
  <c r="K252" i="36" s="1"/>
  <c r="E255" i="34" s="1"/>
  <c r="H249" i="36"/>
  <c r="K249" i="36" s="1"/>
  <c r="G244" i="36"/>
  <c r="K244" i="36" s="1"/>
  <c r="E247" i="34" s="1"/>
  <c r="E242" i="36"/>
  <c r="H241" i="36"/>
  <c r="I238" i="36"/>
  <c r="G236" i="36"/>
  <c r="K236" i="36" s="1"/>
  <c r="E239" i="34" s="1"/>
  <c r="E234" i="36"/>
  <c r="H233" i="36"/>
  <c r="I230" i="36"/>
  <c r="G228" i="36"/>
  <c r="E226" i="36"/>
  <c r="K226" i="36" s="1"/>
  <c r="E229" i="34" s="1"/>
  <c r="H225" i="36"/>
  <c r="I224" i="36"/>
  <c r="E222" i="36"/>
  <c r="J220" i="36"/>
  <c r="F217" i="36"/>
  <c r="K217" i="36" s="1"/>
  <c r="G217" i="36"/>
  <c r="G215" i="36"/>
  <c r="K210" i="36"/>
  <c r="E213" i="34" s="1"/>
  <c r="H207" i="36"/>
  <c r="I204" i="36"/>
  <c r="F201" i="36"/>
  <c r="G201" i="36"/>
  <c r="H201" i="36"/>
  <c r="I201" i="36"/>
  <c r="E201" i="36"/>
  <c r="J193" i="36"/>
  <c r="E156" i="36"/>
  <c r="F156" i="36"/>
  <c r="G156" i="36"/>
  <c r="H156" i="36"/>
  <c r="I156" i="36"/>
  <c r="J156" i="36"/>
  <c r="D156" i="36"/>
  <c r="K154" i="36"/>
  <c r="H238" i="36"/>
  <c r="H230" i="36"/>
  <c r="F225" i="36"/>
  <c r="K225" i="36" s="1"/>
  <c r="H224" i="36"/>
  <c r="D222" i="36"/>
  <c r="I220" i="36"/>
  <c r="K220" i="36" s="1"/>
  <c r="E223" i="34" s="1"/>
  <c r="J219" i="36"/>
  <c r="I216" i="36"/>
  <c r="J216" i="36"/>
  <c r="J212" i="36"/>
  <c r="F209" i="36"/>
  <c r="K209" i="36" s="1"/>
  <c r="G209" i="36"/>
  <c r="G206" i="36"/>
  <c r="H206" i="36"/>
  <c r="I206" i="36"/>
  <c r="J206" i="36"/>
  <c r="F185" i="36"/>
  <c r="G185" i="36"/>
  <c r="H185" i="36"/>
  <c r="I185" i="36"/>
  <c r="J185" i="36"/>
  <c r="E185" i="36"/>
  <c r="K185" i="36" s="1"/>
  <c r="E188" i="34" s="1"/>
  <c r="K173" i="36"/>
  <c r="G224" i="36"/>
  <c r="G219" i="36"/>
  <c r="D215" i="36"/>
  <c r="E215" i="36"/>
  <c r="I212" i="36"/>
  <c r="D207" i="36"/>
  <c r="E207" i="36"/>
  <c r="F207" i="36"/>
  <c r="K205" i="36"/>
  <c r="E208" i="34" s="1"/>
  <c r="E204" i="36"/>
  <c r="K204" i="36" s="1"/>
  <c r="E207" i="34" s="1"/>
  <c r="F204" i="36"/>
  <c r="G204" i="36"/>
  <c r="H204" i="36"/>
  <c r="K202" i="36"/>
  <c r="F193" i="36"/>
  <c r="G193" i="36"/>
  <c r="H193" i="36"/>
  <c r="I193" i="36"/>
  <c r="E193" i="36"/>
  <c r="E180" i="36"/>
  <c r="F180" i="36"/>
  <c r="G180" i="36"/>
  <c r="H180" i="36"/>
  <c r="I180" i="36"/>
  <c r="J180" i="36"/>
  <c r="D180" i="36"/>
  <c r="K168" i="36"/>
  <c r="F190" i="36"/>
  <c r="F182" i="36"/>
  <c r="E177" i="36"/>
  <c r="F174" i="36"/>
  <c r="E169" i="36"/>
  <c r="F166" i="36"/>
  <c r="E161" i="36"/>
  <c r="F158" i="36"/>
  <c r="F152" i="36"/>
  <c r="K142" i="36"/>
  <c r="K118" i="36"/>
  <c r="E112" i="36"/>
  <c r="F112" i="36"/>
  <c r="G112" i="36"/>
  <c r="H112" i="36"/>
  <c r="I112" i="36"/>
  <c r="J112" i="36"/>
  <c r="D139" i="36"/>
  <c r="E139" i="36"/>
  <c r="F139" i="36"/>
  <c r="G138" i="36"/>
  <c r="H138" i="36"/>
  <c r="I138" i="36"/>
  <c r="E136" i="36"/>
  <c r="F136" i="36"/>
  <c r="G136" i="36"/>
  <c r="H135" i="36"/>
  <c r="I135" i="36"/>
  <c r="J135" i="36"/>
  <c r="E96" i="36"/>
  <c r="F96" i="36"/>
  <c r="G96" i="36"/>
  <c r="H96" i="36"/>
  <c r="I96" i="36"/>
  <c r="J96" i="36"/>
  <c r="D96" i="36"/>
  <c r="J177" i="36"/>
  <c r="J169" i="36"/>
  <c r="J161" i="36"/>
  <c r="K134" i="36"/>
  <c r="K82" i="36"/>
  <c r="E85" i="34" s="1"/>
  <c r="D33" i="36"/>
  <c r="E33" i="36"/>
  <c r="F33" i="36"/>
  <c r="G33" i="36"/>
  <c r="H33" i="36"/>
  <c r="I33" i="36"/>
  <c r="J33" i="36"/>
  <c r="G199" i="36"/>
  <c r="G191" i="36"/>
  <c r="J190" i="36"/>
  <c r="G183" i="36"/>
  <c r="J182" i="36"/>
  <c r="I177" i="36"/>
  <c r="G175" i="36"/>
  <c r="J174" i="36"/>
  <c r="I169" i="36"/>
  <c r="G167" i="36"/>
  <c r="J166" i="36"/>
  <c r="I161" i="36"/>
  <c r="G159" i="36"/>
  <c r="J158" i="36"/>
  <c r="G153" i="36"/>
  <c r="J152" i="36"/>
  <c r="F133" i="36"/>
  <c r="K133" i="36" s="1"/>
  <c r="G133" i="36"/>
  <c r="H133" i="36"/>
  <c r="K132" i="36"/>
  <c r="H127" i="36"/>
  <c r="I127" i="36"/>
  <c r="J127" i="36"/>
  <c r="D127" i="36"/>
  <c r="D123" i="36"/>
  <c r="E123" i="36"/>
  <c r="F123" i="36"/>
  <c r="G123" i="36"/>
  <c r="H123" i="36"/>
  <c r="D115" i="36"/>
  <c r="E115" i="36"/>
  <c r="F115" i="36"/>
  <c r="G115" i="36"/>
  <c r="H115" i="36"/>
  <c r="I115" i="36"/>
  <c r="J203" i="36"/>
  <c r="F199" i="36"/>
  <c r="J195" i="36"/>
  <c r="F191" i="36"/>
  <c r="I190" i="36"/>
  <c r="J187" i="36"/>
  <c r="F183" i="36"/>
  <c r="I182" i="36"/>
  <c r="J179" i="36"/>
  <c r="K179" i="36" s="1"/>
  <c r="E182" i="34" s="1"/>
  <c r="H177" i="36"/>
  <c r="F175" i="36"/>
  <c r="I174" i="36"/>
  <c r="J171" i="36"/>
  <c r="H169" i="36"/>
  <c r="F167" i="36"/>
  <c r="I166" i="36"/>
  <c r="J163" i="36"/>
  <c r="H161" i="36"/>
  <c r="F159" i="36"/>
  <c r="I158" i="36"/>
  <c r="F153" i="36"/>
  <c r="I152" i="36"/>
  <c r="K150" i="36"/>
  <c r="D131" i="36"/>
  <c r="E131" i="36"/>
  <c r="F131" i="36"/>
  <c r="G130" i="36"/>
  <c r="H130" i="36"/>
  <c r="I130" i="36"/>
  <c r="E128" i="36"/>
  <c r="K128" i="36" s="1"/>
  <c r="E131" i="34" s="1"/>
  <c r="F128" i="36"/>
  <c r="G128" i="36"/>
  <c r="K126" i="36"/>
  <c r="E129" i="34" s="1"/>
  <c r="F125" i="36"/>
  <c r="K125" i="36" s="1"/>
  <c r="G125" i="36"/>
  <c r="H125" i="36"/>
  <c r="J125" i="36"/>
  <c r="K124" i="36"/>
  <c r="K108" i="36"/>
  <c r="E104" i="36"/>
  <c r="F104" i="36"/>
  <c r="G104" i="36"/>
  <c r="H104" i="36"/>
  <c r="I104" i="36"/>
  <c r="J104" i="36"/>
  <c r="D104" i="36"/>
  <c r="J208" i="36"/>
  <c r="K208" i="36" s="1"/>
  <c r="E211" i="34" s="1"/>
  <c r="I203" i="36"/>
  <c r="J200" i="36"/>
  <c r="K200" i="36" s="1"/>
  <c r="E203" i="34" s="1"/>
  <c r="E199" i="36"/>
  <c r="I195" i="36"/>
  <c r="J192" i="36"/>
  <c r="K192" i="36" s="1"/>
  <c r="E195" i="34" s="1"/>
  <c r="E191" i="36"/>
  <c r="K191" i="36" s="1"/>
  <c r="H190" i="36"/>
  <c r="I187" i="36"/>
  <c r="J184" i="36"/>
  <c r="K184" i="36" s="1"/>
  <c r="E187" i="34" s="1"/>
  <c r="E183" i="36"/>
  <c r="K183" i="36" s="1"/>
  <c r="E186" i="34" s="1"/>
  <c r="H182" i="36"/>
  <c r="I179" i="36"/>
  <c r="G177" i="36"/>
  <c r="J176" i="36"/>
  <c r="K176" i="36" s="1"/>
  <c r="E179" i="34" s="1"/>
  <c r="E175" i="36"/>
  <c r="K175" i="36" s="1"/>
  <c r="E178" i="34" s="1"/>
  <c r="H174" i="36"/>
  <c r="I171" i="36"/>
  <c r="K171" i="36" s="1"/>
  <c r="E174" i="34" s="1"/>
  <c r="G169" i="36"/>
  <c r="J168" i="36"/>
  <c r="E167" i="36"/>
  <c r="K167" i="36" s="1"/>
  <c r="E170" i="34" s="1"/>
  <c r="H166" i="36"/>
  <c r="I163" i="36"/>
  <c r="K163" i="36" s="1"/>
  <c r="E166" i="34" s="1"/>
  <c r="G161" i="36"/>
  <c r="J160" i="36"/>
  <c r="K160" i="36" s="1"/>
  <c r="E163" i="34" s="1"/>
  <c r="E159" i="36"/>
  <c r="K159" i="36" s="1"/>
  <c r="E162" i="34" s="1"/>
  <c r="H158" i="36"/>
  <c r="I155" i="36"/>
  <c r="K155" i="36" s="1"/>
  <c r="E158" i="34" s="1"/>
  <c r="E153" i="36"/>
  <c r="H152" i="36"/>
  <c r="J151" i="36"/>
  <c r="F149" i="36"/>
  <c r="G149" i="36"/>
  <c r="H149" i="36"/>
  <c r="K148" i="36"/>
  <c r="J139" i="36"/>
  <c r="J138" i="36"/>
  <c r="J136" i="36"/>
  <c r="G135" i="36"/>
  <c r="K116" i="36"/>
  <c r="D153" i="36"/>
  <c r="G152" i="36"/>
  <c r="I151" i="36"/>
  <c r="D147" i="36"/>
  <c r="E147" i="36"/>
  <c r="F147" i="36"/>
  <c r="G146" i="36"/>
  <c r="H146" i="36"/>
  <c r="I146" i="36"/>
  <c r="E144" i="36"/>
  <c r="F144" i="36"/>
  <c r="G144" i="36"/>
  <c r="H143" i="36"/>
  <c r="I143" i="36"/>
  <c r="J143" i="36"/>
  <c r="I139" i="36"/>
  <c r="F138" i="36"/>
  <c r="K138" i="36" s="1"/>
  <c r="I136" i="36"/>
  <c r="F135" i="36"/>
  <c r="D112" i="36"/>
  <c r="K110" i="36"/>
  <c r="D52" i="36"/>
  <c r="E52" i="36"/>
  <c r="F52" i="36"/>
  <c r="H52" i="36"/>
  <c r="I52" i="36"/>
  <c r="J52" i="36"/>
  <c r="G52" i="36"/>
  <c r="H64" i="36"/>
  <c r="I64" i="36"/>
  <c r="J64" i="36"/>
  <c r="D64" i="36"/>
  <c r="E64" i="36"/>
  <c r="K63" i="36"/>
  <c r="I107" i="36"/>
  <c r="I99" i="36"/>
  <c r="J89" i="36"/>
  <c r="J81" i="36"/>
  <c r="E65" i="36"/>
  <c r="F65" i="36"/>
  <c r="G65" i="36"/>
  <c r="I65" i="36"/>
  <c r="J65" i="36"/>
  <c r="H56" i="36"/>
  <c r="I56" i="36"/>
  <c r="J56" i="36"/>
  <c r="D56" i="36"/>
  <c r="E56" i="36"/>
  <c r="D119" i="36"/>
  <c r="J117" i="36"/>
  <c r="D111" i="36"/>
  <c r="J109" i="36"/>
  <c r="H107" i="36"/>
  <c r="D103" i="36"/>
  <c r="J101" i="36"/>
  <c r="H99" i="36"/>
  <c r="D95" i="36"/>
  <c r="D91" i="36"/>
  <c r="I89" i="36"/>
  <c r="I81" i="36"/>
  <c r="D79" i="36"/>
  <c r="E79" i="36"/>
  <c r="G48" i="36"/>
  <c r="H48" i="36"/>
  <c r="I48" i="36"/>
  <c r="J48" i="36"/>
  <c r="D48" i="36"/>
  <c r="E48" i="36"/>
  <c r="K45" i="36"/>
  <c r="E48" i="34" s="1"/>
  <c r="K21" i="36"/>
  <c r="D17" i="36"/>
  <c r="E17" i="36"/>
  <c r="F17" i="36"/>
  <c r="G17" i="36"/>
  <c r="H17" i="36"/>
  <c r="I17" i="36"/>
  <c r="J17" i="36"/>
  <c r="I117" i="36"/>
  <c r="I109" i="36"/>
  <c r="G107" i="36"/>
  <c r="I101" i="36"/>
  <c r="G99" i="36"/>
  <c r="J92" i="36"/>
  <c r="H89" i="36"/>
  <c r="I88" i="36"/>
  <c r="J84" i="36"/>
  <c r="H81" i="36"/>
  <c r="I80" i="36"/>
  <c r="G78" i="36"/>
  <c r="H78" i="36"/>
  <c r="K66" i="36"/>
  <c r="E57" i="36"/>
  <c r="F57" i="36"/>
  <c r="G57" i="36"/>
  <c r="I57" i="36"/>
  <c r="J57" i="36"/>
  <c r="D41" i="36"/>
  <c r="E41" i="36"/>
  <c r="F41" i="36"/>
  <c r="G41" i="36"/>
  <c r="H41" i="36"/>
  <c r="I41" i="36"/>
  <c r="J41" i="36"/>
  <c r="D145" i="36"/>
  <c r="K145" i="36" s="1"/>
  <c r="D137" i="36"/>
  <c r="K137" i="36" s="1"/>
  <c r="D129" i="36"/>
  <c r="K129" i="36" s="1"/>
  <c r="I122" i="36"/>
  <c r="D121" i="36"/>
  <c r="K121" i="36" s="1"/>
  <c r="J119" i="36"/>
  <c r="H117" i="36"/>
  <c r="I114" i="36"/>
  <c r="D113" i="36"/>
  <c r="K113" i="36" s="1"/>
  <c r="E116" i="34" s="1"/>
  <c r="J111" i="36"/>
  <c r="H109" i="36"/>
  <c r="F107" i="36"/>
  <c r="I106" i="36"/>
  <c r="D105" i="36"/>
  <c r="K105" i="36" s="1"/>
  <c r="J103" i="36"/>
  <c r="H101" i="36"/>
  <c r="F99" i="36"/>
  <c r="I98" i="36"/>
  <c r="D97" i="36"/>
  <c r="K97" i="36" s="1"/>
  <c r="J95" i="36"/>
  <c r="D94" i="36"/>
  <c r="K94" i="36" s="1"/>
  <c r="E97" i="34" s="1"/>
  <c r="I92" i="36"/>
  <c r="E90" i="36"/>
  <c r="K90" i="36" s="1"/>
  <c r="E93" i="34" s="1"/>
  <c r="F89" i="36"/>
  <c r="H88" i="36"/>
  <c r="D86" i="36"/>
  <c r="K86" i="36" s="1"/>
  <c r="E89" i="34" s="1"/>
  <c r="I84" i="36"/>
  <c r="E82" i="36"/>
  <c r="F81" i="36"/>
  <c r="H80" i="36"/>
  <c r="K77" i="36"/>
  <c r="D68" i="36"/>
  <c r="E68" i="36"/>
  <c r="F68" i="36"/>
  <c r="H68" i="36"/>
  <c r="I68" i="36"/>
  <c r="K34" i="36"/>
  <c r="K10" i="36"/>
  <c r="H122" i="36"/>
  <c r="K122" i="36" s="1"/>
  <c r="E125" i="34" s="1"/>
  <c r="I119" i="36"/>
  <c r="G117" i="36"/>
  <c r="H114" i="36"/>
  <c r="I111" i="36"/>
  <c r="G109" i="36"/>
  <c r="E107" i="36"/>
  <c r="K107" i="36" s="1"/>
  <c r="E110" i="34" s="1"/>
  <c r="H106" i="36"/>
  <c r="K106" i="36" s="1"/>
  <c r="E109" i="34" s="1"/>
  <c r="I103" i="36"/>
  <c r="G101" i="36"/>
  <c r="K101" i="36" s="1"/>
  <c r="E104" i="34" s="1"/>
  <c r="E99" i="36"/>
  <c r="H98" i="36"/>
  <c r="K98" i="36" s="1"/>
  <c r="I95" i="36"/>
  <c r="H92" i="36"/>
  <c r="J91" i="36"/>
  <c r="E89" i="36"/>
  <c r="G88" i="36"/>
  <c r="J87" i="36"/>
  <c r="H84" i="36"/>
  <c r="J83" i="36"/>
  <c r="E81" i="36"/>
  <c r="G80" i="36"/>
  <c r="J79" i="36"/>
  <c r="D76" i="36"/>
  <c r="E76" i="36"/>
  <c r="F76" i="36"/>
  <c r="G75" i="36"/>
  <c r="K75" i="36" s="1"/>
  <c r="E78" i="34" s="1"/>
  <c r="H75" i="36"/>
  <c r="I75" i="36"/>
  <c r="H72" i="36"/>
  <c r="I72" i="36"/>
  <c r="J72" i="36"/>
  <c r="E72" i="36"/>
  <c r="K72" i="36" s="1"/>
  <c r="K69" i="36"/>
  <c r="E72" i="34" s="1"/>
  <c r="G64" i="36"/>
  <c r="K58" i="36"/>
  <c r="E49" i="36"/>
  <c r="F49" i="36"/>
  <c r="G49" i="36"/>
  <c r="I49" i="36"/>
  <c r="J49" i="36"/>
  <c r="K31" i="36"/>
  <c r="E34" i="34" s="1"/>
  <c r="K29" i="36"/>
  <c r="D25" i="36"/>
  <c r="E25" i="36"/>
  <c r="F25" i="36"/>
  <c r="G25" i="36"/>
  <c r="H25" i="36"/>
  <c r="I25" i="36"/>
  <c r="J25" i="36"/>
  <c r="K93" i="36"/>
  <c r="E96" i="34" s="1"/>
  <c r="G92" i="36"/>
  <c r="K92" i="36" s="1"/>
  <c r="E95" i="34" s="1"/>
  <c r="H91" i="36"/>
  <c r="D89" i="36"/>
  <c r="F88" i="36"/>
  <c r="K88" i="36" s="1"/>
  <c r="I87" i="36"/>
  <c r="K85" i="36"/>
  <c r="E88" i="34" s="1"/>
  <c r="G84" i="36"/>
  <c r="H83" i="36"/>
  <c r="D81" i="36"/>
  <c r="F80" i="36"/>
  <c r="I79" i="36"/>
  <c r="J78" i="36"/>
  <c r="K74" i="36"/>
  <c r="E73" i="36"/>
  <c r="F73" i="36"/>
  <c r="G73" i="36"/>
  <c r="F64" i="36"/>
  <c r="D60" i="36"/>
  <c r="E60" i="36"/>
  <c r="F60" i="36"/>
  <c r="H60" i="36"/>
  <c r="I60" i="36"/>
  <c r="K18" i="36"/>
  <c r="D67" i="36"/>
  <c r="D59" i="36"/>
  <c r="D51" i="36"/>
  <c r="I44" i="36"/>
  <c r="D43" i="36"/>
  <c r="E40" i="36"/>
  <c r="I36" i="36"/>
  <c r="D35" i="36"/>
  <c r="E32" i="36"/>
  <c r="I28" i="36"/>
  <c r="D27" i="36"/>
  <c r="E24" i="36"/>
  <c r="I20" i="36"/>
  <c r="D19" i="36"/>
  <c r="E16" i="36"/>
  <c r="I12" i="36"/>
  <c r="D11" i="36"/>
  <c r="H44" i="36"/>
  <c r="D40" i="36"/>
  <c r="H36" i="36"/>
  <c r="D32" i="36"/>
  <c r="H28" i="36"/>
  <c r="D24" i="36"/>
  <c r="H20" i="36"/>
  <c r="D16" i="36"/>
  <c r="H12" i="36"/>
  <c r="G36" i="36"/>
  <c r="G28" i="36"/>
  <c r="G20" i="36"/>
  <c r="E71" i="36"/>
  <c r="K71" i="36" s="1"/>
  <c r="E74" i="34" s="1"/>
  <c r="H70" i="36"/>
  <c r="I67" i="36"/>
  <c r="E63" i="36"/>
  <c r="H62" i="36"/>
  <c r="I59" i="36"/>
  <c r="E55" i="36"/>
  <c r="K55" i="36" s="1"/>
  <c r="H54" i="36"/>
  <c r="I51" i="36"/>
  <c r="E47" i="36"/>
  <c r="K47" i="36" s="1"/>
  <c r="E50" i="34" s="1"/>
  <c r="H46" i="36"/>
  <c r="F44" i="36"/>
  <c r="I43" i="36"/>
  <c r="J40" i="36"/>
  <c r="E39" i="36"/>
  <c r="K39" i="36" s="1"/>
  <c r="H38" i="36"/>
  <c r="F36" i="36"/>
  <c r="I35" i="36"/>
  <c r="J32" i="36"/>
  <c r="E31" i="36"/>
  <c r="H30" i="36"/>
  <c r="F28" i="36"/>
  <c r="I27" i="36"/>
  <c r="J24" i="36"/>
  <c r="E23" i="36"/>
  <c r="K23" i="36" s="1"/>
  <c r="E26" i="34" s="1"/>
  <c r="H22" i="36"/>
  <c r="F20" i="36"/>
  <c r="I19" i="36"/>
  <c r="J16" i="36"/>
  <c r="E15" i="36"/>
  <c r="K15" i="36" s="1"/>
  <c r="H14" i="36"/>
  <c r="F12" i="36"/>
  <c r="I11" i="36"/>
  <c r="G70" i="36"/>
  <c r="K70" i="36" s="1"/>
  <c r="E73" i="34" s="1"/>
  <c r="H67" i="36"/>
  <c r="G62" i="36"/>
  <c r="H59" i="36"/>
  <c r="G54" i="36"/>
  <c r="H51" i="36"/>
  <c r="G46" i="36"/>
  <c r="E44" i="36"/>
  <c r="H43" i="36"/>
  <c r="I40" i="36"/>
  <c r="G38" i="36"/>
  <c r="E36" i="36"/>
  <c r="H35" i="36"/>
  <c r="I32" i="36"/>
  <c r="G30" i="36"/>
  <c r="K30" i="36" s="1"/>
  <c r="E33" i="34" s="1"/>
  <c r="E28" i="36"/>
  <c r="H27" i="36"/>
  <c r="I24" i="36"/>
  <c r="G22" i="36"/>
  <c r="K22" i="36" s="1"/>
  <c r="E25" i="34" s="1"/>
  <c r="E20" i="36"/>
  <c r="K20" i="36" s="1"/>
  <c r="E23" i="34" s="1"/>
  <c r="H19" i="36"/>
  <c r="I16" i="36"/>
  <c r="G14" i="36"/>
  <c r="E12" i="36"/>
  <c r="H11" i="36"/>
  <c r="E151" i="34"/>
  <c r="E280" i="34"/>
  <c r="E248" i="34"/>
  <c r="E307" i="34"/>
  <c r="E304" i="34"/>
  <c r="E232" i="34"/>
  <c r="E296" i="34"/>
  <c r="E278" i="34"/>
  <c r="E216" i="34"/>
  <c r="E291" i="34"/>
  <c r="E283" i="34"/>
  <c r="E275" i="34"/>
  <c r="E267" i="34"/>
  <c r="E259" i="34"/>
  <c r="E251" i="34"/>
  <c r="E235" i="34"/>
  <c r="E230" i="34"/>
  <c r="E200" i="34"/>
  <c r="E192" i="34"/>
  <c r="E153" i="34"/>
  <c r="E157" i="34"/>
  <c r="E299" i="34"/>
  <c r="E243" i="34"/>
  <c r="E176" i="34"/>
  <c r="E226" i="34"/>
  <c r="E205" i="34"/>
  <c r="E148" i="34"/>
  <c r="E77" i="34"/>
  <c r="E145" i="34"/>
  <c r="E124" i="34"/>
  <c r="E103" i="34"/>
  <c r="E165" i="34"/>
  <c r="E121" i="34"/>
  <c r="E173" i="34"/>
  <c r="E171" i="34"/>
  <c r="E119" i="34"/>
  <c r="E137" i="34"/>
  <c r="E108" i="34"/>
  <c r="E113" i="34"/>
  <c r="E100" i="34"/>
  <c r="E32" i="34"/>
  <c r="E56" i="34"/>
  <c r="E40" i="34"/>
  <c r="E24" i="34"/>
  <c r="E16" i="34"/>
  <c r="F297" i="9"/>
  <c r="F281" i="9"/>
  <c r="F265" i="9"/>
  <c r="F249" i="9"/>
  <c r="F305" i="9"/>
  <c r="F231" i="9"/>
  <c r="F215" i="9"/>
  <c r="F223" i="9"/>
  <c r="F207" i="9"/>
  <c r="F191" i="9"/>
  <c r="F175" i="9"/>
  <c r="F159" i="9"/>
  <c r="F143" i="9"/>
  <c r="F127" i="9"/>
  <c r="F111" i="9"/>
  <c r="F95" i="9"/>
  <c r="F79" i="9"/>
  <c r="F63" i="9"/>
  <c r="F47" i="9"/>
  <c r="F31" i="9"/>
  <c r="F15" i="9"/>
  <c r="K46" i="36" l="1"/>
  <c r="E49" i="34" s="1"/>
  <c r="K103" i="36"/>
  <c r="E106" i="34" s="1"/>
  <c r="K174" i="36"/>
  <c r="K14" i="36"/>
  <c r="E17" i="34" s="1"/>
  <c r="K36" i="36"/>
  <c r="E39" i="34" s="1"/>
  <c r="K89" i="36"/>
  <c r="E92" i="34" s="1"/>
  <c r="K109" i="36"/>
  <c r="K177" i="36"/>
  <c r="E180" i="34" s="1"/>
  <c r="K127" i="36"/>
  <c r="E130" i="34" s="1"/>
  <c r="K139" i="36"/>
  <c r="E142" i="34" s="1"/>
  <c r="K207" i="36"/>
  <c r="K206" i="36"/>
  <c r="E209" i="34" s="1"/>
  <c r="K228" i="36"/>
  <c r="E231" i="34" s="1"/>
  <c r="K298" i="36"/>
  <c r="E301" i="34" s="1"/>
  <c r="K54" i="36"/>
  <c r="E57" i="34" s="1"/>
  <c r="K80" i="36"/>
  <c r="K49" i="36"/>
  <c r="K195" i="36"/>
  <c r="K130" i="36"/>
  <c r="E133" i="34" s="1"/>
  <c r="K182" i="36"/>
  <c r="K212" i="36"/>
  <c r="E215" i="34" s="1"/>
  <c r="K281" i="36"/>
  <c r="K295" i="36"/>
  <c r="K62" i="36"/>
  <c r="E65" i="34" s="1"/>
  <c r="K83" i="36"/>
  <c r="E86" i="34" s="1"/>
  <c r="K114" i="36"/>
  <c r="K112" i="36"/>
  <c r="K147" i="36"/>
  <c r="E150" i="34" s="1"/>
  <c r="K199" i="36"/>
  <c r="K136" i="36"/>
  <c r="E139" i="34" s="1"/>
  <c r="K152" i="36"/>
  <c r="K190" i="36"/>
  <c r="K233" i="36"/>
  <c r="K140" i="36"/>
  <c r="K38" i="36"/>
  <c r="E41" i="34" s="1"/>
  <c r="K84" i="36"/>
  <c r="K99" i="36"/>
  <c r="E102" i="34" s="1"/>
  <c r="K117" i="36"/>
  <c r="K78" i="36"/>
  <c r="E81" i="34" s="1"/>
  <c r="K135" i="36"/>
  <c r="E138" i="34" s="1"/>
  <c r="K151" i="36"/>
  <c r="E154" i="34" s="1"/>
  <c r="K169" i="36"/>
  <c r="E172" i="34" s="1"/>
  <c r="K161" i="36"/>
  <c r="E164" i="34" s="1"/>
  <c r="K158" i="36"/>
  <c r="K193" i="36"/>
  <c r="E196" i="34" s="1"/>
  <c r="K234" i="36"/>
  <c r="E237" i="34" s="1"/>
  <c r="K289" i="36"/>
  <c r="K287" i="36"/>
  <c r="K237" i="36"/>
  <c r="E240" i="34" s="1"/>
  <c r="K203" i="36"/>
  <c r="E206" i="34" s="1"/>
  <c r="K180" i="36"/>
  <c r="E183" i="34" s="1"/>
  <c r="K187" i="36"/>
  <c r="E190" i="34" s="1"/>
  <c r="K166" i="36"/>
  <c r="K73" i="36"/>
  <c r="E76" i="34" s="1"/>
  <c r="K12" i="36"/>
  <c r="E15" i="34" s="1"/>
  <c r="K28" i="36"/>
  <c r="E31" i="34" s="1"/>
  <c r="K44" i="36"/>
  <c r="E47" i="34" s="1"/>
  <c r="K19" i="36"/>
  <c r="E22" i="34" s="1"/>
  <c r="K87" i="36"/>
  <c r="E90" i="34" s="1"/>
  <c r="K76" i="36"/>
  <c r="K56" i="36"/>
  <c r="E59" i="34" s="1"/>
  <c r="K65" i="36"/>
  <c r="K149" i="36"/>
  <c r="E152" i="34" s="1"/>
  <c r="K219" i="36"/>
  <c r="K156" i="36"/>
  <c r="E159" i="34" s="1"/>
  <c r="K241" i="36"/>
  <c r="K300" i="36"/>
  <c r="E303" i="34" s="1"/>
  <c r="K120" i="36"/>
  <c r="E123" i="34" s="1"/>
  <c r="K57" i="36"/>
  <c r="E60" i="34" s="1"/>
  <c r="K198" i="36"/>
  <c r="E201" i="34" s="1"/>
  <c r="K42" i="36"/>
  <c r="K186" i="36"/>
  <c r="E189" i="34" s="1"/>
  <c r="K221" i="36"/>
  <c r="E224" i="34" s="1"/>
  <c r="K50" i="36"/>
  <c r="E53" i="34" s="1"/>
  <c r="K194" i="36"/>
  <c r="E197" i="34" s="1"/>
  <c r="K61" i="36"/>
  <c r="E64" i="34" s="1"/>
  <c r="K181" i="36"/>
  <c r="E184" i="34" s="1"/>
  <c r="K26" i="36"/>
  <c r="K178" i="36"/>
  <c r="E181" i="34" s="1"/>
  <c r="K157" i="36"/>
  <c r="K32" i="36"/>
  <c r="K43" i="36"/>
  <c r="E46" i="34" s="1"/>
  <c r="K143" i="36"/>
  <c r="E146" i="34" s="1"/>
  <c r="K123" i="36"/>
  <c r="E126" i="34" s="1"/>
  <c r="K216" i="36"/>
  <c r="E219" i="34" s="1"/>
  <c r="K224" i="36"/>
  <c r="E227" i="34" s="1"/>
  <c r="K266" i="36"/>
  <c r="E269" i="34" s="1"/>
  <c r="K255" i="36"/>
  <c r="E258" i="34" s="1"/>
  <c r="K274" i="36"/>
  <c r="E277" i="34" s="1"/>
  <c r="K246" i="36"/>
  <c r="E249" i="34" s="1"/>
  <c r="K254" i="36"/>
  <c r="E257" i="34" s="1"/>
  <c r="K262" i="36"/>
  <c r="E265" i="34" s="1"/>
  <c r="K282" i="36"/>
  <c r="E285" i="34" s="1"/>
  <c r="K40" i="36"/>
  <c r="K27" i="36"/>
  <c r="E30" i="34" s="1"/>
  <c r="K51" i="36"/>
  <c r="E54" i="34" s="1"/>
  <c r="K41" i="36"/>
  <c r="E44" i="34" s="1"/>
  <c r="K79" i="36"/>
  <c r="E82" i="34" s="1"/>
  <c r="K96" i="36"/>
  <c r="K215" i="36"/>
  <c r="E218" i="34" s="1"/>
  <c r="K141" i="36"/>
  <c r="E144" i="34" s="1"/>
  <c r="K172" i="36"/>
  <c r="E175" i="34" s="1"/>
  <c r="K188" i="36"/>
  <c r="E191" i="34" s="1"/>
  <c r="K239" i="36"/>
  <c r="E242" i="34" s="1"/>
  <c r="K59" i="36"/>
  <c r="E62" i="34" s="1"/>
  <c r="K60" i="36"/>
  <c r="K68" i="36"/>
  <c r="E71" i="34" s="1"/>
  <c r="K64" i="36"/>
  <c r="E67" i="34" s="1"/>
  <c r="K144" i="36"/>
  <c r="E147" i="34" s="1"/>
  <c r="K131" i="36"/>
  <c r="E134" i="34" s="1"/>
  <c r="K115" i="36"/>
  <c r="E118" i="34" s="1"/>
  <c r="K222" i="36"/>
  <c r="E225" i="34" s="1"/>
  <c r="K230" i="36"/>
  <c r="E233" i="34" s="1"/>
  <c r="K250" i="36"/>
  <c r="E253" i="34" s="1"/>
  <c r="K16" i="36"/>
  <c r="K11" i="36"/>
  <c r="E14" i="34" s="1"/>
  <c r="K67" i="36"/>
  <c r="E70" i="34" s="1"/>
  <c r="K81" i="36"/>
  <c r="K48" i="36"/>
  <c r="E51" i="34" s="1"/>
  <c r="K111" i="36"/>
  <c r="E114" i="34" s="1"/>
  <c r="K153" i="36"/>
  <c r="E156" i="34" s="1"/>
  <c r="K104" i="36"/>
  <c r="E107" i="34" s="1"/>
  <c r="K290" i="36"/>
  <c r="E293" i="34" s="1"/>
  <c r="K35" i="36"/>
  <c r="E38" i="34" s="1"/>
  <c r="K17" i="36"/>
  <c r="E20" i="34" s="1"/>
  <c r="K91" i="36"/>
  <c r="E94" i="34" s="1"/>
  <c r="K52" i="36"/>
  <c r="E55" i="34" s="1"/>
  <c r="K201" i="36"/>
  <c r="E204" i="34" s="1"/>
  <c r="K258" i="36"/>
  <c r="E261" i="34" s="1"/>
  <c r="K302" i="36"/>
  <c r="E305" i="34" s="1"/>
  <c r="K214" i="36"/>
  <c r="E217" i="34" s="1"/>
  <c r="K306" i="36"/>
  <c r="E309" i="34" s="1"/>
  <c r="K286" i="36"/>
  <c r="E289" i="34" s="1"/>
  <c r="K294" i="36"/>
  <c r="E297" i="34" s="1"/>
  <c r="K24" i="36"/>
  <c r="E27" i="34" s="1"/>
  <c r="K25" i="36"/>
  <c r="E28" i="34" s="1"/>
  <c r="K95" i="36"/>
  <c r="E98" i="34" s="1"/>
  <c r="K119" i="36"/>
  <c r="E122" i="34" s="1"/>
  <c r="K146" i="36"/>
  <c r="E149" i="34" s="1"/>
  <c r="K238" i="36"/>
  <c r="E241" i="34" s="1"/>
  <c r="K231" i="36"/>
  <c r="E234" i="34" s="1"/>
  <c r="K270" i="36"/>
  <c r="E273" i="34" s="1"/>
  <c r="K278" i="36"/>
  <c r="E281" i="34" s="1"/>
  <c r="K33" i="36"/>
  <c r="E36" i="34" s="1"/>
  <c r="K164" i="36"/>
  <c r="E167" i="34" s="1"/>
  <c r="E13" i="34"/>
  <c r="E75" i="34"/>
  <c r="E37" i="34"/>
  <c r="E111" i="34"/>
  <c r="E161" i="34"/>
  <c r="E79" i="34"/>
  <c r="E194" i="34"/>
  <c r="E274" i="34"/>
  <c r="E169" i="34"/>
  <c r="E185" i="34"/>
  <c r="E222" i="34"/>
  <c r="E238" i="34"/>
  <c r="E254" i="34"/>
  <c r="E212" i="34"/>
  <c r="E282" i="34"/>
  <c r="E193" i="34"/>
  <c r="E284" i="34"/>
  <c r="E268" i="34"/>
  <c r="E244" i="34"/>
  <c r="E132" i="34"/>
  <c r="E35" i="34"/>
  <c r="E45" i="34"/>
  <c r="E61" i="34"/>
  <c r="E91" i="34"/>
  <c r="E117" i="34"/>
  <c r="E120" i="34"/>
  <c r="E87" i="34"/>
  <c r="E210" i="34"/>
  <c r="E128" i="34"/>
  <c r="E310" i="34"/>
  <c r="E292" i="34"/>
  <c r="E21" i="34"/>
  <c r="E19" i="34"/>
  <c r="E141" i="34"/>
  <c r="E143" i="34"/>
  <c r="E66" i="34"/>
  <c r="E68" i="34"/>
  <c r="E135" i="34"/>
  <c r="E198" i="34"/>
  <c r="E286" i="34"/>
  <c r="E294" i="34"/>
  <c r="E43" i="34"/>
  <c r="E99" i="34"/>
  <c r="E115" i="34"/>
  <c r="E101" i="34"/>
  <c r="E42" i="34"/>
  <c r="E155" i="34"/>
  <c r="E250" i="34"/>
  <c r="E136" i="34"/>
  <c r="E168" i="34"/>
  <c r="E127" i="34"/>
  <c r="E252" i="34"/>
  <c r="E298" i="34"/>
  <c r="E228" i="34"/>
  <c r="E276" i="34"/>
  <c r="E306" i="34"/>
  <c r="E302" i="34"/>
  <c r="E58" i="34"/>
  <c r="E84" i="34"/>
  <c r="E246" i="34"/>
  <c r="E262" i="34"/>
  <c r="E270" i="34"/>
  <c r="E29" i="34"/>
  <c r="E63" i="34"/>
  <c r="E140" i="34"/>
  <c r="E69" i="34"/>
  <c r="E202" i="34"/>
  <c r="E112" i="34"/>
  <c r="E290" i="34"/>
  <c r="E220" i="34"/>
  <c r="E260" i="34"/>
  <c r="E300" i="34"/>
  <c r="E18" i="34"/>
  <c r="E52" i="34"/>
  <c r="E83" i="34"/>
  <c r="E80" i="34"/>
  <c r="E160" i="34"/>
  <c r="E236" i="34"/>
  <c r="E311" i="34"/>
  <c r="E177" i="34"/>
  <c r="AL7" i="42" l="1"/>
  <c r="AL8" i="42"/>
  <c r="AL9" i="42"/>
  <c r="AL10" i="42"/>
  <c r="AL11" i="42"/>
  <c r="AL12" i="42"/>
  <c r="AL13" i="42"/>
  <c r="AL14" i="42"/>
  <c r="AL15" i="42"/>
  <c r="AL16" i="42"/>
  <c r="AL17" i="42"/>
  <c r="AL18" i="42"/>
  <c r="AL19" i="42"/>
  <c r="AL20" i="42"/>
  <c r="AL21" i="42"/>
  <c r="AL22" i="42"/>
  <c r="AL23" i="42"/>
  <c r="AL24" i="42"/>
  <c r="AL25" i="42"/>
  <c r="AL26" i="42"/>
  <c r="AL27" i="42"/>
  <c r="AL28" i="42"/>
  <c r="AL29" i="42"/>
  <c r="AL30" i="42"/>
  <c r="AL31" i="42"/>
  <c r="AL32" i="42"/>
  <c r="AL33" i="42"/>
  <c r="AL34" i="42"/>
  <c r="AL35" i="42"/>
  <c r="AL36" i="42"/>
  <c r="AL37" i="42"/>
  <c r="AL38" i="42"/>
  <c r="AL39" i="42"/>
  <c r="AL40" i="42"/>
  <c r="AL41" i="42"/>
  <c r="AL42" i="42"/>
  <c r="AL43" i="42"/>
  <c r="AL44" i="42"/>
  <c r="AL45" i="42"/>
  <c r="AL46" i="42"/>
  <c r="AL47" i="42"/>
  <c r="AL48" i="42"/>
  <c r="AL49" i="42"/>
  <c r="AL50" i="42"/>
  <c r="AL51" i="42"/>
  <c r="AL52" i="42"/>
  <c r="AL53" i="42"/>
  <c r="AL54" i="42"/>
  <c r="AL55" i="42"/>
  <c r="AL56" i="42"/>
  <c r="AL57" i="42"/>
  <c r="AL58" i="42"/>
  <c r="AL59" i="42"/>
  <c r="AL60" i="42"/>
  <c r="AL61" i="42"/>
  <c r="AL62" i="42"/>
  <c r="AL63" i="42"/>
  <c r="AL64" i="42"/>
  <c r="AL65" i="42"/>
  <c r="AL66" i="42"/>
  <c r="AL67" i="42"/>
  <c r="AL68" i="42"/>
  <c r="AL69" i="42"/>
  <c r="AL70" i="42"/>
  <c r="AL71" i="42"/>
  <c r="AL72" i="42"/>
  <c r="AL73" i="42"/>
  <c r="AL74" i="42"/>
  <c r="AL75" i="42"/>
  <c r="AL76" i="42"/>
  <c r="AL77" i="42"/>
  <c r="AL78" i="42"/>
  <c r="AL79" i="42"/>
  <c r="AL80" i="42"/>
  <c r="AL81" i="42"/>
  <c r="AL82" i="42"/>
  <c r="AL83" i="42"/>
  <c r="AL84" i="42"/>
  <c r="AL85" i="42"/>
  <c r="AL86" i="42"/>
  <c r="AL87" i="42"/>
  <c r="AL88" i="42"/>
  <c r="AL89" i="42"/>
  <c r="AL90" i="42"/>
  <c r="AL91" i="42"/>
  <c r="AL92" i="42"/>
  <c r="AL93" i="42"/>
  <c r="AL94" i="42"/>
  <c r="AL95" i="42"/>
  <c r="AL96" i="42"/>
  <c r="AL97" i="42"/>
  <c r="AL98" i="42"/>
  <c r="AL99" i="42"/>
  <c r="AL100" i="42"/>
  <c r="AL101" i="42"/>
  <c r="AL102" i="42"/>
  <c r="AL103" i="42"/>
  <c r="AL104" i="42"/>
  <c r="AL105" i="42"/>
  <c r="AL106" i="42"/>
  <c r="AL107" i="42"/>
  <c r="AL108" i="42"/>
  <c r="AL109" i="42"/>
  <c r="AL110" i="42"/>
  <c r="AL111" i="42"/>
  <c r="AL112" i="42"/>
  <c r="AL113" i="42"/>
  <c r="AL114" i="42"/>
  <c r="AL115" i="42"/>
  <c r="AL116" i="42"/>
  <c r="AL117" i="42"/>
  <c r="AL118" i="42"/>
  <c r="AL119" i="42"/>
  <c r="AL120" i="42"/>
  <c r="AL121" i="42"/>
  <c r="AL122" i="42"/>
  <c r="AL123" i="42"/>
  <c r="AL124" i="42"/>
  <c r="AL125" i="42"/>
  <c r="AL126" i="42"/>
  <c r="AL127" i="42"/>
  <c r="AL128" i="42"/>
  <c r="AL129" i="42"/>
  <c r="AL130" i="42"/>
  <c r="AL131" i="42"/>
  <c r="AL132" i="42"/>
  <c r="AL133" i="42"/>
  <c r="AL134" i="42"/>
  <c r="AL135" i="42"/>
  <c r="AL136" i="42"/>
  <c r="AL137" i="42"/>
  <c r="AL138" i="42"/>
  <c r="AL139" i="42"/>
  <c r="AL140" i="42"/>
  <c r="AL141" i="42"/>
  <c r="AL142" i="42"/>
  <c r="AL143" i="42"/>
  <c r="AL144" i="42"/>
  <c r="AL145" i="42"/>
  <c r="AL146" i="42"/>
  <c r="AL147" i="42"/>
  <c r="AL148" i="42"/>
  <c r="AL149" i="42"/>
  <c r="AL150" i="42"/>
  <c r="AL151" i="42"/>
  <c r="AL152" i="42"/>
  <c r="AL153" i="42"/>
  <c r="AL154" i="42"/>
  <c r="AL155" i="42"/>
  <c r="AL156" i="42"/>
  <c r="AL157" i="42"/>
  <c r="AL158" i="42"/>
  <c r="AL159" i="42"/>
  <c r="AL160" i="42"/>
  <c r="AL161" i="42"/>
  <c r="AL162" i="42"/>
  <c r="AL163" i="42"/>
  <c r="AL164" i="42"/>
  <c r="AL165" i="42"/>
  <c r="AL166" i="42"/>
  <c r="AL167" i="42"/>
  <c r="AL168" i="42"/>
  <c r="AL169" i="42"/>
  <c r="AL170" i="42"/>
  <c r="AL171" i="42"/>
  <c r="AL172" i="42"/>
  <c r="AL173" i="42"/>
  <c r="AL174" i="42"/>
  <c r="AL175" i="42"/>
  <c r="AL176" i="42"/>
  <c r="AL177" i="42"/>
  <c r="AL178" i="42"/>
  <c r="AL179" i="42"/>
  <c r="AL180" i="42"/>
  <c r="AL181" i="42"/>
  <c r="AL182" i="42"/>
  <c r="AL183" i="42"/>
  <c r="AL184" i="42"/>
  <c r="AL185" i="42"/>
  <c r="AL186" i="42"/>
  <c r="AL187" i="42"/>
  <c r="AL188" i="42"/>
  <c r="AL189" i="42"/>
  <c r="AL190" i="42"/>
  <c r="AL191" i="42"/>
  <c r="AL192" i="42"/>
  <c r="AL193" i="42"/>
  <c r="AL194" i="42"/>
  <c r="AL195" i="42"/>
  <c r="AL196" i="42"/>
  <c r="AL197" i="42"/>
  <c r="AL198" i="42"/>
  <c r="AL199" i="42"/>
  <c r="AL200" i="42"/>
  <c r="AL201" i="42"/>
  <c r="AL202" i="42"/>
  <c r="AL203" i="42"/>
  <c r="AL204" i="42"/>
  <c r="AL205" i="42"/>
  <c r="AL206" i="42"/>
  <c r="AL207" i="42"/>
  <c r="AL208" i="42"/>
  <c r="AL209" i="42"/>
  <c r="AL210" i="42"/>
  <c r="AL211" i="42"/>
  <c r="AL212" i="42"/>
  <c r="AL213" i="42"/>
  <c r="AL214" i="42"/>
  <c r="AL215" i="42"/>
  <c r="AL216" i="42"/>
  <c r="AL217" i="42"/>
  <c r="AL218" i="42"/>
  <c r="AL219" i="42"/>
  <c r="AL220" i="42"/>
  <c r="AL221" i="42"/>
  <c r="AL222" i="42"/>
  <c r="AL223" i="42"/>
  <c r="AL224" i="42"/>
  <c r="AL225" i="42"/>
  <c r="AL226" i="42"/>
  <c r="AL227" i="42"/>
  <c r="AL228" i="42"/>
  <c r="AL229" i="42"/>
  <c r="AL230" i="42"/>
  <c r="AL231" i="42"/>
  <c r="AL232" i="42"/>
  <c r="AL233" i="42"/>
  <c r="AL234" i="42"/>
  <c r="AL235" i="42"/>
  <c r="AL236" i="42"/>
  <c r="AL237" i="42"/>
  <c r="AL238" i="42"/>
  <c r="AL239" i="42"/>
  <c r="AL240" i="42"/>
  <c r="AL241" i="42"/>
  <c r="AL242" i="42"/>
  <c r="AL243" i="42"/>
  <c r="AL244" i="42"/>
  <c r="AL245" i="42"/>
  <c r="AL246" i="42"/>
  <c r="AL247" i="42"/>
  <c r="AL248" i="42"/>
  <c r="AL249" i="42"/>
  <c r="AL250" i="42"/>
  <c r="AL251" i="42"/>
  <c r="AL252" i="42"/>
  <c r="AL253" i="42"/>
  <c r="AL254" i="42"/>
  <c r="AL255" i="42"/>
  <c r="AL256" i="42"/>
  <c r="AL257" i="42"/>
  <c r="AL258" i="42"/>
  <c r="AL259" i="42"/>
  <c r="AL260" i="42"/>
  <c r="AL261" i="42"/>
  <c r="AL262" i="42"/>
  <c r="AL263" i="42"/>
  <c r="AL264" i="42"/>
  <c r="AL265" i="42"/>
  <c r="AL266" i="42"/>
  <c r="AL267" i="42"/>
  <c r="AL268" i="42"/>
  <c r="AL269" i="42"/>
  <c r="AL270" i="42"/>
  <c r="AL271" i="42"/>
  <c r="AL272" i="42"/>
  <c r="AL273" i="42"/>
  <c r="AL274" i="42"/>
  <c r="AL275" i="42"/>
  <c r="AL276" i="42"/>
  <c r="AL277" i="42"/>
  <c r="AL278" i="42"/>
  <c r="AL279" i="42"/>
  <c r="AL280" i="42"/>
  <c r="AL281" i="42"/>
  <c r="AL282" i="42"/>
  <c r="AL283" i="42"/>
  <c r="AL284" i="42"/>
  <c r="AL285" i="42"/>
  <c r="AL286" i="42"/>
  <c r="AL287" i="42"/>
  <c r="AL288" i="42"/>
  <c r="AL289" i="42"/>
  <c r="AL290" i="42"/>
  <c r="AL291" i="42"/>
  <c r="AL292" i="42"/>
  <c r="AL293" i="42"/>
  <c r="AL294" i="42"/>
  <c r="AL295" i="42"/>
  <c r="AL296" i="42"/>
  <c r="AL297" i="42"/>
  <c r="AL298" i="42"/>
  <c r="AL299" i="42"/>
  <c r="AL300" i="42"/>
  <c r="AL301" i="42"/>
  <c r="AL302" i="42"/>
  <c r="AL303" i="42"/>
  <c r="AL304" i="42"/>
  <c r="AL305" i="42"/>
  <c r="AL6" i="42"/>
  <c r="B6" i="48" l="1"/>
  <c r="A32" i="40" l="1"/>
  <c r="B16" i="40"/>
  <c r="C15" i="40"/>
  <c r="Z5" i="42" l="1"/>
  <c r="X5" i="42"/>
  <c r="B7" i="58"/>
  <c r="A7" i="49" l="1"/>
  <c r="B7" i="49"/>
  <c r="C7" i="49"/>
  <c r="D7" i="49"/>
  <c r="E7" i="49"/>
  <c r="I7" i="49"/>
  <c r="A8" i="49"/>
  <c r="B8" i="49"/>
  <c r="C8" i="49"/>
  <c r="D8" i="49"/>
  <c r="E8" i="49"/>
  <c r="A9" i="49"/>
  <c r="B9" i="49"/>
  <c r="C9" i="49"/>
  <c r="D9" i="49"/>
  <c r="E9" i="49"/>
  <c r="A10" i="49"/>
  <c r="B10" i="49"/>
  <c r="C10" i="49"/>
  <c r="D10" i="49"/>
  <c r="E10" i="49"/>
  <c r="A11" i="49"/>
  <c r="B11" i="49"/>
  <c r="C11" i="49"/>
  <c r="D11" i="49"/>
  <c r="E11" i="49"/>
  <c r="A12" i="49"/>
  <c r="B12" i="49"/>
  <c r="C12" i="49"/>
  <c r="D12" i="49"/>
  <c r="E12" i="49"/>
  <c r="A13" i="49"/>
  <c r="B13" i="49"/>
  <c r="C13" i="49"/>
  <c r="D13" i="49"/>
  <c r="E13" i="49"/>
  <c r="A14" i="49"/>
  <c r="B14" i="49"/>
  <c r="C14" i="49"/>
  <c r="I14" i="49" s="1"/>
  <c r="D14" i="49"/>
  <c r="E14" i="49"/>
  <c r="A15" i="49"/>
  <c r="B15" i="49"/>
  <c r="C15" i="49"/>
  <c r="D15" i="49"/>
  <c r="E15" i="49"/>
  <c r="A16" i="49"/>
  <c r="B16" i="49"/>
  <c r="C16" i="49"/>
  <c r="D16" i="49"/>
  <c r="E16" i="49"/>
  <c r="A17" i="49"/>
  <c r="B17" i="49"/>
  <c r="C17" i="49"/>
  <c r="D17" i="49"/>
  <c r="E17" i="49"/>
  <c r="A18" i="49"/>
  <c r="B18" i="49"/>
  <c r="C18" i="49"/>
  <c r="D18" i="49"/>
  <c r="E18" i="49"/>
  <c r="A19" i="49"/>
  <c r="B19" i="49"/>
  <c r="C19" i="49"/>
  <c r="D19" i="49"/>
  <c r="E19" i="49"/>
  <c r="A20" i="49"/>
  <c r="B20" i="49"/>
  <c r="C20" i="49"/>
  <c r="D20" i="49"/>
  <c r="E20" i="49"/>
  <c r="A21" i="49"/>
  <c r="B21" i="49"/>
  <c r="C21" i="49"/>
  <c r="D21" i="49"/>
  <c r="E21" i="49"/>
  <c r="A22" i="49"/>
  <c r="B22" i="49"/>
  <c r="C22" i="49"/>
  <c r="D22" i="49"/>
  <c r="E22" i="49"/>
  <c r="A23" i="49"/>
  <c r="B23" i="49"/>
  <c r="C23" i="49"/>
  <c r="D23" i="49"/>
  <c r="E23" i="49"/>
  <c r="A24" i="49"/>
  <c r="B24" i="49"/>
  <c r="C24" i="49"/>
  <c r="D24" i="49"/>
  <c r="E24" i="49"/>
  <c r="A25" i="49"/>
  <c r="B25" i="49"/>
  <c r="C25" i="49"/>
  <c r="D25" i="49"/>
  <c r="E25" i="49"/>
  <c r="A26" i="49"/>
  <c r="B26" i="49"/>
  <c r="C26" i="49"/>
  <c r="D26" i="49"/>
  <c r="E26" i="49"/>
  <c r="A27" i="49"/>
  <c r="B27" i="49"/>
  <c r="C27" i="49"/>
  <c r="D27" i="49"/>
  <c r="E27" i="49"/>
  <c r="A28" i="49"/>
  <c r="B28" i="49"/>
  <c r="C28" i="49"/>
  <c r="D28" i="49"/>
  <c r="E28" i="49"/>
  <c r="A29" i="49"/>
  <c r="B29" i="49"/>
  <c r="C29" i="49"/>
  <c r="D29" i="49"/>
  <c r="E29" i="49"/>
  <c r="A30" i="49"/>
  <c r="B30" i="49"/>
  <c r="C30" i="49"/>
  <c r="D30" i="49"/>
  <c r="E30" i="49"/>
  <c r="A31" i="49"/>
  <c r="B31" i="49"/>
  <c r="C31" i="49"/>
  <c r="D31" i="49"/>
  <c r="E31" i="49"/>
  <c r="A32" i="49"/>
  <c r="B32" i="49"/>
  <c r="C32" i="49"/>
  <c r="D32" i="49"/>
  <c r="E32" i="49"/>
  <c r="A33" i="49"/>
  <c r="B33" i="49"/>
  <c r="C33" i="49"/>
  <c r="D33" i="49"/>
  <c r="E33" i="49"/>
  <c r="A34" i="49"/>
  <c r="B34" i="49"/>
  <c r="C34" i="49"/>
  <c r="D34" i="49"/>
  <c r="E34" i="49"/>
  <c r="A35" i="49"/>
  <c r="B35" i="49"/>
  <c r="C35" i="49"/>
  <c r="D35" i="49"/>
  <c r="E35" i="49"/>
  <c r="A36" i="49"/>
  <c r="B36" i="49"/>
  <c r="C36" i="49"/>
  <c r="D36" i="49"/>
  <c r="E36" i="49"/>
  <c r="A37" i="49"/>
  <c r="B37" i="49"/>
  <c r="C37" i="49"/>
  <c r="D37" i="49"/>
  <c r="E37" i="49"/>
  <c r="A38" i="49"/>
  <c r="B38" i="49"/>
  <c r="C38" i="49"/>
  <c r="D38" i="49"/>
  <c r="E38" i="49"/>
  <c r="A39" i="49"/>
  <c r="B39" i="49"/>
  <c r="C39" i="49"/>
  <c r="D39" i="49"/>
  <c r="E39" i="49"/>
  <c r="A40" i="49"/>
  <c r="B40" i="49"/>
  <c r="C40" i="49"/>
  <c r="D40" i="49"/>
  <c r="E40" i="49"/>
  <c r="A41" i="49"/>
  <c r="B41" i="49"/>
  <c r="C41" i="49"/>
  <c r="D41" i="49"/>
  <c r="E41" i="49"/>
  <c r="A42" i="49"/>
  <c r="B42" i="49"/>
  <c r="C42" i="49"/>
  <c r="D42" i="49"/>
  <c r="E42" i="49"/>
  <c r="A43" i="49"/>
  <c r="B43" i="49"/>
  <c r="C43" i="49"/>
  <c r="D43" i="49"/>
  <c r="E43" i="49"/>
  <c r="A44" i="49"/>
  <c r="B44" i="49"/>
  <c r="C44" i="49"/>
  <c r="D44" i="49"/>
  <c r="E44" i="49"/>
  <c r="A45" i="49"/>
  <c r="B45" i="49"/>
  <c r="C45" i="49"/>
  <c r="D45" i="49"/>
  <c r="E45" i="49"/>
  <c r="A46" i="49"/>
  <c r="B46" i="49"/>
  <c r="C46" i="49"/>
  <c r="D46" i="49"/>
  <c r="E46" i="49"/>
  <c r="A47" i="49"/>
  <c r="B47" i="49"/>
  <c r="C47" i="49"/>
  <c r="D47" i="49"/>
  <c r="E47" i="49"/>
  <c r="A48" i="49"/>
  <c r="B48" i="49"/>
  <c r="C48" i="49"/>
  <c r="D48" i="49"/>
  <c r="E48" i="49"/>
  <c r="A49" i="49"/>
  <c r="B49" i="49"/>
  <c r="C49" i="49"/>
  <c r="D49" i="49"/>
  <c r="E49" i="49"/>
  <c r="A50" i="49"/>
  <c r="B50" i="49"/>
  <c r="C50" i="49"/>
  <c r="D50" i="49"/>
  <c r="E50" i="49"/>
  <c r="A51" i="49"/>
  <c r="B51" i="49"/>
  <c r="C51" i="49"/>
  <c r="D51" i="49"/>
  <c r="E51" i="49"/>
  <c r="A52" i="49"/>
  <c r="B52" i="49"/>
  <c r="C52" i="49"/>
  <c r="D52" i="49"/>
  <c r="E52" i="49"/>
  <c r="A53" i="49"/>
  <c r="B53" i="49"/>
  <c r="C53" i="49"/>
  <c r="D53" i="49"/>
  <c r="E53" i="49"/>
  <c r="A54" i="49"/>
  <c r="B54" i="49"/>
  <c r="C54" i="49"/>
  <c r="D54" i="49"/>
  <c r="E54" i="49"/>
  <c r="A55" i="49"/>
  <c r="B55" i="49"/>
  <c r="C55" i="49"/>
  <c r="D55" i="49"/>
  <c r="E55" i="49"/>
  <c r="A56" i="49"/>
  <c r="B56" i="49"/>
  <c r="C56" i="49"/>
  <c r="D56" i="49"/>
  <c r="E56" i="49"/>
  <c r="A57" i="49"/>
  <c r="B57" i="49"/>
  <c r="C57" i="49"/>
  <c r="D57" i="49"/>
  <c r="E57" i="49"/>
  <c r="A58" i="49"/>
  <c r="B58" i="49"/>
  <c r="C58" i="49"/>
  <c r="D58" i="49"/>
  <c r="E58" i="49"/>
  <c r="A59" i="49"/>
  <c r="B59" i="49"/>
  <c r="C59" i="49"/>
  <c r="D59" i="49"/>
  <c r="E59" i="49"/>
  <c r="A60" i="49"/>
  <c r="B60" i="49"/>
  <c r="C60" i="49"/>
  <c r="D60" i="49"/>
  <c r="E60" i="49"/>
  <c r="A61" i="49"/>
  <c r="B61" i="49"/>
  <c r="C61" i="49"/>
  <c r="D61" i="49"/>
  <c r="E61" i="49"/>
  <c r="A62" i="49"/>
  <c r="B62" i="49"/>
  <c r="C62" i="49"/>
  <c r="D62" i="49"/>
  <c r="E62" i="49"/>
  <c r="A63" i="49"/>
  <c r="B63" i="49"/>
  <c r="C63" i="49"/>
  <c r="D63" i="49"/>
  <c r="E63" i="49"/>
  <c r="A64" i="49"/>
  <c r="B64" i="49"/>
  <c r="C64" i="49"/>
  <c r="D64" i="49"/>
  <c r="E64" i="49"/>
  <c r="A65" i="49"/>
  <c r="B65" i="49"/>
  <c r="C65" i="49"/>
  <c r="D65" i="49"/>
  <c r="E65" i="49"/>
  <c r="A66" i="49"/>
  <c r="B66" i="49"/>
  <c r="C66" i="49"/>
  <c r="D66" i="49"/>
  <c r="E66" i="49"/>
  <c r="A67" i="49"/>
  <c r="B67" i="49"/>
  <c r="C67" i="49"/>
  <c r="D67" i="49"/>
  <c r="E67" i="49"/>
  <c r="A68" i="49"/>
  <c r="B68" i="49"/>
  <c r="C68" i="49"/>
  <c r="D68" i="49"/>
  <c r="E68" i="49"/>
  <c r="A69" i="49"/>
  <c r="B69" i="49"/>
  <c r="C69" i="49"/>
  <c r="D69" i="49"/>
  <c r="E69" i="49"/>
  <c r="A70" i="49"/>
  <c r="B70" i="49"/>
  <c r="C70" i="49"/>
  <c r="D70" i="49"/>
  <c r="E70" i="49"/>
  <c r="A71" i="49"/>
  <c r="B71" i="49"/>
  <c r="C71" i="49"/>
  <c r="D71" i="49"/>
  <c r="E71" i="49"/>
  <c r="A72" i="49"/>
  <c r="B72" i="49"/>
  <c r="C72" i="49"/>
  <c r="D72" i="49"/>
  <c r="E72" i="49"/>
  <c r="A73" i="49"/>
  <c r="B73" i="49"/>
  <c r="C73" i="49"/>
  <c r="D73" i="49"/>
  <c r="E73" i="49"/>
  <c r="A74" i="49"/>
  <c r="B74" i="49"/>
  <c r="C74" i="49"/>
  <c r="D74" i="49"/>
  <c r="E74" i="49"/>
  <c r="A75" i="49"/>
  <c r="B75" i="49"/>
  <c r="C75" i="49"/>
  <c r="D75" i="49"/>
  <c r="E75" i="49"/>
  <c r="A76" i="49"/>
  <c r="B76" i="49"/>
  <c r="C76" i="49"/>
  <c r="D76" i="49"/>
  <c r="E76" i="49"/>
  <c r="A77" i="49"/>
  <c r="B77" i="49"/>
  <c r="C77" i="49"/>
  <c r="D77" i="49"/>
  <c r="E77" i="49"/>
  <c r="A78" i="49"/>
  <c r="B78" i="49"/>
  <c r="C78" i="49"/>
  <c r="D78" i="49"/>
  <c r="E78" i="49"/>
  <c r="A79" i="49"/>
  <c r="B79" i="49"/>
  <c r="C79" i="49"/>
  <c r="D79" i="49"/>
  <c r="E79" i="49"/>
  <c r="A80" i="49"/>
  <c r="B80" i="49"/>
  <c r="C80" i="49"/>
  <c r="D80" i="49"/>
  <c r="E80" i="49"/>
  <c r="A81" i="49"/>
  <c r="B81" i="49"/>
  <c r="C81" i="49"/>
  <c r="D81" i="49"/>
  <c r="E81" i="49"/>
  <c r="A82" i="49"/>
  <c r="B82" i="49"/>
  <c r="C82" i="49"/>
  <c r="D82" i="49"/>
  <c r="E82" i="49"/>
  <c r="A83" i="49"/>
  <c r="B83" i="49"/>
  <c r="C83" i="49"/>
  <c r="D83" i="49"/>
  <c r="E83" i="49"/>
  <c r="A84" i="49"/>
  <c r="B84" i="49"/>
  <c r="C84" i="49"/>
  <c r="D84" i="49"/>
  <c r="E84" i="49"/>
  <c r="A85" i="49"/>
  <c r="B85" i="49"/>
  <c r="C85" i="49"/>
  <c r="D85" i="49"/>
  <c r="E85" i="49"/>
  <c r="A86" i="49"/>
  <c r="B86" i="49"/>
  <c r="C86" i="49"/>
  <c r="D86" i="49"/>
  <c r="E86" i="49"/>
  <c r="A87" i="49"/>
  <c r="B87" i="49"/>
  <c r="C87" i="49"/>
  <c r="D87" i="49"/>
  <c r="E87" i="49"/>
  <c r="A88" i="49"/>
  <c r="B88" i="49"/>
  <c r="C88" i="49"/>
  <c r="D88" i="49"/>
  <c r="E88" i="49"/>
  <c r="A89" i="49"/>
  <c r="B89" i="49"/>
  <c r="C89" i="49"/>
  <c r="D89" i="49"/>
  <c r="E89" i="49"/>
  <c r="A90" i="49"/>
  <c r="B90" i="49"/>
  <c r="C90" i="49"/>
  <c r="D90" i="49"/>
  <c r="E90" i="49"/>
  <c r="A91" i="49"/>
  <c r="B91" i="49"/>
  <c r="C91" i="49"/>
  <c r="D91" i="49"/>
  <c r="E91" i="49"/>
  <c r="A92" i="49"/>
  <c r="B92" i="49"/>
  <c r="C92" i="49"/>
  <c r="D92" i="49"/>
  <c r="E92" i="49"/>
  <c r="A93" i="49"/>
  <c r="B93" i="49"/>
  <c r="C93" i="49"/>
  <c r="D93" i="49"/>
  <c r="E93" i="49"/>
  <c r="A94" i="49"/>
  <c r="B94" i="49"/>
  <c r="C94" i="49"/>
  <c r="D94" i="49"/>
  <c r="E94" i="49"/>
  <c r="A95" i="49"/>
  <c r="B95" i="49"/>
  <c r="C95" i="49"/>
  <c r="D95" i="49"/>
  <c r="E95" i="49"/>
  <c r="A96" i="49"/>
  <c r="B96" i="49"/>
  <c r="C96" i="49"/>
  <c r="D96" i="49"/>
  <c r="E96" i="49"/>
  <c r="A97" i="49"/>
  <c r="B97" i="49"/>
  <c r="C97" i="49"/>
  <c r="D97" i="49"/>
  <c r="E97" i="49"/>
  <c r="A98" i="49"/>
  <c r="B98" i="49"/>
  <c r="C98" i="49"/>
  <c r="D98" i="49"/>
  <c r="E98" i="49"/>
  <c r="A99" i="49"/>
  <c r="B99" i="49"/>
  <c r="C99" i="49"/>
  <c r="D99" i="49"/>
  <c r="E99" i="49"/>
  <c r="A100" i="49"/>
  <c r="B100" i="49"/>
  <c r="C100" i="49"/>
  <c r="D100" i="49"/>
  <c r="E100" i="49"/>
  <c r="A101" i="49"/>
  <c r="B101" i="49"/>
  <c r="C101" i="49"/>
  <c r="D101" i="49"/>
  <c r="E101" i="49"/>
  <c r="A102" i="49"/>
  <c r="B102" i="49"/>
  <c r="C102" i="49"/>
  <c r="D102" i="49"/>
  <c r="E102" i="49"/>
  <c r="A103" i="49"/>
  <c r="B103" i="49"/>
  <c r="C103" i="49"/>
  <c r="D103" i="49"/>
  <c r="E103" i="49"/>
  <c r="A104" i="49"/>
  <c r="B104" i="49"/>
  <c r="C104" i="49"/>
  <c r="D104" i="49"/>
  <c r="E104" i="49"/>
  <c r="A105" i="49"/>
  <c r="B105" i="49"/>
  <c r="C105" i="49"/>
  <c r="D105" i="49"/>
  <c r="E105" i="49"/>
  <c r="A106" i="49"/>
  <c r="B106" i="49"/>
  <c r="C106" i="49"/>
  <c r="I106" i="49" s="1"/>
  <c r="D106" i="49"/>
  <c r="E106" i="49"/>
  <c r="A107" i="49"/>
  <c r="B107" i="49"/>
  <c r="C107" i="49"/>
  <c r="D107" i="49"/>
  <c r="E107" i="49"/>
  <c r="A108" i="49"/>
  <c r="B108" i="49"/>
  <c r="C108" i="49"/>
  <c r="I108" i="49" s="1"/>
  <c r="D108" i="49"/>
  <c r="E108" i="49"/>
  <c r="A109" i="49"/>
  <c r="B109" i="49"/>
  <c r="C109" i="49"/>
  <c r="D109" i="49"/>
  <c r="E109" i="49"/>
  <c r="A110" i="49"/>
  <c r="B110" i="49"/>
  <c r="C110" i="49"/>
  <c r="D110" i="49"/>
  <c r="E110" i="49"/>
  <c r="A111" i="49"/>
  <c r="B111" i="49"/>
  <c r="C111" i="49"/>
  <c r="D111" i="49"/>
  <c r="E111" i="49"/>
  <c r="I111" i="49"/>
  <c r="A112" i="49"/>
  <c r="B112" i="49"/>
  <c r="C112" i="49"/>
  <c r="D112" i="49"/>
  <c r="E112" i="49"/>
  <c r="A113" i="49"/>
  <c r="B113" i="49"/>
  <c r="C113" i="49"/>
  <c r="I113" i="49" s="1"/>
  <c r="D113" i="49"/>
  <c r="E113" i="49"/>
  <c r="A114" i="49"/>
  <c r="B114" i="49"/>
  <c r="C114" i="49"/>
  <c r="I114" i="49" s="1"/>
  <c r="D114" i="49"/>
  <c r="E114" i="49"/>
  <c r="A115" i="49"/>
  <c r="B115" i="49"/>
  <c r="C115" i="49"/>
  <c r="I115" i="49" s="1"/>
  <c r="D115" i="49"/>
  <c r="E115" i="49"/>
  <c r="A116" i="49"/>
  <c r="B116" i="49"/>
  <c r="C116" i="49"/>
  <c r="I116" i="49" s="1"/>
  <c r="D116" i="49"/>
  <c r="E116" i="49"/>
  <c r="A117" i="49"/>
  <c r="B117" i="49"/>
  <c r="C117" i="49"/>
  <c r="D117" i="49"/>
  <c r="E117" i="49"/>
  <c r="A118" i="49"/>
  <c r="B118" i="49"/>
  <c r="C118" i="49"/>
  <c r="I118" i="49" s="1"/>
  <c r="D118" i="49"/>
  <c r="E118" i="49"/>
  <c r="A119" i="49"/>
  <c r="B119" i="49"/>
  <c r="C119" i="49"/>
  <c r="D119" i="49"/>
  <c r="E119" i="49"/>
  <c r="A120" i="49"/>
  <c r="B120" i="49"/>
  <c r="C120" i="49"/>
  <c r="I120" i="49" s="1"/>
  <c r="D120" i="49"/>
  <c r="E120" i="49"/>
  <c r="A121" i="49"/>
  <c r="B121" i="49"/>
  <c r="C121" i="49"/>
  <c r="I121" i="49" s="1"/>
  <c r="D121" i="49"/>
  <c r="E121" i="49"/>
  <c r="A122" i="49"/>
  <c r="B122" i="49"/>
  <c r="C122" i="49"/>
  <c r="I122" i="49" s="1"/>
  <c r="D122" i="49"/>
  <c r="E122" i="49"/>
  <c r="A123" i="49"/>
  <c r="B123" i="49"/>
  <c r="C123" i="49"/>
  <c r="D123" i="49"/>
  <c r="E123" i="49"/>
  <c r="I123" i="49"/>
  <c r="A124" i="49"/>
  <c r="B124" i="49"/>
  <c r="C124" i="49"/>
  <c r="I124" i="49" s="1"/>
  <c r="D124" i="49"/>
  <c r="E124" i="49"/>
  <c r="A125" i="49"/>
  <c r="B125" i="49"/>
  <c r="C125" i="49"/>
  <c r="I125" i="49" s="1"/>
  <c r="D125" i="49"/>
  <c r="E125" i="49"/>
  <c r="A126" i="49"/>
  <c r="B126" i="49"/>
  <c r="C126" i="49"/>
  <c r="D126" i="49"/>
  <c r="E126" i="49"/>
  <c r="A127" i="49"/>
  <c r="B127" i="49"/>
  <c r="C127" i="49"/>
  <c r="D127" i="49"/>
  <c r="E127" i="49"/>
  <c r="A128" i="49"/>
  <c r="B128" i="49"/>
  <c r="C128" i="49"/>
  <c r="I128" i="49" s="1"/>
  <c r="D128" i="49"/>
  <c r="E128" i="49"/>
  <c r="A129" i="49"/>
  <c r="B129" i="49"/>
  <c r="C129" i="49"/>
  <c r="I129" i="49" s="1"/>
  <c r="D129" i="49"/>
  <c r="E129" i="49"/>
  <c r="A130" i="49"/>
  <c r="B130" i="49"/>
  <c r="C130" i="49"/>
  <c r="I130" i="49" s="1"/>
  <c r="D130" i="49"/>
  <c r="E130" i="49"/>
  <c r="A131" i="49"/>
  <c r="B131" i="49"/>
  <c r="C131" i="49"/>
  <c r="D131" i="49"/>
  <c r="E131" i="49"/>
  <c r="A132" i="49"/>
  <c r="B132" i="49"/>
  <c r="C132" i="49"/>
  <c r="D132" i="49"/>
  <c r="E132" i="49"/>
  <c r="A133" i="49"/>
  <c r="B133" i="49"/>
  <c r="C133" i="49"/>
  <c r="D133" i="49"/>
  <c r="E133" i="49"/>
  <c r="A134" i="49"/>
  <c r="B134" i="49"/>
  <c r="C134" i="49"/>
  <c r="D134" i="49"/>
  <c r="E134" i="49"/>
  <c r="A135" i="49"/>
  <c r="B135" i="49"/>
  <c r="C135" i="49"/>
  <c r="D135" i="49"/>
  <c r="E135" i="49"/>
  <c r="A136" i="49"/>
  <c r="B136" i="49"/>
  <c r="C136" i="49"/>
  <c r="D136" i="49"/>
  <c r="E136" i="49"/>
  <c r="A137" i="49"/>
  <c r="B137" i="49"/>
  <c r="C137" i="49"/>
  <c r="I137" i="49" s="1"/>
  <c r="D137" i="49"/>
  <c r="E137" i="49"/>
  <c r="A138" i="49"/>
  <c r="B138" i="49"/>
  <c r="C138" i="49"/>
  <c r="D138" i="49"/>
  <c r="E138" i="49"/>
  <c r="A139" i="49"/>
  <c r="B139" i="49"/>
  <c r="C139" i="49"/>
  <c r="D139" i="49"/>
  <c r="E139" i="49"/>
  <c r="A140" i="49"/>
  <c r="B140" i="49"/>
  <c r="C140" i="49"/>
  <c r="D140" i="49"/>
  <c r="E140" i="49"/>
  <c r="A141" i="49"/>
  <c r="B141" i="49"/>
  <c r="C141" i="49"/>
  <c r="D141" i="49"/>
  <c r="E141" i="49"/>
  <c r="A142" i="49"/>
  <c r="B142" i="49"/>
  <c r="C142" i="49"/>
  <c r="I142" i="49" s="1"/>
  <c r="D142" i="49"/>
  <c r="E142" i="49"/>
  <c r="A143" i="49"/>
  <c r="B143" i="49"/>
  <c r="C143" i="49"/>
  <c r="I143" i="49" s="1"/>
  <c r="D143" i="49"/>
  <c r="E143" i="49"/>
  <c r="A144" i="49"/>
  <c r="B144" i="49"/>
  <c r="C144" i="49"/>
  <c r="I144" i="49" s="1"/>
  <c r="D144" i="49"/>
  <c r="E144" i="49"/>
  <c r="A145" i="49"/>
  <c r="B145" i="49"/>
  <c r="C145" i="49"/>
  <c r="D145" i="49"/>
  <c r="E145" i="49"/>
  <c r="A146" i="49"/>
  <c r="B146" i="49"/>
  <c r="C146" i="49"/>
  <c r="I146" i="49" s="1"/>
  <c r="D146" i="49"/>
  <c r="E146" i="49"/>
  <c r="A147" i="49"/>
  <c r="B147" i="49"/>
  <c r="C147" i="49"/>
  <c r="I147" i="49" s="1"/>
  <c r="D147" i="49"/>
  <c r="E147" i="49"/>
  <c r="A148" i="49"/>
  <c r="B148" i="49"/>
  <c r="C148" i="49"/>
  <c r="I148" i="49" s="1"/>
  <c r="D148" i="49"/>
  <c r="E148" i="49"/>
  <c r="A149" i="49"/>
  <c r="B149" i="49"/>
  <c r="C149" i="49"/>
  <c r="D149" i="49"/>
  <c r="E149" i="49"/>
  <c r="A150" i="49"/>
  <c r="B150" i="49"/>
  <c r="C150" i="49"/>
  <c r="I150" i="49" s="1"/>
  <c r="D150" i="49"/>
  <c r="E150" i="49"/>
  <c r="A151" i="49"/>
  <c r="B151" i="49"/>
  <c r="C151" i="49"/>
  <c r="D151" i="49"/>
  <c r="E151" i="49"/>
  <c r="A152" i="49"/>
  <c r="B152" i="49"/>
  <c r="C152" i="49"/>
  <c r="D152" i="49"/>
  <c r="E152" i="49"/>
  <c r="A153" i="49"/>
  <c r="B153" i="49"/>
  <c r="C153" i="49"/>
  <c r="D153" i="49"/>
  <c r="E153" i="49"/>
  <c r="A154" i="49"/>
  <c r="B154" i="49"/>
  <c r="C154" i="49"/>
  <c r="D154" i="49"/>
  <c r="E154" i="49"/>
  <c r="A155" i="49"/>
  <c r="B155" i="49"/>
  <c r="C155" i="49"/>
  <c r="D155" i="49"/>
  <c r="E155" i="49"/>
  <c r="A156" i="49"/>
  <c r="B156" i="49"/>
  <c r="C156" i="49"/>
  <c r="D156" i="49"/>
  <c r="E156" i="49"/>
  <c r="A157" i="49"/>
  <c r="B157" i="49"/>
  <c r="C157" i="49"/>
  <c r="D157" i="49"/>
  <c r="E157" i="49"/>
  <c r="A158" i="49"/>
  <c r="B158" i="49"/>
  <c r="C158" i="49"/>
  <c r="D158" i="49"/>
  <c r="E158" i="49"/>
  <c r="A159" i="49"/>
  <c r="B159" i="49"/>
  <c r="C159" i="49"/>
  <c r="D159" i="49"/>
  <c r="E159" i="49"/>
  <c r="A160" i="49"/>
  <c r="B160" i="49"/>
  <c r="C160" i="49"/>
  <c r="D160" i="49"/>
  <c r="E160" i="49"/>
  <c r="A161" i="49"/>
  <c r="B161" i="49"/>
  <c r="C161" i="49"/>
  <c r="D161" i="49"/>
  <c r="E161" i="49"/>
  <c r="A162" i="49"/>
  <c r="B162" i="49"/>
  <c r="C162" i="49"/>
  <c r="D162" i="49"/>
  <c r="E162" i="49"/>
  <c r="A163" i="49"/>
  <c r="B163" i="49"/>
  <c r="C163" i="49"/>
  <c r="D163" i="49"/>
  <c r="E163" i="49"/>
  <c r="A164" i="49"/>
  <c r="B164" i="49"/>
  <c r="C164" i="49"/>
  <c r="D164" i="49"/>
  <c r="E164" i="49"/>
  <c r="A165" i="49"/>
  <c r="B165" i="49"/>
  <c r="C165" i="49"/>
  <c r="D165" i="49"/>
  <c r="E165" i="49"/>
  <c r="A166" i="49"/>
  <c r="B166" i="49"/>
  <c r="C166" i="49"/>
  <c r="D166" i="49"/>
  <c r="E166" i="49"/>
  <c r="A167" i="49"/>
  <c r="B167" i="49"/>
  <c r="C167" i="49"/>
  <c r="D167" i="49"/>
  <c r="E167" i="49"/>
  <c r="A168" i="49"/>
  <c r="B168" i="49"/>
  <c r="C168" i="49"/>
  <c r="D168" i="49"/>
  <c r="E168" i="49"/>
  <c r="A169" i="49"/>
  <c r="B169" i="49"/>
  <c r="C169" i="49"/>
  <c r="D169" i="49"/>
  <c r="E169" i="49"/>
  <c r="A170" i="49"/>
  <c r="B170" i="49"/>
  <c r="C170" i="49"/>
  <c r="D170" i="49"/>
  <c r="E170" i="49"/>
  <c r="A171" i="49"/>
  <c r="B171" i="49"/>
  <c r="C171" i="49"/>
  <c r="D171" i="49"/>
  <c r="E171" i="49"/>
  <c r="A172" i="49"/>
  <c r="B172" i="49"/>
  <c r="C172" i="49"/>
  <c r="D172" i="49"/>
  <c r="E172" i="49"/>
  <c r="A173" i="49"/>
  <c r="B173" i="49"/>
  <c r="C173" i="49"/>
  <c r="D173" i="49"/>
  <c r="E173" i="49"/>
  <c r="A174" i="49"/>
  <c r="B174" i="49"/>
  <c r="C174" i="49"/>
  <c r="D174" i="49"/>
  <c r="E174" i="49"/>
  <c r="A175" i="49"/>
  <c r="B175" i="49"/>
  <c r="C175" i="49"/>
  <c r="D175" i="49"/>
  <c r="E175" i="49"/>
  <c r="A176" i="49"/>
  <c r="B176" i="49"/>
  <c r="C176" i="49"/>
  <c r="D176" i="49"/>
  <c r="E176" i="49"/>
  <c r="A177" i="49"/>
  <c r="B177" i="49"/>
  <c r="C177" i="49"/>
  <c r="D177" i="49"/>
  <c r="E177" i="49"/>
  <c r="A178" i="49"/>
  <c r="B178" i="49"/>
  <c r="C178" i="49"/>
  <c r="D178" i="49"/>
  <c r="E178" i="49"/>
  <c r="A179" i="49"/>
  <c r="B179" i="49"/>
  <c r="C179" i="49"/>
  <c r="D179" i="49"/>
  <c r="E179" i="49"/>
  <c r="A180" i="49"/>
  <c r="B180" i="49"/>
  <c r="C180" i="49"/>
  <c r="D180" i="49"/>
  <c r="E180" i="49"/>
  <c r="A181" i="49"/>
  <c r="B181" i="49"/>
  <c r="C181" i="49"/>
  <c r="D181" i="49"/>
  <c r="E181" i="49"/>
  <c r="A182" i="49"/>
  <c r="B182" i="49"/>
  <c r="C182" i="49"/>
  <c r="D182" i="49"/>
  <c r="E182" i="49"/>
  <c r="A183" i="49"/>
  <c r="B183" i="49"/>
  <c r="C183" i="49"/>
  <c r="D183" i="49"/>
  <c r="E183" i="49"/>
  <c r="A184" i="49"/>
  <c r="B184" i="49"/>
  <c r="C184" i="49"/>
  <c r="D184" i="49"/>
  <c r="E184" i="49"/>
  <c r="I184" i="49"/>
  <c r="A185" i="49"/>
  <c r="B185" i="49"/>
  <c r="C185" i="49"/>
  <c r="D185" i="49"/>
  <c r="E185" i="49"/>
  <c r="A186" i="49"/>
  <c r="B186" i="49"/>
  <c r="C186" i="49"/>
  <c r="D186" i="49"/>
  <c r="E186" i="49"/>
  <c r="A187" i="49"/>
  <c r="B187" i="49"/>
  <c r="C187" i="49"/>
  <c r="D187" i="49"/>
  <c r="E187" i="49"/>
  <c r="A188" i="49"/>
  <c r="B188" i="49"/>
  <c r="C188" i="49"/>
  <c r="D188" i="49"/>
  <c r="E188" i="49"/>
  <c r="A189" i="49"/>
  <c r="B189" i="49"/>
  <c r="C189" i="49"/>
  <c r="D189" i="49"/>
  <c r="E189" i="49"/>
  <c r="A190" i="49"/>
  <c r="B190" i="49"/>
  <c r="C190" i="49"/>
  <c r="D190" i="49"/>
  <c r="E190" i="49"/>
  <c r="A191" i="49"/>
  <c r="B191" i="49"/>
  <c r="C191" i="49"/>
  <c r="D191" i="49"/>
  <c r="E191" i="49"/>
  <c r="A192" i="49"/>
  <c r="B192" i="49"/>
  <c r="C192" i="49"/>
  <c r="D192" i="49"/>
  <c r="E192" i="49"/>
  <c r="A193" i="49"/>
  <c r="B193" i="49"/>
  <c r="C193" i="49"/>
  <c r="D193" i="49"/>
  <c r="E193" i="49"/>
  <c r="A194" i="49"/>
  <c r="B194" i="49"/>
  <c r="C194" i="49"/>
  <c r="D194" i="49"/>
  <c r="E194" i="49"/>
  <c r="A195" i="49"/>
  <c r="B195" i="49"/>
  <c r="C195" i="49"/>
  <c r="I195" i="49" s="1"/>
  <c r="D195" i="49"/>
  <c r="E195" i="49"/>
  <c r="A196" i="49"/>
  <c r="B196" i="49"/>
  <c r="C196" i="49"/>
  <c r="I196" i="49" s="1"/>
  <c r="D196" i="49"/>
  <c r="E196" i="49"/>
  <c r="A197" i="49"/>
  <c r="B197" i="49"/>
  <c r="C197" i="49"/>
  <c r="D197" i="49"/>
  <c r="E197" i="49"/>
  <c r="A198" i="49"/>
  <c r="B198" i="49"/>
  <c r="C198" i="49"/>
  <c r="D198" i="49"/>
  <c r="E198" i="49"/>
  <c r="A199" i="49"/>
  <c r="B199" i="49"/>
  <c r="C199" i="49"/>
  <c r="D199" i="49"/>
  <c r="E199" i="49"/>
  <c r="A200" i="49"/>
  <c r="B200" i="49"/>
  <c r="C200" i="49"/>
  <c r="D200" i="49"/>
  <c r="E200" i="49"/>
  <c r="A201" i="49"/>
  <c r="B201" i="49"/>
  <c r="C201" i="49"/>
  <c r="D201" i="49"/>
  <c r="E201" i="49"/>
  <c r="A202" i="49"/>
  <c r="B202" i="49"/>
  <c r="C202" i="49"/>
  <c r="D202" i="49"/>
  <c r="E202" i="49"/>
  <c r="A203" i="49"/>
  <c r="B203" i="49"/>
  <c r="C203" i="49"/>
  <c r="D203" i="49"/>
  <c r="E203" i="49"/>
  <c r="A204" i="49"/>
  <c r="B204" i="49"/>
  <c r="C204" i="49"/>
  <c r="D204" i="49"/>
  <c r="E204" i="49"/>
  <c r="A205" i="49"/>
  <c r="B205" i="49"/>
  <c r="C205" i="49"/>
  <c r="D205" i="49"/>
  <c r="E205" i="49"/>
  <c r="A206" i="49"/>
  <c r="B206" i="49"/>
  <c r="C206" i="49"/>
  <c r="D206" i="49"/>
  <c r="E206" i="49"/>
  <c r="A207" i="49"/>
  <c r="B207" i="49"/>
  <c r="C207" i="49"/>
  <c r="D207" i="49"/>
  <c r="E207" i="49"/>
  <c r="A208" i="49"/>
  <c r="B208" i="49"/>
  <c r="C208" i="49"/>
  <c r="D208" i="49"/>
  <c r="E208" i="49"/>
  <c r="A209" i="49"/>
  <c r="B209" i="49"/>
  <c r="C209" i="49"/>
  <c r="D209" i="49"/>
  <c r="E209" i="49"/>
  <c r="A210" i="49"/>
  <c r="B210" i="49"/>
  <c r="C210" i="49"/>
  <c r="D210" i="49"/>
  <c r="E210" i="49"/>
  <c r="A211" i="49"/>
  <c r="B211" i="49"/>
  <c r="C211" i="49"/>
  <c r="D211" i="49"/>
  <c r="E211" i="49"/>
  <c r="A212" i="49"/>
  <c r="B212" i="49"/>
  <c r="C212" i="49"/>
  <c r="D212" i="49"/>
  <c r="E212" i="49"/>
  <c r="A213" i="49"/>
  <c r="B213" i="49"/>
  <c r="C213" i="49"/>
  <c r="D213" i="49"/>
  <c r="E213" i="49"/>
  <c r="A214" i="49"/>
  <c r="B214" i="49"/>
  <c r="C214" i="49"/>
  <c r="D214" i="49"/>
  <c r="E214" i="49"/>
  <c r="A215" i="49"/>
  <c r="B215" i="49"/>
  <c r="C215" i="49"/>
  <c r="D215" i="49"/>
  <c r="E215" i="49"/>
  <c r="A216" i="49"/>
  <c r="B216" i="49"/>
  <c r="C216" i="49"/>
  <c r="D216" i="49"/>
  <c r="E216" i="49"/>
  <c r="A217" i="49"/>
  <c r="B217" i="49"/>
  <c r="C217" i="49"/>
  <c r="D217" i="49"/>
  <c r="E217" i="49"/>
  <c r="A218" i="49"/>
  <c r="B218" i="49"/>
  <c r="C218" i="49"/>
  <c r="D218" i="49"/>
  <c r="E218" i="49"/>
  <c r="A219" i="49"/>
  <c r="B219" i="49"/>
  <c r="C219" i="49"/>
  <c r="D219" i="49"/>
  <c r="E219" i="49"/>
  <c r="A220" i="49"/>
  <c r="B220" i="49"/>
  <c r="C220" i="49"/>
  <c r="D220" i="49"/>
  <c r="E220" i="49"/>
  <c r="A221" i="49"/>
  <c r="B221" i="49"/>
  <c r="C221" i="49"/>
  <c r="D221" i="49"/>
  <c r="E221" i="49"/>
  <c r="A222" i="49"/>
  <c r="B222" i="49"/>
  <c r="C222" i="49"/>
  <c r="D222" i="49"/>
  <c r="E222" i="49"/>
  <c r="A223" i="49"/>
  <c r="B223" i="49"/>
  <c r="C223" i="49"/>
  <c r="D223" i="49"/>
  <c r="E223" i="49"/>
  <c r="A224" i="49"/>
  <c r="B224" i="49"/>
  <c r="C224" i="49"/>
  <c r="D224" i="49"/>
  <c r="E224" i="49"/>
  <c r="A225" i="49"/>
  <c r="B225" i="49"/>
  <c r="C225" i="49"/>
  <c r="D225" i="49"/>
  <c r="E225" i="49"/>
  <c r="A226" i="49"/>
  <c r="B226" i="49"/>
  <c r="C226" i="49"/>
  <c r="D226" i="49"/>
  <c r="E226" i="49"/>
  <c r="A227" i="49"/>
  <c r="B227" i="49"/>
  <c r="C227" i="49"/>
  <c r="D227" i="49"/>
  <c r="E227" i="49"/>
  <c r="A228" i="49"/>
  <c r="B228" i="49"/>
  <c r="C228" i="49"/>
  <c r="D228" i="49"/>
  <c r="E228" i="49"/>
  <c r="A229" i="49"/>
  <c r="B229" i="49"/>
  <c r="C229" i="49"/>
  <c r="D229" i="49"/>
  <c r="E229" i="49"/>
  <c r="A230" i="49"/>
  <c r="B230" i="49"/>
  <c r="C230" i="49"/>
  <c r="D230" i="49"/>
  <c r="E230" i="49"/>
  <c r="A231" i="49"/>
  <c r="B231" i="49"/>
  <c r="C231" i="49"/>
  <c r="D231" i="49"/>
  <c r="E231" i="49"/>
  <c r="A232" i="49"/>
  <c r="B232" i="49"/>
  <c r="C232" i="49"/>
  <c r="D232" i="49"/>
  <c r="E232" i="49"/>
  <c r="A233" i="49"/>
  <c r="B233" i="49"/>
  <c r="C233" i="49"/>
  <c r="D233" i="49"/>
  <c r="E233" i="49"/>
  <c r="A234" i="49"/>
  <c r="B234" i="49"/>
  <c r="C234" i="49"/>
  <c r="D234" i="49"/>
  <c r="E234" i="49"/>
  <c r="A235" i="49"/>
  <c r="B235" i="49"/>
  <c r="C235" i="49"/>
  <c r="D235" i="49"/>
  <c r="E235" i="49"/>
  <c r="A236" i="49"/>
  <c r="B236" i="49"/>
  <c r="C236" i="49"/>
  <c r="D236" i="49"/>
  <c r="E236" i="49"/>
  <c r="A237" i="49"/>
  <c r="B237" i="49"/>
  <c r="C237" i="49"/>
  <c r="D237" i="49"/>
  <c r="E237" i="49"/>
  <c r="A238" i="49"/>
  <c r="B238" i="49"/>
  <c r="C238" i="49"/>
  <c r="D238" i="49"/>
  <c r="E238" i="49"/>
  <c r="A239" i="49"/>
  <c r="B239" i="49"/>
  <c r="C239" i="49"/>
  <c r="D239" i="49"/>
  <c r="E239" i="49"/>
  <c r="A240" i="49"/>
  <c r="B240" i="49"/>
  <c r="C240" i="49"/>
  <c r="D240" i="49"/>
  <c r="E240" i="49"/>
  <c r="A241" i="49"/>
  <c r="B241" i="49"/>
  <c r="C241" i="49"/>
  <c r="D241" i="49"/>
  <c r="E241" i="49"/>
  <c r="A242" i="49"/>
  <c r="B242" i="49"/>
  <c r="C242" i="49"/>
  <c r="D242" i="49"/>
  <c r="E242" i="49"/>
  <c r="A243" i="49"/>
  <c r="B243" i="49"/>
  <c r="C243" i="49"/>
  <c r="D243" i="49"/>
  <c r="E243" i="49"/>
  <c r="A244" i="49"/>
  <c r="B244" i="49"/>
  <c r="C244" i="49"/>
  <c r="D244" i="49"/>
  <c r="E244" i="49"/>
  <c r="A245" i="49"/>
  <c r="B245" i="49"/>
  <c r="C245" i="49"/>
  <c r="D245" i="49"/>
  <c r="E245" i="49"/>
  <c r="A246" i="49"/>
  <c r="B246" i="49"/>
  <c r="C246" i="49"/>
  <c r="D246" i="49"/>
  <c r="E246" i="49"/>
  <c r="A247" i="49"/>
  <c r="B247" i="49"/>
  <c r="C247" i="49"/>
  <c r="D247" i="49"/>
  <c r="E247" i="49"/>
  <c r="A248" i="49"/>
  <c r="B248" i="49"/>
  <c r="C248" i="49"/>
  <c r="D248" i="49"/>
  <c r="E248" i="49"/>
  <c r="A249" i="49"/>
  <c r="B249" i="49"/>
  <c r="C249" i="49"/>
  <c r="D249" i="49"/>
  <c r="E249" i="49"/>
  <c r="A250" i="49"/>
  <c r="B250" i="49"/>
  <c r="C250" i="49"/>
  <c r="D250" i="49"/>
  <c r="E250" i="49"/>
  <c r="A251" i="49"/>
  <c r="B251" i="49"/>
  <c r="C251" i="49"/>
  <c r="D251" i="49"/>
  <c r="E251" i="49"/>
  <c r="A252" i="49"/>
  <c r="B252" i="49"/>
  <c r="C252" i="49"/>
  <c r="D252" i="49"/>
  <c r="E252" i="49"/>
  <c r="A253" i="49"/>
  <c r="B253" i="49"/>
  <c r="C253" i="49"/>
  <c r="D253" i="49"/>
  <c r="E253" i="49"/>
  <c r="A254" i="49"/>
  <c r="B254" i="49"/>
  <c r="C254" i="49"/>
  <c r="D254" i="49"/>
  <c r="E254" i="49"/>
  <c r="A255" i="49"/>
  <c r="B255" i="49"/>
  <c r="C255" i="49"/>
  <c r="D255" i="49"/>
  <c r="E255" i="49"/>
  <c r="A256" i="49"/>
  <c r="B256" i="49"/>
  <c r="C256" i="49"/>
  <c r="D256" i="49"/>
  <c r="E256" i="49"/>
  <c r="A257" i="49"/>
  <c r="B257" i="49"/>
  <c r="C257" i="49"/>
  <c r="D257" i="49"/>
  <c r="E257" i="49"/>
  <c r="A258" i="49"/>
  <c r="B258" i="49"/>
  <c r="C258" i="49"/>
  <c r="D258" i="49"/>
  <c r="E258" i="49"/>
  <c r="A259" i="49"/>
  <c r="B259" i="49"/>
  <c r="C259" i="49"/>
  <c r="D259" i="49"/>
  <c r="E259" i="49"/>
  <c r="A260" i="49"/>
  <c r="B260" i="49"/>
  <c r="C260" i="49"/>
  <c r="D260" i="49"/>
  <c r="E260" i="49"/>
  <c r="A261" i="49"/>
  <c r="B261" i="49"/>
  <c r="C261" i="49"/>
  <c r="D261" i="49"/>
  <c r="E261" i="49"/>
  <c r="A262" i="49"/>
  <c r="B262" i="49"/>
  <c r="C262" i="49"/>
  <c r="D262" i="49"/>
  <c r="E262" i="49"/>
  <c r="A263" i="49"/>
  <c r="B263" i="49"/>
  <c r="C263" i="49"/>
  <c r="D263" i="49"/>
  <c r="E263" i="49"/>
  <c r="A264" i="49"/>
  <c r="B264" i="49"/>
  <c r="C264" i="49"/>
  <c r="D264" i="49"/>
  <c r="E264" i="49"/>
  <c r="A265" i="49"/>
  <c r="B265" i="49"/>
  <c r="C265" i="49"/>
  <c r="D265" i="49"/>
  <c r="E265" i="49"/>
  <c r="A266" i="49"/>
  <c r="B266" i="49"/>
  <c r="C266" i="49"/>
  <c r="D266" i="49"/>
  <c r="E266" i="49"/>
  <c r="A267" i="49"/>
  <c r="B267" i="49"/>
  <c r="C267" i="49"/>
  <c r="I267" i="49" s="1"/>
  <c r="D267" i="49"/>
  <c r="E267" i="49"/>
  <c r="A268" i="49"/>
  <c r="B268" i="49"/>
  <c r="C268" i="49"/>
  <c r="I268" i="49" s="1"/>
  <c r="D268" i="49"/>
  <c r="E268" i="49"/>
  <c r="A269" i="49"/>
  <c r="B269" i="49"/>
  <c r="C269" i="49"/>
  <c r="I269" i="49" s="1"/>
  <c r="D269" i="49"/>
  <c r="E269" i="49"/>
  <c r="A270" i="49"/>
  <c r="B270" i="49"/>
  <c r="C270" i="49"/>
  <c r="I270" i="49" s="1"/>
  <c r="D270" i="49"/>
  <c r="E270" i="49"/>
  <c r="A271" i="49"/>
  <c r="B271" i="49"/>
  <c r="C271" i="49"/>
  <c r="I271" i="49" s="1"/>
  <c r="D271" i="49"/>
  <c r="E271" i="49"/>
  <c r="A272" i="49"/>
  <c r="B272" i="49"/>
  <c r="C272" i="49"/>
  <c r="I272" i="49" s="1"/>
  <c r="D272" i="49"/>
  <c r="E272" i="49"/>
  <c r="A273" i="49"/>
  <c r="B273" i="49"/>
  <c r="C273" i="49"/>
  <c r="I273" i="49" s="1"/>
  <c r="D273" i="49"/>
  <c r="E273" i="49"/>
  <c r="A274" i="49"/>
  <c r="B274" i="49"/>
  <c r="C274" i="49"/>
  <c r="I274" i="49" s="1"/>
  <c r="D274" i="49"/>
  <c r="E274" i="49"/>
  <c r="A275" i="49"/>
  <c r="B275" i="49"/>
  <c r="C275" i="49"/>
  <c r="I275" i="49" s="1"/>
  <c r="D275" i="49"/>
  <c r="E275" i="49"/>
  <c r="A276" i="49"/>
  <c r="B276" i="49"/>
  <c r="C276" i="49"/>
  <c r="D276" i="49"/>
  <c r="E276" i="49"/>
  <c r="A277" i="49"/>
  <c r="B277" i="49"/>
  <c r="C277" i="49"/>
  <c r="D277" i="49"/>
  <c r="E277" i="49"/>
  <c r="A278" i="49"/>
  <c r="B278" i="49"/>
  <c r="C278" i="49"/>
  <c r="I278" i="49" s="1"/>
  <c r="D278" i="49"/>
  <c r="E278" i="49"/>
  <c r="A279" i="49"/>
  <c r="B279" i="49"/>
  <c r="C279" i="49"/>
  <c r="D279" i="49"/>
  <c r="E279" i="49"/>
  <c r="A280" i="49"/>
  <c r="B280" i="49"/>
  <c r="C280" i="49"/>
  <c r="D280" i="49"/>
  <c r="E280" i="49"/>
  <c r="A281" i="49"/>
  <c r="B281" i="49"/>
  <c r="C281" i="49"/>
  <c r="D281" i="49"/>
  <c r="E281" i="49"/>
  <c r="A282" i="49"/>
  <c r="B282" i="49"/>
  <c r="C282" i="49"/>
  <c r="I282" i="49" s="1"/>
  <c r="D282" i="49"/>
  <c r="E282" i="49"/>
  <c r="A283" i="49"/>
  <c r="B283" i="49"/>
  <c r="C283" i="49"/>
  <c r="D283" i="49"/>
  <c r="E283" i="49"/>
  <c r="A284" i="49"/>
  <c r="B284" i="49"/>
  <c r="C284" i="49"/>
  <c r="D284" i="49"/>
  <c r="E284" i="49"/>
  <c r="A285" i="49"/>
  <c r="B285" i="49"/>
  <c r="C285" i="49"/>
  <c r="D285" i="49"/>
  <c r="E285" i="49"/>
  <c r="A286" i="49"/>
  <c r="B286" i="49"/>
  <c r="C286" i="49"/>
  <c r="D286" i="49"/>
  <c r="E286" i="49"/>
  <c r="A287" i="49"/>
  <c r="B287" i="49"/>
  <c r="C287" i="49"/>
  <c r="I287" i="49" s="1"/>
  <c r="D287" i="49"/>
  <c r="E287" i="49"/>
  <c r="A288" i="49"/>
  <c r="B288" i="49"/>
  <c r="C288" i="49"/>
  <c r="I288" i="49" s="1"/>
  <c r="D288" i="49"/>
  <c r="E288" i="49"/>
  <c r="A289" i="49"/>
  <c r="B289" i="49"/>
  <c r="C289" i="49"/>
  <c r="D289" i="49"/>
  <c r="E289" i="49"/>
  <c r="A290" i="49"/>
  <c r="B290" i="49"/>
  <c r="C290" i="49"/>
  <c r="D290" i="49"/>
  <c r="E290" i="49"/>
  <c r="A291" i="49"/>
  <c r="B291" i="49"/>
  <c r="C291" i="49"/>
  <c r="D291" i="49"/>
  <c r="E291" i="49"/>
  <c r="A292" i="49"/>
  <c r="B292" i="49"/>
  <c r="C292" i="49"/>
  <c r="D292" i="49"/>
  <c r="E292" i="49"/>
  <c r="A293" i="49"/>
  <c r="B293" i="49"/>
  <c r="C293" i="49"/>
  <c r="D293" i="49"/>
  <c r="E293" i="49"/>
  <c r="A294" i="49"/>
  <c r="B294" i="49"/>
  <c r="C294" i="49"/>
  <c r="I294" i="49" s="1"/>
  <c r="D294" i="49"/>
  <c r="E294" i="49"/>
  <c r="A295" i="49"/>
  <c r="B295" i="49"/>
  <c r="C295" i="49"/>
  <c r="D295" i="49"/>
  <c r="E295" i="49"/>
  <c r="A296" i="49"/>
  <c r="B296" i="49"/>
  <c r="C296" i="49"/>
  <c r="I296" i="49" s="1"/>
  <c r="D296" i="49"/>
  <c r="E296" i="49"/>
  <c r="A297" i="49"/>
  <c r="B297" i="49"/>
  <c r="C297" i="49"/>
  <c r="I297" i="49" s="1"/>
  <c r="D297" i="49"/>
  <c r="E297" i="49"/>
  <c r="A298" i="49"/>
  <c r="B298" i="49"/>
  <c r="C298" i="49"/>
  <c r="I298" i="49" s="1"/>
  <c r="D298" i="49"/>
  <c r="E298" i="49"/>
  <c r="A299" i="49"/>
  <c r="B299" i="49"/>
  <c r="C299" i="49"/>
  <c r="D299" i="49"/>
  <c r="E299" i="49"/>
  <c r="A300" i="49"/>
  <c r="B300" i="49"/>
  <c r="C300" i="49"/>
  <c r="D300" i="49"/>
  <c r="E300" i="49"/>
  <c r="A301" i="49"/>
  <c r="B301" i="49"/>
  <c r="C301" i="49"/>
  <c r="D301" i="49"/>
  <c r="E301" i="49"/>
  <c r="A302" i="49"/>
  <c r="B302" i="49"/>
  <c r="C302" i="49"/>
  <c r="D302" i="49"/>
  <c r="E302" i="49"/>
  <c r="A303" i="49"/>
  <c r="B303" i="49"/>
  <c r="C303" i="49"/>
  <c r="D303" i="49"/>
  <c r="E303" i="49"/>
  <c r="A304" i="49"/>
  <c r="B304" i="49"/>
  <c r="C304" i="49"/>
  <c r="I304" i="49" s="1"/>
  <c r="D304" i="49"/>
  <c r="E304" i="49"/>
  <c r="A305" i="49"/>
  <c r="B305" i="49"/>
  <c r="C305" i="49"/>
  <c r="D305" i="49"/>
  <c r="E305" i="49"/>
  <c r="A6" i="25"/>
  <c r="B6" i="25"/>
  <c r="D6" i="25"/>
  <c r="A7" i="25"/>
  <c r="B7" i="25"/>
  <c r="D7" i="25"/>
  <c r="A8" i="25"/>
  <c r="B8" i="25"/>
  <c r="D8" i="25"/>
  <c r="A9" i="25"/>
  <c r="B9" i="25"/>
  <c r="D9" i="25"/>
  <c r="A10" i="25"/>
  <c r="B10" i="25"/>
  <c r="D10" i="25"/>
  <c r="A11" i="25"/>
  <c r="B11" i="25"/>
  <c r="D11" i="25"/>
  <c r="A12" i="25"/>
  <c r="B12" i="25"/>
  <c r="D12" i="25"/>
  <c r="A13" i="25"/>
  <c r="B13" i="25"/>
  <c r="D13" i="25"/>
  <c r="A14" i="25"/>
  <c r="B14" i="25"/>
  <c r="D14" i="25"/>
  <c r="A15" i="25"/>
  <c r="B15" i="25"/>
  <c r="D15" i="25"/>
  <c r="A16" i="25"/>
  <c r="B16" i="25"/>
  <c r="D16" i="25"/>
  <c r="A17" i="25"/>
  <c r="B17" i="25"/>
  <c r="D17" i="25"/>
  <c r="A18" i="25"/>
  <c r="B18" i="25"/>
  <c r="D18" i="25"/>
  <c r="A19" i="25"/>
  <c r="B19" i="25"/>
  <c r="D19" i="25"/>
  <c r="A20" i="25"/>
  <c r="B20" i="25"/>
  <c r="D20" i="25"/>
  <c r="A21" i="25"/>
  <c r="B21" i="25"/>
  <c r="D21" i="25"/>
  <c r="A22" i="25"/>
  <c r="B22" i="25"/>
  <c r="D22" i="25"/>
  <c r="A23" i="25"/>
  <c r="B23" i="25"/>
  <c r="D23" i="25"/>
  <c r="A24" i="25"/>
  <c r="B24" i="25"/>
  <c r="D24" i="25"/>
  <c r="A25" i="25"/>
  <c r="B25" i="25"/>
  <c r="D25" i="25"/>
  <c r="A26" i="25"/>
  <c r="B26" i="25"/>
  <c r="D26" i="25"/>
  <c r="A27" i="25"/>
  <c r="B27" i="25"/>
  <c r="D27" i="25"/>
  <c r="A28" i="25"/>
  <c r="B28" i="25"/>
  <c r="D28" i="25"/>
  <c r="A29" i="25"/>
  <c r="B29" i="25"/>
  <c r="D29" i="25"/>
  <c r="A30" i="25"/>
  <c r="B30" i="25"/>
  <c r="D30" i="25"/>
  <c r="A31" i="25"/>
  <c r="B31" i="25"/>
  <c r="D31" i="25"/>
  <c r="A32" i="25"/>
  <c r="B32" i="25"/>
  <c r="D32" i="25"/>
  <c r="A33" i="25"/>
  <c r="B33" i="25"/>
  <c r="D33" i="25"/>
  <c r="A34" i="25"/>
  <c r="B34" i="25"/>
  <c r="D34" i="25"/>
  <c r="A35" i="25"/>
  <c r="B35" i="25"/>
  <c r="D35" i="25"/>
  <c r="A36" i="25"/>
  <c r="B36" i="25"/>
  <c r="D36" i="25"/>
  <c r="A37" i="25"/>
  <c r="B37" i="25"/>
  <c r="D37" i="25"/>
  <c r="A38" i="25"/>
  <c r="B38" i="25"/>
  <c r="D38" i="25"/>
  <c r="A39" i="25"/>
  <c r="B39" i="25"/>
  <c r="D39" i="25"/>
  <c r="A40" i="25"/>
  <c r="B40" i="25"/>
  <c r="D40" i="25"/>
  <c r="A41" i="25"/>
  <c r="B41" i="25"/>
  <c r="D41" i="25"/>
  <c r="A42" i="25"/>
  <c r="B42" i="25"/>
  <c r="D42" i="25"/>
  <c r="A43" i="25"/>
  <c r="B43" i="25"/>
  <c r="D43" i="25"/>
  <c r="A44" i="25"/>
  <c r="B44" i="25"/>
  <c r="D44" i="25"/>
  <c r="A45" i="25"/>
  <c r="B45" i="25"/>
  <c r="D45" i="25"/>
  <c r="A46" i="25"/>
  <c r="B46" i="25"/>
  <c r="D46" i="25"/>
  <c r="A47" i="25"/>
  <c r="B47" i="25"/>
  <c r="D47" i="25"/>
  <c r="A48" i="25"/>
  <c r="B48" i="25"/>
  <c r="D48" i="25"/>
  <c r="A49" i="25"/>
  <c r="B49" i="25"/>
  <c r="D49" i="25"/>
  <c r="A50" i="25"/>
  <c r="B50" i="25"/>
  <c r="D50" i="25"/>
  <c r="A51" i="25"/>
  <c r="B51" i="25"/>
  <c r="D51" i="25"/>
  <c r="A52" i="25"/>
  <c r="B52" i="25"/>
  <c r="D52" i="25"/>
  <c r="A53" i="25"/>
  <c r="B53" i="25"/>
  <c r="D53" i="25"/>
  <c r="A54" i="25"/>
  <c r="B54" i="25"/>
  <c r="D54" i="25"/>
  <c r="A55" i="25"/>
  <c r="B55" i="25"/>
  <c r="D55" i="25"/>
  <c r="A56" i="25"/>
  <c r="B56" i="25"/>
  <c r="D56" i="25"/>
  <c r="A57" i="25"/>
  <c r="B57" i="25"/>
  <c r="D57" i="25"/>
  <c r="A58" i="25"/>
  <c r="B58" i="25"/>
  <c r="D58" i="25"/>
  <c r="A59" i="25"/>
  <c r="B59" i="25"/>
  <c r="D59" i="25"/>
  <c r="A60" i="25"/>
  <c r="B60" i="25"/>
  <c r="D60" i="25"/>
  <c r="A61" i="25"/>
  <c r="B61" i="25"/>
  <c r="D61" i="25"/>
  <c r="A62" i="25"/>
  <c r="B62" i="25"/>
  <c r="D62" i="25"/>
  <c r="A63" i="25"/>
  <c r="B63" i="25"/>
  <c r="D63" i="25"/>
  <c r="A64" i="25"/>
  <c r="B64" i="25"/>
  <c r="D64" i="25"/>
  <c r="A65" i="25"/>
  <c r="B65" i="25"/>
  <c r="D65" i="25"/>
  <c r="A66" i="25"/>
  <c r="B66" i="25"/>
  <c r="D66" i="25"/>
  <c r="A67" i="25"/>
  <c r="B67" i="25"/>
  <c r="D67" i="25"/>
  <c r="A68" i="25"/>
  <c r="B68" i="25"/>
  <c r="D68" i="25"/>
  <c r="A69" i="25"/>
  <c r="B69" i="25"/>
  <c r="D69" i="25"/>
  <c r="A70" i="25"/>
  <c r="B70" i="25"/>
  <c r="D70" i="25"/>
  <c r="A71" i="25"/>
  <c r="B71" i="25"/>
  <c r="D71" i="25"/>
  <c r="A72" i="25"/>
  <c r="B72" i="25"/>
  <c r="D72" i="25"/>
  <c r="A73" i="25"/>
  <c r="B73" i="25"/>
  <c r="D73" i="25"/>
  <c r="A74" i="25"/>
  <c r="B74" i="25"/>
  <c r="D74" i="25"/>
  <c r="A75" i="25"/>
  <c r="B75" i="25"/>
  <c r="D75" i="25"/>
  <c r="A76" i="25"/>
  <c r="B76" i="25"/>
  <c r="D76" i="25"/>
  <c r="A77" i="25"/>
  <c r="B77" i="25"/>
  <c r="D77" i="25"/>
  <c r="A78" i="25"/>
  <c r="B78" i="25"/>
  <c r="D78" i="25"/>
  <c r="A79" i="25"/>
  <c r="B79" i="25"/>
  <c r="D79" i="25"/>
  <c r="A80" i="25"/>
  <c r="B80" i="25"/>
  <c r="D80" i="25"/>
  <c r="A81" i="25"/>
  <c r="B81" i="25"/>
  <c r="D81" i="25"/>
  <c r="A82" i="25"/>
  <c r="B82" i="25"/>
  <c r="D82" i="25"/>
  <c r="A83" i="25"/>
  <c r="B83" i="25"/>
  <c r="D83" i="25"/>
  <c r="A84" i="25"/>
  <c r="B84" i="25"/>
  <c r="D84" i="25"/>
  <c r="A85" i="25"/>
  <c r="B85" i="25"/>
  <c r="D85" i="25"/>
  <c r="A86" i="25"/>
  <c r="B86" i="25"/>
  <c r="D86" i="25"/>
  <c r="A87" i="25"/>
  <c r="B87" i="25"/>
  <c r="D87" i="25"/>
  <c r="A88" i="25"/>
  <c r="B88" i="25"/>
  <c r="D88" i="25"/>
  <c r="A89" i="25"/>
  <c r="B89" i="25"/>
  <c r="D89" i="25"/>
  <c r="A90" i="25"/>
  <c r="B90" i="25"/>
  <c r="D90" i="25"/>
  <c r="A91" i="25"/>
  <c r="B91" i="25"/>
  <c r="D91" i="25"/>
  <c r="A92" i="25"/>
  <c r="B92" i="25"/>
  <c r="D92" i="25"/>
  <c r="A93" i="25"/>
  <c r="B93" i="25"/>
  <c r="D93" i="25"/>
  <c r="A94" i="25"/>
  <c r="B94" i="25"/>
  <c r="D94" i="25"/>
  <c r="A95" i="25"/>
  <c r="B95" i="25"/>
  <c r="D95" i="25"/>
  <c r="A96" i="25"/>
  <c r="B96" i="25"/>
  <c r="D96" i="25"/>
  <c r="A97" i="25"/>
  <c r="B97" i="25"/>
  <c r="D97" i="25"/>
  <c r="A98" i="25"/>
  <c r="B98" i="25"/>
  <c r="D98" i="25"/>
  <c r="A99" i="25"/>
  <c r="B99" i="25"/>
  <c r="D99" i="25"/>
  <c r="A100" i="25"/>
  <c r="B100" i="25"/>
  <c r="D100" i="25"/>
  <c r="A101" i="25"/>
  <c r="B101" i="25"/>
  <c r="D101" i="25"/>
  <c r="A102" i="25"/>
  <c r="B102" i="25"/>
  <c r="D102" i="25"/>
  <c r="A103" i="25"/>
  <c r="B103" i="25"/>
  <c r="D103" i="25"/>
  <c r="A104" i="25"/>
  <c r="B104" i="25"/>
  <c r="D104" i="25"/>
  <c r="A105" i="25"/>
  <c r="B105" i="25"/>
  <c r="D105" i="25"/>
  <c r="A106" i="25"/>
  <c r="B106" i="25"/>
  <c r="D106" i="25"/>
  <c r="A107" i="25"/>
  <c r="B107" i="25"/>
  <c r="D107" i="25"/>
  <c r="A108" i="25"/>
  <c r="B108" i="25"/>
  <c r="D108" i="25"/>
  <c r="A109" i="25"/>
  <c r="B109" i="25"/>
  <c r="D109" i="25"/>
  <c r="A110" i="25"/>
  <c r="B110" i="25"/>
  <c r="D110" i="25"/>
  <c r="A111" i="25"/>
  <c r="B111" i="25"/>
  <c r="D111" i="25"/>
  <c r="A112" i="25"/>
  <c r="B112" i="25"/>
  <c r="D112" i="25"/>
  <c r="A113" i="25"/>
  <c r="B113" i="25"/>
  <c r="D113" i="25"/>
  <c r="A114" i="25"/>
  <c r="B114" i="25"/>
  <c r="D114" i="25"/>
  <c r="A115" i="25"/>
  <c r="B115" i="25"/>
  <c r="D115" i="25"/>
  <c r="A116" i="25"/>
  <c r="B116" i="25"/>
  <c r="D116" i="25"/>
  <c r="A117" i="25"/>
  <c r="B117" i="25"/>
  <c r="D117" i="25"/>
  <c r="A118" i="25"/>
  <c r="B118" i="25"/>
  <c r="D118" i="25"/>
  <c r="A119" i="25"/>
  <c r="B119" i="25"/>
  <c r="D119" i="25"/>
  <c r="A120" i="25"/>
  <c r="B120" i="25"/>
  <c r="D120" i="25"/>
  <c r="A121" i="25"/>
  <c r="B121" i="25"/>
  <c r="D121" i="25"/>
  <c r="A122" i="25"/>
  <c r="B122" i="25"/>
  <c r="D122" i="25"/>
  <c r="A123" i="25"/>
  <c r="B123" i="25"/>
  <c r="D123" i="25"/>
  <c r="A124" i="25"/>
  <c r="B124" i="25"/>
  <c r="D124" i="25"/>
  <c r="A125" i="25"/>
  <c r="B125" i="25"/>
  <c r="D125" i="25"/>
  <c r="A126" i="25"/>
  <c r="B126" i="25"/>
  <c r="D126" i="25"/>
  <c r="A127" i="25"/>
  <c r="B127" i="25"/>
  <c r="D127" i="25"/>
  <c r="A128" i="25"/>
  <c r="B128" i="25"/>
  <c r="D128" i="25"/>
  <c r="A129" i="25"/>
  <c r="B129" i="25"/>
  <c r="D129" i="25"/>
  <c r="A130" i="25"/>
  <c r="B130" i="25"/>
  <c r="D130" i="25"/>
  <c r="A131" i="25"/>
  <c r="B131" i="25"/>
  <c r="D131" i="25"/>
  <c r="A132" i="25"/>
  <c r="B132" i="25"/>
  <c r="D132" i="25"/>
  <c r="A133" i="25"/>
  <c r="B133" i="25"/>
  <c r="D133" i="25"/>
  <c r="A134" i="25"/>
  <c r="B134" i="25"/>
  <c r="D134" i="25"/>
  <c r="A135" i="25"/>
  <c r="B135" i="25"/>
  <c r="D135" i="25"/>
  <c r="A136" i="25"/>
  <c r="B136" i="25"/>
  <c r="D136" i="25"/>
  <c r="A137" i="25"/>
  <c r="B137" i="25"/>
  <c r="D137" i="25"/>
  <c r="A138" i="25"/>
  <c r="B138" i="25"/>
  <c r="D138" i="25"/>
  <c r="A139" i="25"/>
  <c r="B139" i="25"/>
  <c r="D139" i="25"/>
  <c r="A140" i="25"/>
  <c r="B140" i="25"/>
  <c r="D140" i="25"/>
  <c r="A141" i="25"/>
  <c r="B141" i="25"/>
  <c r="D141" i="25"/>
  <c r="A142" i="25"/>
  <c r="B142" i="25"/>
  <c r="D142" i="25"/>
  <c r="A143" i="25"/>
  <c r="B143" i="25"/>
  <c r="D143" i="25"/>
  <c r="A144" i="25"/>
  <c r="B144" i="25"/>
  <c r="D144" i="25"/>
  <c r="A145" i="25"/>
  <c r="B145" i="25"/>
  <c r="D145" i="25"/>
  <c r="A146" i="25"/>
  <c r="B146" i="25"/>
  <c r="D146" i="25"/>
  <c r="A147" i="25"/>
  <c r="B147" i="25"/>
  <c r="D147" i="25"/>
  <c r="A148" i="25"/>
  <c r="B148" i="25"/>
  <c r="D148" i="25"/>
  <c r="A149" i="25"/>
  <c r="B149" i="25"/>
  <c r="D149" i="25"/>
  <c r="A150" i="25"/>
  <c r="B150" i="25"/>
  <c r="D150" i="25"/>
  <c r="A151" i="25"/>
  <c r="B151" i="25"/>
  <c r="D151" i="25"/>
  <c r="A152" i="25"/>
  <c r="B152" i="25"/>
  <c r="D152" i="25"/>
  <c r="A153" i="25"/>
  <c r="B153" i="25"/>
  <c r="D153" i="25"/>
  <c r="A154" i="25"/>
  <c r="B154" i="25"/>
  <c r="D154" i="25"/>
  <c r="A155" i="25"/>
  <c r="B155" i="25"/>
  <c r="D155" i="25"/>
  <c r="A156" i="25"/>
  <c r="B156" i="25"/>
  <c r="D156" i="25"/>
  <c r="A157" i="25"/>
  <c r="B157" i="25"/>
  <c r="D157" i="25"/>
  <c r="A158" i="25"/>
  <c r="B158" i="25"/>
  <c r="D158" i="25"/>
  <c r="A159" i="25"/>
  <c r="B159" i="25"/>
  <c r="D159" i="25"/>
  <c r="A160" i="25"/>
  <c r="B160" i="25"/>
  <c r="D160" i="25"/>
  <c r="A161" i="25"/>
  <c r="B161" i="25"/>
  <c r="D161" i="25"/>
  <c r="A162" i="25"/>
  <c r="B162" i="25"/>
  <c r="D162" i="25"/>
  <c r="A163" i="25"/>
  <c r="B163" i="25"/>
  <c r="D163" i="25"/>
  <c r="A164" i="25"/>
  <c r="B164" i="25"/>
  <c r="D164" i="25"/>
  <c r="A165" i="25"/>
  <c r="B165" i="25"/>
  <c r="D165" i="25"/>
  <c r="A166" i="25"/>
  <c r="B166" i="25"/>
  <c r="D166" i="25"/>
  <c r="A167" i="25"/>
  <c r="B167" i="25"/>
  <c r="D167" i="25"/>
  <c r="A168" i="25"/>
  <c r="B168" i="25"/>
  <c r="D168" i="25"/>
  <c r="A169" i="25"/>
  <c r="B169" i="25"/>
  <c r="D169" i="25"/>
  <c r="A170" i="25"/>
  <c r="B170" i="25"/>
  <c r="D170" i="25"/>
  <c r="A171" i="25"/>
  <c r="B171" i="25"/>
  <c r="D171" i="25"/>
  <c r="A172" i="25"/>
  <c r="B172" i="25"/>
  <c r="D172" i="25"/>
  <c r="A173" i="25"/>
  <c r="B173" i="25"/>
  <c r="D173" i="25"/>
  <c r="A174" i="25"/>
  <c r="B174" i="25"/>
  <c r="D174" i="25"/>
  <c r="A175" i="25"/>
  <c r="B175" i="25"/>
  <c r="D175" i="25"/>
  <c r="A176" i="25"/>
  <c r="B176" i="25"/>
  <c r="D176" i="25"/>
  <c r="A177" i="25"/>
  <c r="B177" i="25"/>
  <c r="D177" i="25"/>
  <c r="A178" i="25"/>
  <c r="B178" i="25"/>
  <c r="D178" i="25"/>
  <c r="A179" i="25"/>
  <c r="B179" i="25"/>
  <c r="D179" i="25"/>
  <c r="A180" i="25"/>
  <c r="B180" i="25"/>
  <c r="D180" i="25"/>
  <c r="A181" i="25"/>
  <c r="B181" i="25"/>
  <c r="D181" i="25"/>
  <c r="A182" i="25"/>
  <c r="B182" i="25"/>
  <c r="D182" i="25"/>
  <c r="A183" i="25"/>
  <c r="B183" i="25"/>
  <c r="D183" i="25"/>
  <c r="A184" i="25"/>
  <c r="B184" i="25"/>
  <c r="D184" i="25"/>
  <c r="A185" i="25"/>
  <c r="B185" i="25"/>
  <c r="D185" i="25"/>
  <c r="A186" i="25"/>
  <c r="B186" i="25"/>
  <c r="D186" i="25"/>
  <c r="A187" i="25"/>
  <c r="B187" i="25"/>
  <c r="D187" i="25"/>
  <c r="A188" i="25"/>
  <c r="B188" i="25"/>
  <c r="D188" i="25"/>
  <c r="A189" i="25"/>
  <c r="B189" i="25"/>
  <c r="D189" i="25"/>
  <c r="A190" i="25"/>
  <c r="B190" i="25"/>
  <c r="D190" i="25"/>
  <c r="A191" i="25"/>
  <c r="B191" i="25"/>
  <c r="D191" i="25"/>
  <c r="A192" i="25"/>
  <c r="B192" i="25"/>
  <c r="D192" i="25"/>
  <c r="A193" i="25"/>
  <c r="B193" i="25"/>
  <c r="D193" i="25"/>
  <c r="A194" i="25"/>
  <c r="B194" i="25"/>
  <c r="D194" i="25"/>
  <c r="A195" i="25"/>
  <c r="B195" i="25"/>
  <c r="D195" i="25"/>
  <c r="A196" i="25"/>
  <c r="B196" i="25"/>
  <c r="D196" i="25"/>
  <c r="A197" i="25"/>
  <c r="B197" i="25"/>
  <c r="D197" i="25"/>
  <c r="A198" i="25"/>
  <c r="B198" i="25"/>
  <c r="D198" i="25"/>
  <c r="A199" i="25"/>
  <c r="B199" i="25"/>
  <c r="D199" i="25"/>
  <c r="A200" i="25"/>
  <c r="B200" i="25"/>
  <c r="D200" i="25"/>
  <c r="A201" i="25"/>
  <c r="B201" i="25"/>
  <c r="D201" i="25"/>
  <c r="A202" i="25"/>
  <c r="B202" i="25"/>
  <c r="D202" i="25"/>
  <c r="A203" i="25"/>
  <c r="B203" i="25"/>
  <c r="D203" i="25"/>
  <c r="A204" i="25"/>
  <c r="B204" i="25"/>
  <c r="D204" i="25"/>
  <c r="A205" i="25"/>
  <c r="B205" i="25"/>
  <c r="D205" i="25"/>
  <c r="A206" i="25"/>
  <c r="B206" i="25"/>
  <c r="D206" i="25"/>
  <c r="A207" i="25"/>
  <c r="B207" i="25"/>
  <c r="D207" i="25"/>
  <c r="A208" i="25"/>
  <c r="B208" i="25"/>
  <c r="D208" i="25"/>
  <c r="A209" i="25"/>
  <c r="B209" i="25"/>
  <c r="D209" i="25"/>
  <c r="A210" i="25"/>
  <c r="B210" i="25"/>
  <c r="D210" i="25"/>
  <c r="A211" i="25"/>
  <c r="B211" i="25"/>
  <c r="D211" i="25"/>
  <c r="A212" i="25"/>
  <c r="B212" i="25"/>
  <c r="D212" i="25"/>
  <c r="A213" i="25"/>
  <c r="B213" i="25"/>
  <c r="D213" i="25"/>
  <c r="A214" i="25"/>
  <c r="B214" i="25"/>
  <c r="D214" i="25"/>
  <c r="A215" i="25"/>
  <c r="B215" i="25"/>
  <c r="D215" i="25"/>
  <c r="A216" i="25"/>
  <c r="B216" i="25"/>
  <c r="D216" i="25"/>
  <c r="A217" i="25"/>
  <c r="B217" i="25"/>
  <c r="D217" i="25"/>
  <c r="A218" i="25"/>
  <c r="B218" i="25"/>
  <c r="D218" i="25"/>
  <c r="A219" i="25"/>
  <c r="B219" i="25"/>
  <c r="D219" i="25"/>
  <c r="A220" i="25"/>
  <c r="B220" i="25"/>
  <c r="D220" i="25"/>
  <c r="A221" i="25"/>
  <c r="B221" i="25"/>
  <c r="D221" i="25"/>
  <c r="A222" i="25"/>
  <c r="B222" i="25"/>
  <c r="D222" i="25"/>
  <c r="A223" i="25"/>
  <c r="B223" i="25"/>
  <c r="D223" i="25"/>
  <c r="A224" i="25"/>
  <c r="B224" i="25"/>
  <c r="D224" i="25"/>
  <c r="A225" i="25"/>
  <c r="B225" i="25"/>
  <c r="D225" i="25"/>
  <c r="A226" i="25"/>
  <c r="B226" i="25"/>
  <c r="D226" i="25"/>
  <c r="A227" i="25"/>
  <c r="B227" i="25"/>
  <c r="D227" i="25"/>
  <c r="A228" i="25"/>
  <c r="B228" i="25"/>
  <c r="D228" i="25"/>
  <c r="A229" i="25"/>
  <c r="B229" i="25"/>
  <c r="D229" i="25"/>
  <c r="A230" i="25"/>
  <c r="B230" i="25"/>
  <c r="D230" i="25"/>
  <c r="A231" i="25"/>
  <c r="B231" i="25"/>
  <c r="D231" i="25"/>
  <c r="A232" i="25"/>
  <c r="B232" i="25"/>
  <c r="D232" i="25"/>
  <c r="A233" i="25"/>
  <c r="B233" i="25"/>
  <c r="D233" i="25"/>
  <c r="A234" i="25"/>
  <c r="B234" i="25"/>
  <c r="D234" i="25"/>
  <c r="A235" i="25"/>
  <c r="B235" i="25"/>
  <c r="D235" i="25"/>
  <c r="A236" i="25"/>
  <c r="B236" i="25"/>
  <c r="D236" i="25"/>
  <c r="A237" i="25"/>
  <c r="B237" i="25"/>
  <c r="D237" i="25"/>
  <c r="A238" i="25"/>
  <c r="B238" i="25"/>
  <c r="D238" i="25"/>
  <c r="A239" i="25"/>
  <c r="B239" i="25"/>
  <c r="D239" i="25"/>
  <c r="A240" i="25"/>
  <c r="B240" i="25"/>
  <c r="D240" i="25"/>
  <c r="A241" i="25"/>
  <c r="B241" i="25"/>
  <c r="D241" i="25"/>
  <c r="A242" i="25"/>
  <c r="B242" i="25"/>
  <c r="D242" i="25"/>
  <c r="A243" i="25"/>
  <c r="B243" i="25"/>
  <c r="D243" i="25"/>
  <c r="A244" i="25"/>
  <c r="B244" i="25"/>
  <c r="D244" i="25"/>
  <c r="A245" i="25"/>
  <c r="B245" i="25"/>
  <c r="D245" i="25"/>
  <c r="A246" i="25"/>
  <c r="B246" i="25"/>
  <c r="D246" i="25"/>
  <c r="A247" i="25"/>
  <c r="B247" i="25"/>
  <c r="D247" i="25"/>
  <c r="A248" i="25"/>
  <c r="B248" i="25"/>
  <c r="D248" i="25"/>
  <c r="A249" i="25"/>
  <c r="B249" i="25"/>
  <c r="D249" i="25"/>
  <c r="A250" i="25"/>
  <c r="B250" i="25"/>
  <c r="D250" i="25"/>
  <c r="A251" i="25"/>
  <c r="B251" i="25"/>
  <c r="D251" i="25"/>
  <c r="A252" i="25"/>
  <c r="B252" i="25"/>
  <c r="D252" i="25"/>
  <c r="A253" i="25"/>
  <c r="B253" i="25"/>
  <c r="D253" i="25"/>
  <c r="A254" i="25"/>
  <c r="B254" i="25"/>
  <c r="D254" i="25"/>
  <c r="A255" i="25"/>
  <c r="B255" i="25"/>
  <c r="D255" i="25"/>
  <c r="A256" i="25"/>
  <c r="B256" i="25"/>
  <c r="D256" i="25"/>
  <c r="A257" i="25"/>
  <c r="B257" i="25"/>
  <c r="D257" i="25"/>
  <c r="A258" i="25"/>
  <c r="B258" i="25"/>
  <c r="D258" i="25"/>
  <c r="A259" i="25"/>
  <c r="B259" i="25"/>
  <c r="D259" i="25"/>
  <c r="A260" i="25"/>
  <c r="B260" i="25"/>
  <c r="D260" i="25"/>
  <c r="A261" i="25"/>
  <c r="B261" i="25"/>
  <c r="D261" i="25"/>
  <c r="A262" i="25"/>
  <c r="B262" i="25"/>
  <c r="D262" i="25"/>
  <c r="A263" i="25"/>
  <c r="B263" i="25"/>
  <c r="D263" i="25"/>
  <c r="A264" i="25"/>
  <c r="B264" i="25"/>
  <c r="D264" i="25"/>
  <c r="A265" i="25"/>
  <c r="B265" i="25"/>
  <c r="D265" i="25"/>
  <c r="A266" i="25"/>
  <c r="B266" i="25"/>
  <c r="D266" i="25"/>
  <c r="A267" i="25"/>
  <c r="B267" i="25"/>
  <c r="D267" i="25"/>
  <c r="A268" i="25"/>
  <c r="B268" i="25"/>
  <c r="D268" i="25"/>
  <c r="A269" i="25"/>
  <c r="B269" i="25"/>
  <c r="D269" i="25"/>
  <c r="A270" i="25"/>
  <c r="B270" i="25"/>
  <c r="D270" i="25"/>
  <c r="A271" i="25"/>
  <c r="B271" i="25"/>
  <c r="D271" i="25"/>
  <c r="A272" i="25"/>
  <c r="B272" i="25"/>
  <c r="D272" i="25"/>
  <c r="A273" i="25"/>
  <c r="B273" i="25"/>
  <c r="D273" i="25"/>
  <c r="A274" i="25"/>
  <c r="B274" i="25"/>
  <c r="D274" i="25"/>
  <c r="A275" i="25"/>
  <c r="B275" i="25"/>
  <c r="D275" i="25"/>
  <c r="A276" i="25"/>
  <c r="B276" i="25"/>
  <c r="D276" i="25"/>
  <c r="A277" i="25"/>
  <c r="B277" i="25"/>
  <c r="D277" i="25"/>
  <c r="A278" i="25"/>
  <c r="B278" i="25"/>
  <c r="D278" i="25"/>
  <c r="A279" i="25"/>
  <c r="B279" i="25"/>
  <c r="D279" i="25"/>
  <c r="A280" i="25"/>
  <c r="B280" i="25"/>
  <c r="D280" i="25"/>
  <c r="A281" i="25"/>
  <c r="B281" i="25"/>
  <c r="D281" i="25"/>
  <c r="A282" i="25"/>
  <c r="B282" i="25"/>
  <c r="D282" i="25"/>
  <c r="A283" i="25"/>
  <c r="B283" i="25"/>
  <c r="D283" i="25"/>
  <c r="A284" i="25"/>
  <c r="B284" i="25"/>
  <c r="D284" i="25"/>
  <c r="A285" i="25"/>
  <c r="B285" i="25"/>
  <c r="D285" i="25"/>
  <c r="A286" i="25"/>
  <c r="B286" i="25"/>
  <c r="D286" i="25"/>
  <c r="A287" i="25"/>
  <c r="B287" i="25"/>
  <c r="D287" i="25"/>
  <c r="A288" i="25"/>
  <c r="B288" i="25"/>
  <c r="D288" i="25"/>
  <c r="A289" i="25"/>
  <c r="B289" i="25"/>
  <c r="D289" i="25"/>
  <c r="A290" i="25"/>
  <c r="B290" i="25"/>
  <c r="D290" i="25"/>
  <c r="A291" i="25"/>
  <c r="B291" i="25"/>
  <c r="D291" i="25"/>
  <c r="A292" i="25"/>
  <c r="B292" i="25"/>
  <c r="D292" i="25"/>
  <c r="A293" i="25"/>
  <c r="B293" i="25"/>
  <c r="D293" i="25"/>
  <c r="A294" i="25"/>
  <c r="B294" i="25"/>
  <c r="D294" i="25"/>
  <c r="A295" i="25"/>
  <c r="B295" i="25"/>
  <c r="D295" i="25"/>
  <c r="A296" i="25"/>
  <c r="B296" i="25"/>
  <c r="D296" i="25"/>
  <c r="A297" i="25"/>
  <c r="B297" i="25"/>
  <c r="D297" i="25"/>
  <c r="A298" i="25"/>
  <c r="B298" i="25"/>
  <c r="D298" i="25"/>
  <c r="A299" i="25"/>
  <c r="B299" i="25"/>
  <c r="D299" i="25"/>
  <c r="A300" i="25"/>
  <c r="B300" i="25"/>
  <c r="D300" i="25"/>
  <c r="A301" i="25"/>
  <c r="B301" i="25"/>
  <c r="D301" i="25"/>
  <c r="A302" i="25"/>
  <c r="B302" i="25"/>
  <c r="D302" i="25"/>
  <c r="A303" i="25"/>
  <c r="B303" i="25"/>
  <c r="D303" i="25"/>
  <c r="A304" i="25"/>
  <c r="B304" i="25"/>
  <c r="D304" i="25"/>
  <c r="A7" i="13"/>
  <c r="B7" i="13"/>
  <c r="A8" i="13"/>
  <c r="B8" i="13"/>
  <c r="A9" i="13"/>
  <c r="B9" i="13"/>
  <c r="A10" i="13"/>
  <c r="B10" i="13"/>
  <c r="A11" i="13"/>
  <c r="B11" i="13"/>
  <c r="A12" i="13"/>
  <c r="B12" i="13"/>
  <c r="A13" i="13"/>
  <c r="B13" i="13"/>
  <c r="A14" i="13"/>
  <c r="B14" i="13"/>
  <c r="A15" i="13"/>
  <c r="B15" i="13"/>
  <c r="A16" i="13"/>
  <c r="B16" i="13"/>
  <c r="A17" i="13"/>
  <c r="B17" i="13"/>
  <c r="A18" i="13"/>
  <c r="B18" i="13"/>
  <c r="A19" i="13"/>
  <c r="B19" i="13"/>
  <c r="A20" i="13"/>
  <c r="B20" i="13"/>
  <c r="A21" i="13"/>
  <c r="B21" i="13"/>
  <c r="A22" i="13"/>
  <c r="B22" i="13"/>
  <c r="A23" i="13"/>
  <c r="B23" i="13"/>
  <c r="A24" i="13"/>
  <c r="B24" i="13"/>
  <c r="A25" i="13"/>
  <c r="B25" i="13"/>
  <c r="A26" i="13"/>
  <c r="B26" i="13"/>
  <c r="A27" i="13"/>
  <c r="B27" i="13"/>
  <c r="A28" i="13"/>
  <c r="B28" i="13"/>
  <c r="A29" i="13"/>
  <c r="B29" i="13"/>
  <c r="A30" i="13"/>
  <c r="B30" i="13"/>
  <c r="A31" i="13"/>
  <c r="B31" i="13"/>
  <c r="A32" i="13"/>
  <c r="B32" i="13"/>
  <c r="A33" i="13"/>
  <c r="B33" i="13"/>
  <c r="A34" i="13"/>
  <c r="B34" i="13"/>
  <c r="A35" i="13"/>
  <c r="B35" i="13"/>
  <c r="A36" i="13"/>
  <c r="B36" i="13"/>
  <c r="A37" i="13"/>
  <c r="B37" i="13"/>
  <c r="A38" i="13"/>
  <c r="B38" i="13"/>
  <c r="A39" i="13"/>
  <c r="B39" i="13"/>
  <c r="A40" i="13"/>
  <c r="B40" i="13"/>
  <c r="A41" i="13"/>
  <c r="B41" i="13"/>
  <c r="A42" i="13"/>
  <c r="B42" i="13"/>
  <c r="A43" i="13"/>
  <c r="B43" i="13"/>
  <c r="A44" i="13"/>
  <c r="B44" i="13"/>
  <c r="A45" i="13"/>
  <c r="B45" i="13"/>
  <c r="A46" i="13"/>
  <c r="B46" i="13"/>
  <c r="A47" i="13"/>
  <c r="B47" i="13"/>
  <c r="A48" i="13"/>
  <c r="B48" i="13"/>
  <c r="A49" i="13"/>
  <c r="B49" i="13"/>
  <c r="A50" i="13"/>
  <c r="B50" i="13"/>
  <c r="A51" i="13"/>
  <c r="B51" i="13"/>
  <c r="A52" i="13"/>
  <c r="B52" i="13"/>
  <c r="A53" i="13"/>
  <c r="B53" i="13"/>
  <c r="A54" i="13"/>
  <c r="B54" i="13"/>
  <c r="A55" i="13"/>
  <c r="B55" i="13"/>
  <c r="A56" i="13"/>
  <c r="B56" i="13"/>
  <c r="A57" i="13"/>
  <c r="B57" i="13"/>
  <c r="A58" i="13"/>
  <c r="B58" i="13"/>
  <c r="A59" i="13"/>
  <c r="B59" i="13"/>
  <c r="A60" i="13"/>
  <c r="B60" i="13"/>
  <c r="A61" i="13"/>
  <c r="B61" i="13"/>
  <c r="A62" i="13"/>
  <c r="B62" i="13"/>
  <c r="A63" i="13"/>
  <c r="B63" i="13"/>
  <c r="A64" i="13"/>
  <c r="B64" i="13"/>
  <c r="A65" i="13"/>
  <c r="B65" i="13"/>
  <c r="A66" i="13"/>
  <c r="B66" i="13"/>
  <c r="A67" i="13"/>
  <c r="B67" i="13"/>
  <c r="A68" i="13"/>
  <c r="B68" i="13"/>
  <c r="A69" i="13"/>
  <c r="B69" i="13"/>
  <c r="A70" i="13"/>
  <c r="B70" i="13"/>
  <c r="A71" i="13"/>
  <c r="B71" i="13"/>
  <c r="A72" i="13"/>
  <c r="B72" i="13"/>
  <c r="A73" i="13"/>
  <c r="B73" i="13"/>
  <c r="A74" i="13"/>
  <c r="B74" i="13"/>
  <c r="A75" i="13"/>
  <c r="B75" i="13"/>
  <c r="A76" i="13"/>
  <c r="B76" i="13"/>
  <c r="A77" i="13"/>
  <c r="B77" i="13"/>
  <c r="A78" i="13"/>
  <c r="B78" i="13"/>
  <c r="A79" i="13"/>
  <c r="B79" i="13"/>
  <c r="A80" i="13"/>
  <c r="B80" i="13"/>
  <c r="A81" i="13"/>
  <c r="B81" i="13"/>
  <c r="A82" i="13"/>
  <c r="B82" i="13"/>
  <c r="A83" i="13"/>
  <c r="B83" i="13"/>
  <c r="A84" i="13"/>
  <c r="B84" i="13"/>
  <c r="A85" i="13"/>
  <c r="B85" i="13"/>
  <c r="A86" i="13"/>
  <c r="B86" i="13"/>
  <c r="A87" i="13"/>
  <c r="B87" i="13"/>
  <c r="A88" i="13"/>
  <c r="B88" i="13"/>
  <c r="A89" i="13"/>
  <c r="B89" i="13"/>
  <c r="A90" i="13"/>
  <c r="B90" i="13"/>
  <c r="A91" i="13"/>
  <c r="B91" i="13"/>
  <c r="A92" i="13"/>
  <c r="B92" i="13"/>
  <c r="A93" i="13"/>
  <c r="B93" i="13"/>
  <c r="A94" i="13"/>
  <c r="B94" i="13"/>
  <c r="A95" i="13"/>
  <c r="B95" i="13"/>
  <c r="A96" i="13"/>
  <c r="B96" i="13"/>
  <c r="A97" i="13"/>
  <c r="B97" i="13"/>
  <c r="A98" i="13"/>
  <c r="B98" i="13"/>
  <c r="A99" i="13"/>
  <c r="B99" i="13"/>
  <c r="A100" i="13"/>
  <c r="B100" i="13"/>
  <c r="A101" i="13"/>
  <c r="B101" i="13"/>
  <c r="A102" i="13"/>
  <c r="B102" i="13"/>
  <c r="A103" i="13"/>
  <c r="B103" i="13"/>
  <c r="A104" i="13"/>
  <c r="B104" i="13"/>
  <c r="A105" i="13"/>
  <c r="B105" i="13"/>
  <c r="A106" i="13"/>
  <c r="B106" i="13"/>
  <c r="A107" i="13"/>
  <c r="B107" i="13"/>
  <c r="A108" i="13"/>
  <c r="B108" i="13"/>
  <c r="A109" i="13"/>
  <c r="B109" i="13"/>
  <c r="A110" i="13"/>
  <c r="B110" i="13"/>
  <c r="A111" i="13"/>
  <c r="B111" i="13"/>
  <c r="A112" i="13"/>
  <c r="B112" i="13"/>
  <c r="A113" i="13"/>
  <c r="B113" i="13"/>
  <c r="A114" i="13"/>
  <c r="B114" i="13"/>
  <c r="A115" i="13"/>
  <c r="B115" i="13"/>
  <c r="A116" i="13"/>
  <c r="B116" i="13"/>
  <c r="A117" i="13"/>
  <c r="B117" i="13"/>
  <c r="A118" i="13"/>
  <c r="B118" i="13"/>
  <c r="A119" i="13"/>
  <c r="B119" i="13"/>
  <c r="A120" i="13"/>
  <c r="B120" i="13"/>
  <c r="A121" i="13"/>
  <c r="B121" i="13"/>
  <c r="A122" i="13"/>
  <c r="B122" i="13"/>
  <c r="A123" i="13"/>
  <c r="B123" i="13"/>
  <c r="A124" i="13"/>
  <c r="B124" i="13"/>
  <c r="A125" i="13"/>
  <c r="B125" i="13"/>
  <c r="A126" i="13"/>
  <c r="B126" i="13"/>
  <c r="A127" i="13"/>
  <c r="B127" i="13"/>
  <c r="A128" i="13"/>
  <c r="B128" i="13"/>
  <c r="A129" i="13"/>
  <c r="B129" i="13"/>
  <c r="A130" i="13"/>
  <c r="B130" i="13"/>
  <c r="A131" i="13"/>
  <c r="B131" i="13"/>
  <c r="A132" i="13"/>
  <c r="B132" i="13"/>
  <c r="A133" i="13"/>
  <c r="B133" i="13"/>
  <c r="A134" i="13"/>
  <c r="B134" i="13"/>
  <c r="A135" i="13"/>
  <c r="B135" i="13"/>
  <c r="A136" i="13"/>
  <c r="B136" i="13"/>
  <c r="A137" i="13"/>
  <c r="B137" i="13"/>
  <c r="A138" i="13"/>
  <c r="B138" i="13"/>
  <c r="A139" i="13"/>
  <c r="B139" i="13"/>
  <c r="A140" i="13"/>
  <c r="B140" i="13"/>
  <c r="A141" i="13"/>
  <c r="B141" i="13"/>
  <c r="A142" i="13"/>
  <c r="B142" i="13"/>
  <c r="A143" i="13"/>
  <c r="B143" i="13"/>
  <c r="A144" i="13"/>
  <c r="B144" i="13"/>
  <c r="A145" i="13"/>
  <c r="B145" i="13"/>
  <c r="A146" i="13"/>
  <c r="B146" i="13"/>
  <c r="A147" i="13"/>
  <c r="B147" i="13"/>
  <c r="A148" i="13"/>
  <c r="B148" i="13"/>
  <c r="A149" i="13"/>
  <c r="B149" i="13"/>
  <c r="A150" i="13"/>
  <c r="B150" i="13"/>
  <c r="A151" i="13"/>
  <c r="B151" i="13"/>
  <c r="A152" i="13"/>
  <c r="B152" i="13"/>
  <c r="A153" i="13"/>
  <c r="B153" i="13"/>
  <c r="A154" i="13"/>
  <c r="B154" i="13"/>
  <c r="A155" i="13"/>
  <c r="B155" i="13"/>
  <c r="A156" i="13"/>
  <c r="B156" i="13"/>
  <c r="A157" i="13"/>
  <c r="B157" i="13"/>
  <c r="A158" i="13"/>
  <c r="B158" i="13"/>
  <c r="A159" i="13"/>
  <c r="B159" i="13"/>
  <c r="A160" i="13"/>
  <c r="B160" i="13"/>
  <c r="A161" i="13"/>
  <c r="B161" i="13"/>
  <c r="A162" i="13"/>
  <c r="B162" i="13"/>
  <c r="A163" i="13"/>
  <c r="B163" i="13"/>
  <c r="A164" i="13"/>
  <c r="B164" i="13"/>
  <c r="A165" i="13"/>
  <c r="B165" i="13"/>
  <c r="A166" i="13"/>
  <c r="B166" i="13"/>
  <c r="A167" i="13"/>
  <c r="B167" i="13"/>
  <c r="A168" i="13"/>
  <c r="B168" i="13"/>
  <c r="A169" i="13"/>
  <c r="B169" i="13"/>
  <c r="A170" i="13"/>
  <c r="B170" i="13"/>
  <c r="A171" i="13"/>
  <c r="B171" i="13"/>
  <c r="A172" i="13"/>
  <c r="B172" i="13"/>
  <c r="A173" i="13"/>
  <c r="B173" i="13"/>
  <c r="A174" i="13"/>
  <c r="B174" i="13"/>
  <c r="A175" i="13"/>
  <c r="B175" i="13"/>
  <c r="A176" i="13"/>
  <c r="B176" i="13"/>
  <c r="A177" i="13"/>
  <c r="B177" i="13"/>
  <c r="A178" i="13"/>
  <c r="B178" i="13"/>
  <c r="A179" i="13"/>
  <c r="B179" i="13"/>
  <c r="A180" i="13"/>
  <c r="B180" i="13"/>
  <c r="A181" i="13"/>
  <c r="B181" i="13"/>
  <c r="A182" i="13"/>
  <c r="B182" i="13"/>
  <c r="A183" i="13"/>
  <c r="B183" i="13"/>
  <c r="A184" i="13"/>
  <c r="B184" i="13"/>
  <c r="A185" i="13"/>
  <c r="B185" i="13"/>
  <c r="A186" i="13"/>
  <c r="B186" i="13"/>
  <c r="A187" i="13"/>
  <c r="B187" i="13"/>
  <c r="A188" i="13"/>
  <c r="B188" i="13"/>
  <c r="A189" i="13"/>
  <c r="B189" i="13"/>
  <c r="A190" i="13"/>
  <c r="B190" i="13"/>
  <c r="A191" i="13"/>
  <c r="B191" i="13"/>
  <c r="A192" i="13"/>
  <c r="B192" i="13"/>
  <c r="A193" i="13"/>
  <c r="B193" i="13"/>
  <c r="A194" i="13"/>
  <c r="B194" i="13"/>
  <c r="A195" i="13"/>
  <c r="B195" i="13"/>
  <c r="A196" i="13"/>
  <c r="B196" i="13"/>
  <c r="A197" i="13"/>
  <c r="B197" i="13"/>
  <c r="A198" i="13"/>
  <c r="B198" i="13"/>
  <c r="A199" i="13"/>
  <c r="B199" i="13"/>
  <c r="A200" i="13"/>
  <c r="B200" i="13"/>
  <c r="A201" i="13"/>
  <c r="B201" i="13"/>
  <c r="A202" i="13"/>
  <c r="B202" i="13"/>
  <c r="A203" i="13"/>
  <c r="B203" i="13"/>
  <c r="A204" i="13"/>
  <c r="B204" i="13"/>
  <c r="A205" i="13"/>
  <c r="B205" i="13"/>
  <c r="A206" i="13"/>
  <c r="B206" i="13"/>
  <c r="A207" i="13"/>
  <c r="B207" i="13"/>
  <c r="A208" i="13"/>
  <c r="B208" i="13"/>
  <c r="A209" i="13"/>
  <c r="B209" i="13"/>
  <c r="A210" i="13"/>
  <c r="B210" i="13"/>
  <c r="A211" i="13"/>
  <c r="B211" i="13"/>
  <c r="A212" i="13"/>
  <c r="B212" i="13"/>
  <c r="A213" i="13"/>
  <c r="B213" i="13"/>
  <c r="A214" i="13"/>
  <c r="B214" i="13"/>
  <c r="A215" i="13"/>
  <c r="B215" i="13"/>
  <c r="A216" i="13"/>
  <c r="B216" i="13"/>
  <c r="A217" i="13"/>
  <c r="B217" i="13"/>
  <c r="A218" i="13"/>
  <c r="B218" i="13"/>
  <c r="A219" i="13"/>
  <c r="B219" i="13"/>
  <c r="A220" i="13"/>
  <c r="B220" i="13"/>
  <c r="A221" i="13"/>
  <c r="B221" i="13"/>
  <c r="A222" i="13"/>
  <c r="B222" i="13"/>
  <c r="A223" i="13"/>
  <c r="B223" i="13"/>
  <c r="A224" i="13"/>
  <c r="B224" i="13"/>
  <c r="A225" i="13"/>
  <c r="B225" i="13"/>
  <c r="A226" i="13"/>
  <c r="B226" i="13"/>
  <c r="A227" i="13"/>
  <c r="B227" i="13"/>
  <c r="A228" i="13"/>
  <c r="B228" i="13"/>
  <c r="A229" i="13"/>
  <c r="B229" i="13"/>
  <c r="A230" i="13"/>
  <c r="B230" i="13"/>
  <c r="A231" i="13"/>
  <c r="B231" i="13"/>
  <c r="A232" i="13"/>
  <c r="B232" i="13"/>
  <c r="A233" i="13"/>
  <c r="B233" i="13"/>
  <c r="A234" i="13"/>
  <c r="B234" i="13"/>
  <c r="A235" i="13"/>
  <c r="B235" i="13"/>
  <c r="A236" i="13"/>
  <c r="B236" i="13"/>
  <c r="A237" i="13"/>
  <c r="B237" i="13"/>
  <c r="A238" i="13"/>
  <c r="B238" i="13"/>
  <c r="A239" i="13"/>
  <c r="B239" i="13"/>
  <c r="A240" i="13"/>
  <c r="B240" i="13"/>
  <c r="A241" i="13"/>
  <c r="B241" i="13"/>
  <c r="A242" i="13"/>
  <c r="B242" i="13"/>
  <c r="A243" i="13"/>
  <c r="B243" i="13"/>
  <c r="A244" i="13"/>
  <c r="B244" i="13"/>
  <c r="A245" i="13"/>
  <c r="B245" i="13"/>
  <c r="A246" i="13"/>
  <c r="B246" i="13"/>
  <c r="A247" i="13"/>
  <c r="B247" i="13"/>
  <c r="A248" i="13"/>
  <c r="B248" i="13"/>
  <c r="A249" i="13"/>
  <c r="B249" i="13"/>
  <c r="A250" i="13"/>
  <c r="B250" i="13"/>
  <c r="A251" i="13"/>
  <c r="B251" i="13"/>
  <c r="A252" i="13"/>
  <c r="B252" i="13"/>
  <c r="A253" i="13"/>
  <c r="B253" i="13"/>
  <c r="A254" i="13"/>
  <c r="B254" i="13"/>
  <c r="A255" i="13"/>
  <c r="B255" i="13"/>
  <c r="A256" i="13"/>
  <c r="B256" i="13"/>
  <c r="A257" i="13"/>
  <c r="B257" i="13"/>
  <c r="A258" i="13"/>
  <c r="B258" i="13"/>
  <c r="A259" i="13"/>
  <c r="B259" i="13"/>
  <c r="A260" i="13"/>
  <c r="B260" i="13"/>
  <c r="A261" i="13"/>
  <c r="B261" i="13"/>
  <c r="A262" i="13"/>
  <c r="B262" i="13"/>
  <c r="A263" i="13"/>
  <c r="B263" i="13"/>
  <c r="A264" i="13"/>
  <c r="B264" i="13"/>
  <c r="A265" i="13"/>
  <c r="B265" i="13"/>
  <c r="A266" i="13"/>
  <c r="B266" i="13"/>
  <c r="A267" i="13"/>
  <c r="B267" i="13"/>
  <c r="A268" i="13"/>
  <c r="B268" i="13"/>
  <c r="A269" i="13"/>
  <c r="B269" i="13"/>
  <c r="A270" i="13"/>
  <c r="B270" i="13"/>
  <c r="A271" i="13"/>
  <c r="B271" i="13"/>
  <c r="A272" i="13"/>
  <c r="B272" i="13"/>
  <c r="A273" i="13"/>
  <c r="B273" i="13"/>
  <c r="A274" i="13"/>
  <c r="B274" i="13"/>
  <c r="A275" i="13"/>
  <c r="B275" i="13"/>
  <c r="A276" i="13"/>
  <c r="B276" i="13"/>
  <c r="A277" i="13"/>
  <c r="B277" i="13"/>
  <c r="A278" i="13"/>
  <c r="B278" i="13"/>
  <c r="A279" i="13"/>
  <c r="B279" i="13"/>
  <c r="A280" i="13"/>
  <c r="B280" i="13"/>
  <c r="A281" i="13"/>
  <c r="B281" i="13"/>
  <c r="A282" i="13"/>
  <c r="B282" i="13"/>
  <c r="A283" i="13"/>
  <c r="B283" i="13"/>
  <c r="A284" i="13"/>
  <c r="B284" i="13"/>
  <c r="A285" i="13"/>
  <c r="B285" i="13"/>
  <c r="A286" i="13"/>
  <c r="B286" i="13"/>
  <c r="A287" i="13"/>
  <c r="B287" i="13"/>
  <c r="A288" i="13"/>
  <c r="B288" i="13"/>
  <c r="A289" i="13"/>
  <c r="B289" i="13"/>
  <c r="A290" i="13"/>
  <c r="B290" i="13"/>
  <c r="A291" i="13"/>
  <c r="B291" i="13"/>
  <c r="A292" i="13"/>
  <c r="B292" i="13"/>
  <c r="A293" i="13"/>
  <c r="B293" i="13"/>
  <c r="A294" i="13"/>
  <c r="B294" i="13"/>
  <c r="A295" i="13"/>
  <c r="B295" i="13"/>
  <c r="A296" i="13"/>
  <c r="B296" i="13"/>
  <c r="A297" i="13"/>
  <c r="B297" i="13"/>
  <c r="A298" i="13"/>
  <c r="B298" i="13"/>
  <c r="A299" i="13"/>
  <c r="B299" i="13"/>
  <c r="A300" i="13"/>
  <c r="B300" i="13"/>
  <c r="A301" i="13"/>
  <c r="B301" i="13"/>
  <c r="A302" i="13"/>
  <c r="B302" i="13"/>
  <c r="A303" i="13"/>
  <c r="B303" i="13"/>
  <c r="A304" i="13"/>
  <c r="B304" i="13"/>
  <c r="A305" i="13"/>
  <c r="B305" i="13"/>
  <c r="G300" i="19" l="1"/>
  <c r="AP5" i="42" l="1"/>
  <c r="B7" i="48" l="1"/>
  <c r="E38" i="48" l="1"/>
  <c r="E39" i="48"/>
  <c r="F8" i="48"/>
  <c r="C6" i="49" l="1"/>
  <c r="G5" i="13" l="1"/>
  <c r="D5" i="13" l="1"/>
  <c r="Z306" i="42" l="1"/>
  <c r="AP306" i="42" l="1"/>
  <c r="Y306" i="42" l="1"/>
  <c r="X306" i="42"/>
  <c r="C16" i="40" l="1"/>
  <c r="M68" i="42" l="1"/>
  <c r="T68" i="42" s="1"/>
  <c r="M155" i="42"/>
  <c r="T155" i="42" s="1"/>
  <c r="M235" i="42"/>
  <c r="T235" i="42" s="1"/>
  <c r="M275" i="42"/>
  <c r="T275" i="42" s="1"/>
  <c r="K45" i="40" l="1"/>
  <c r="C5" i="9"/>
  <c r="A7" i="19"/>
  <c r="B7" i="19"/>
  <c r="C7" i="19"/>
  <c r="D7" i="19"/>
  <c r="E7" i="19"/>
  <c r="F7" i="19"/>
  <c r="G7" i="19"/>
  <c r="H7" i="19"/>
  <c r="I7" i="19"/>
  <c r="J7" i="19"/>
  <c r="K7" i="19"/>
  <c r="M7" i="19"/>
  <c r="N7" i="19"/>
  <c r="O7" i="19"/>
  <c r="Q7" i="19"/>
  <c r="A8" i="19"/>
  <c r="B8" i="19"/>
  <c r="C8" i="19"/>
  <c r="D8" i="19"/>
  <c r="E8" i="19"/>
  <c r="F8" i="19"/>
  <c r="G8" i="19"/>
  <c r="H8" i="19"/>
  <c r="I8" i="19"/>
  <c r="J8" i="19"/>
  <c r="K8" i="19"/>
  <c r="M8" i="19"/>
  <c r="N8" i="19"/>
  <c r="O8" i="19"/>
  <c r="Q8" i="19"/>
  <c r="A9" i="19"/>
  <c r="B9" i="19"/>
  <c r="C9" i="19"/>
  <c r="D9" i="19"/>
  <c r="E9" i="19"/>
  <c r="F9" i="19"/>
  <c r="G9" i="19"/>
  <c r="H9" i="19"/>
  <c r="I9" i="19"/>
  <c r="J9" i="19"/>
  <c r="K9" i="19"/>
  <c r="M9" i="19"/>
  <c r="N9" i="19"/>
  <c r="O9" i="19"/>
  <c r="Q9" i="19"/>
  <c r="A10" i="19"/>
  <c r="B10" i="19"/>
  <c r="C10" i="19"/>
  <c r="D10" i="19"/>
  <c r="E10" i="19"/>
  <c r="F10" i="19"/>
  <c r="G10" i="19"/>
  <c r="H10" i="19"/>
  <c r="I10" i="19"/>
  <c r="J10" i="19"/>
  <c r="K10" i="19"/>
  <c r="M10" i="19"/>
  <c r="N10" i="19"/>
  <c r="O10" i="19"/>
  <c r="Q10" i="19"/>
  <c r="A11" i="19"/>
  <c r="B11" i="19"/>
  <c r="C11" i="19"/>
  <c r="D11" i="19"/>
  <c r="E11" i="19"/>
  <c r="F11" i="19"/>
  <c r="G11" i="19"/>
  <c r="H11" i="19"/>
  <c r="I11" i="19"/>
  <c r="J11" i="19"/>
  <c r="K11" i="19"/>
  <c r="M11" i="19"/>
  <c r="N11" i="19"/>
  <c r="O11" i="19"/>
  <c r="Q11" i="19"/>
  <c r="A12" i="19"/>
  <c r="B12" i="19"/>
  <c r="C12" i="19"/>
  <c r="D12" i="19"/>
  <c r="E12" i="19"/>
  <c r="F12" i="19"/>
  <c r="G12" i="19"/>
  <c r="H12" i="19"/>
  <c r="I12" i="19"/>
  <c r="J12" i="19"/>
  <c r="K12" i="19"/>
  <c r="M12" i="19"/>
  <c r="N12" i="19"/>
  <c r="O12" i="19"/>
  <c r="Q12" i="19"/>
  <c r="A13" i="19"/>
  <c r="B13" i="19"/>
  <c r="C13" i="19"/>
  <c r="D13" i="19"/>
  <c r="E13" i="19"/>
  <c r="F13" i="19"/>
  <c r="G13" i="19"/>
  <c r="H13" i="19"/>
  <c r="I13" i="19"/>
  <c r="J13" i="19"/>
  <c r="K13" i="19"/>
  <c r="M13" i="19"/>
  <c r="N13" i="19"/>
  <c r="O13" i="19"/>
  <c r="Q13" i="19"/>
  <c r="A14" i="19"/>
  <c r="B14" i="19"/>
  <c r="C14" i="19"/>
  <c r="D14" i="19"/>
  <c r="E14" i="19"/>
  <c r="F14" i="19"/>
  <c r="G14" i="19"/>
  <c r="H14" i="19"/>
  <c r="I14" i="19"/>
  <c r="J14" i="19"/>
  <c r="K14" i="19"/>
  <c r="M14" i="19"/>
  <c r="N14" i="19"/>
  <c r="O14" i="19"/>
  <c r="Q14" i="19"/>
  <c r="A15" i="19"/>
  <c r="B15" i="19"/>
  <c r="C15" i="19"/>
  <c r="D15" i="19"/>
  <c r="E15" i="19"/>
  <c r="F15" i="19"/>
  <c r="G15" i="19"/>
  <c r="H15" i="19"/>
  <c r="I15" i="19"/>
  <c r="J15" i="19"/>
  <c r="K15" i="19"/>
  <c r="M15" i="19"/>
  <c r="N15" i="19"/>
  <c r="O15" i="19"/>
  <c r="Q15" i="19"/>
  <c r="A16" i="19"/>
  <c r="B16" i="19"/>
  <c r="C16" i="19"/>
  <c r="D16" i="19"/>
  <c r="E16" i="19"/>
  <c r="F16" i="19"/>
  <c r="G16" i="19"/>
  <c r="H16" i="19"/>
  <c r="I16" i="19"/>
  <c r="J16" i="19"/>
  <c r="K16" i="19"/>
  <c r="M16" i="19"/>
  <c r="N16" i="19"/>
  <c r="O16" i="19"/>
  <c r="Q16" i="19"/>
  <c r="A17" i="19"/>
  <c r="B17" i="19"/>
  <c r="C17" i="19"/>
  <c r="D17" i="19"/>
  <c r="E17" i="19"/>
  <c r="F17" i="19"/>
  <c r="G17" i="19"/>
  <c r="H17" i="19"/>
  <c r="I17" i="19"/>
  <c r="J17" i="19"/>
  <c r="K17" i="19"/>
  <c r="M17" i="19"/>
  <c r="N17" i="19"/>
  <c r="O17" i="19"/>
  <c r="Q17" i="19"/>
  <c r="A18" i="19"/>
  <c r="B18" i="19"/>
  <c r="C18" i="19"/>
  <c r="D18" i="19"/>
  <c r="E18" i="19"/>
  <c r="F18" i="19"/>
  <c r="G18" i="19"/>
  <c r="H18" i="19"/>
  <c r="I18" i="19"/>
  <c r="J18" i="19"/>
  <c r="K18" i="19"/>
  <c r="M18" i="19"/>
  <c r="N18" i="19"/>
  <c r="O18" i="19"/>
  <c r="Q18" i="19"/>
  <c r="A19" i="19"/>
  <c r="B19" i="19"/>
  <c r="C19" i="19"/>
  <c r="D19" i="19"/>
  <c r="E19" i="19"/>
  <c r="F19" i="19"/>
  <c r="G19" i="19"/>
  <c r="H19" i="19"/>
  <c r="I19" i="19"/>
  <c r="J19" i="19"/>
  <c r="K19" i="19"/>
  <c r="M19" i="19"/>
  <c r="N19" i="19"/>
  <c r="O19" i="19"/>
  <c r="Q19" i="19"/>
  <c r="A20" i="19"/>
  <c r="B20" i="19"/>
  <c r="C20" i="19"/>
  <c r="D20" i="19"/>
  <c r="E20" i="19"/>
  <c r="F20" i="19"/>
  <c r="G20" i="19"/>
  <c r="H20" i="19"/>
  <c r="I20" i="19"/>
  <c r="J20" i="19"/>
  <c r="K20" i="19"/>
  <c r="M20" i="19"/>
  <c r="N20" i="19"/>
  <c r="O20" i="19"/>
  <c r="Q20" i="19"/>
  <c r="A21" i="19"/>
  <c r="B21" i="19"/>
  <c r="C21" i="19"/>
  <c r="E21" i="19"/>
  <c r="F21" i="19"/>
  <c r="G21" i="19"/>
  <c r="H21" i="19"/>
  <c r="I21" i="19"/>
  <c r="J21" i="19"/>
  <c r="K21" i="19"/>
  <c r="M21" i="19"/>
  <c r="N21" i="19"/>
  <c r="O21" i="19"/>
  <c r="Q21" i="19"/>
  <c r="A22" i="19"/>
  <c r="B22" i="19"/>
  <c r="C22" i="19"/>
  <c r="D22" i="19"/>
  <c r="E22" i="19"/>
  <c r="F22" i="19"/>
  <c r="G22" i="19"/>
  <c r="H22" i="19"/>
  <c r="I22" i="19"/>
  <c r="J22" i="19"/>
  <c r="K22" i="19"/>
  <c r="M22" i="19"/>
  <c r="N22" i="19"/>
  <c r="O22" i="19"/>
  <c r="Q22" i="19"/>
  <c r="A23" i="19"/>
  <c r="B23" i="19"/>
  <c r="C23" i="19"/>
  <c r="D23" i="19"/>
  <c r="E23" i="19"/>
  <c r="F23" i="19"/>
  <c r="G23" i="19"/>
  <c r="H23" i="19"/>
  <c r="I23" i="19"/>
  <c r="J23" i="19"/>
  <c r="K23" i="19"/>
  <c r="M23" i="19"/>
  <c r="N23" i="19"/>
  <c r="O23" i="19"/>
  <c r="Q23" i="19"/>
  <c r="A24" i="19"/>
  <c r="B24" i="19"/>
  <c r="C24" i="19"/>
  <c r="D24" i="19"/>
  <c r="E24" i="19"/>
  <c r="F24" i="19"/>
  <c r="G24" i="19"/>
  <c r="H24" i="19"/>
  <c r="I24" i="19"/>
  <c r="J24" i="19"/>
  <c r="K24" i="19"/>
  <c r="M24" i="19"/>
  <c r="N24" i="19"/>
  <c r="O24" i="19"/>
  <c r="Q24" i="19"/>
  <c r="A25" i="19"/>
  <c r="B25" i="19"/>
  <c r="C25" i="19"/>
  <c r="D25" i="19"/>
  <c r="E25" i="19"/>
  <c r="F25" i="19"/>
  <c r="G25" i="19"/>
  <c r="H25" i="19"/>
  <c r="I25" i="19"/>
  <c r="J25" i="19"/>
  <c r="K25" i="19"/>
  <c r="M25" i="19"/>
  <c r="N25" i="19"/>
  <c r="O25" i="19"/>
  <c r="Q25" i="19"/>
  <c r="A26" i="19"/>
  <c r="B26" i="19"/>
  <c r="C26" i="19"/>
  <c r="D26" i="19"/>
  <c r="E26" i="19"/>
  <c r="F26" i="19"/>
  <c r="G26" i="19"/>
  <c r="H26" i="19"/>
  <c r="I26" i="19"/>
  <c r="J26" i="19"/>
  <c r="K26" i="19"/>
  <c r="M26" i="19"/>
  <c r="N26" i="19"/>
  <c r="O26" i="19"/>
  <c r="Q26" i="19"/>
  <c r="A27" i="19"/>
  <c r="B27" i="19"/>
  <c r="C27" i="19"/>
  <c r="D27" i="19"/>
  <c r="E27" i="19"/>
  <c r="F27" i="19"/>
  <c r="G27" i="19"/>
  <c r="H27" i="19"/>
  <c r="I27" i="19"/>
  <c r="J27" i="19"/>
  <c r="K27" i="19"/>
  <c r="M27" i="19"/>
  <c r="N27" i="19"/>
  <c r="O27" i="19"/>
  <c r="Q27" i="19"/>
  <c r="A28" i="19"/>
  <c r="B28" i="19"/>
  <c r="C28" i="19"/>
  <c r="D28" i="19"/>
  <c r="E28" i="19"/>
  <c r="F28" i="19"/>
  <c r="G28" i="19"/>
  <c r="H28" i="19"/>
  <c r="I28" i="19"/>
  <c r="J28" i="19"/>
  <c r="K28" i="19"/>
  <c r="M28" i="19"/>
  <c r="N28" i="19"/>
  <c r="O28" i="19"/>
  <c r="Q28" i="19"/>
  <c r="A29" i="19"/>
  <c r="B29" i="19"/>
  <c r="C29" i="19"/>
  <c r="D29" i="19"/>
  <c r="E29" i="19"/>
  <c r="F29" i="19"/>
  <c r="G29" i="19"/>
  <c r="H29" i="19"/>
  <c r="I29" i="19"/>
  <c r="J29" i="19"/>
  <c r="K29" i="19"/>
  <c r="M29" i="19"/>
  <c r="N29" i="19"/>
  <c r="O29" i="19"/>
  <c r="Q29" i="19"/>
  <c r="A30" i="19"/>
  <c r="B30" i="19"/>
  <c r="C30" i="19"/>
  <c r="D30" i="19"/>
  <c r="E30" i="19"/>
  <c r="F30" i="19"/>
  <c r="G30" i="19"/>
  <c r="H30" i="19"/>
  <c r="I30" i="19"/>
  <c r="J30" i="19"/>
  <c r="K30" i="19"/>
  <c r="M30" i="19"/>
  <c r="N30" i="19"/>
  <c r="O30" i="19"/>
  <c r="Q30" i="19"/>
  <c r="A31" i="19"/>
  <c r="B31" i="19"/>
  <c r="C31" i="19"/>
  <c r="D31" i="19"/>
  <c r="E31" i="19"/>
  <c r="F31" i="19"/>
  <c r="G31" i="19"/>
  <c r="H31" i="19"/>
  <c r="I31" i="19"/>
  <c r="J31" i="19"/>
  <c r="K31" i="19"/>
  <c r="M31" i="19"/>
  <c r="N31" i="19"/>
  <c r="O31" i="19"/>
  <c r="Q31" i="19"/>
  <c r="A32" i="19"/>
  <c r="B32" i="19"/>
  <c r="C32" i="19"/>
  <c r="D32" i="19"/>
  <c r="E32" i="19"/>
  <c r="F32" i="19"/>
  <c r="G32" i="19"/>
  <c r="H32" i="19"/>
  <c r="I32" i="19"/>
  <c r="J32" i="19"/>
  <c r="K32" i="19"/>
  <c r="M32" i="19"/>
  <c r="N32" i="19"/>
  <c r="O32" i="19"/>
  <c r="Q32" i="19"/>
  <c r="A33" i="19"/>
  <c r="B33" i="19"/>
  <c r="C33" i="19"/>
  <c r="D33" i="19"/>
  <c r="E33" i="19"/>
  <c r="F33" i="19"/>
  <c r="G33" i="19"/>
  <c r="H33" i="19"/>
  <c r="I33" i="19"/>
  <c r="J33" i="19"/>
  <c r="K33" i="19"/>
  <c r="M33" i="19"/>
  <c r="N33" i="19"/>
  <c r="O33" i="19"/>
  <c r="Q33" i="19"/>
  <c r="A34" i="19"/>
  <c r="B34" i="19"/>
  <c r="C34" i="19"/>
  <c r="D34" i="19"/>
  <c r="E34" i="19"/>
  <c r="F34" i="19"/>
  <c r="G34" i="19"/>
  <c r="H34" i="19"/>
  <c r="I34" i="19"/>
  <c r="J34" i="19"/>
  <c r="K34" i="19"/>
  <c r="M34" i="19"/>
  <c r="N34" i="19"/>
  <c r="O34" i="19"/>
  <c r="Q34" i="19"/>
  <c r="A35" i="19"/>
  <c r="B35" i="19"/>
  <c r="C35" i="19"/>
  <c r="D35" i="19"/>
  <c r="E35" i="19"/>
  <c r="F35" i="19"/>
  <c r="G35" i="19"/>
  <c r="H35" i="19"/>
  <c r="I35" i="19"/>
  <c r="J35" i="19"/>
  <c r="K35" i="19"/>
  <c r="M35" i="19"/>
  <c r="N35" i="19"/>
  <c r="O35" i="19"/>
  <c r="Q35" i="19"/>
  <c r="A36" i="19"/>
  <c r="B36" i="19"/>
  <c r="C36" i="19"/>
  <c r="D36" i="19"/>
  <c r="E36" i="19"/>
  <c r="F36" i="19"/>
  <c r="G36" i="19"/>
  <c r="H36" i="19"/>
  <c r="I36" i="19"/>
  <c r="J36" i="19"/>
  <c r="K36" i="19"/>
  <c r="M36" i="19"/>
  <c r="N36" i="19"/>
  <c r="O36" i="19"/>
  <c r="Q36" i="19"/>
  <c r="A37" i="19"/>
  <c r="B37" i="19"/>
  <c r="C37" i="19"/>
  <c r="D37" i="19"/>
  <c r="E37" i="19"/>
  <c r="F37" i="19"/>
  <c r="G37" i="19"/>
  <c r="H37" i="19"/>
  <c r="I37" i="19"/>
  <c r="J37" i="19"/>
  <c r="K37" i="19"/>
  <c r="M37" i="19"/>
  <c r="N37" i="19"/>
  <c r="O37" i="19"/>
  <c r="Q37" i="19"/>
  <c r="A38" i="19"/>
  <c r="B38" i="19"/>
  <c r="C38" i="19"/>
  <c r="D38" i="19"/>
  <c r="E38" i="19"/>
  <c r="F38" i="19"/>
  <c r="G38" i="19"/>
  <c r="H38" i="19"/>
  <c r="I38" i="19"/>
  <c r="J38" i="19"/>
  <c r="K38" i="19"/>
  <c r="M38" i="19"/>
  <c r="N38" i="19"/>
  <c r="O38" i="19"/>
  <c r="Q38" i="19"/>
  <c r="A39" i="19"/>
  <c r="B39" i="19"/>
  <c r="C39" i="19"/>
  <c r="D39" i="19"/>
  <c r="E39" i="19"/>
  <c r="F39" i="19"/>
  <c r="G39" i="19"/>
  <c r="H39" i="19"/>
  <c r="I39" i="19"/>
  <c r="J39" i="19"/>
  <c r="K39" i="19"/>
  <c r="M39" i="19"/>
  <c r="N39" i="19"/>
  <c r="O39" i="19"/>
  <c r="Q39" i="19"/>
  <c r="A40" i="19"/>
  <c r="B40" i="19"/>
  <c r="C40" i="19"/>
  <c r="D40" i="19"/>
  <c r="E40" i="19"/>
  <c r="F40" i="19"/>
  <c r="G40" i="19"/>
  <c r="H40" i="19"/>
  <c r="I40" i="19"/>
  <c r="J40" i="19"/>
  <c r="K40" i="19"/>
  <c r="M40" i="19"/>
  <c r="N40" i="19"/>
  <c r="O40" i="19"/>
  <c r="Q40" i="19"/>
  <c r="A41" i="19"/>
  <c r="B41" i="19"/>
  <c r="C41" i="19"/>
  <c r="D41" i="19"/>
  <c r="E41" i="19"/>
  <c r="F41" i="19"/>
  <c r="G41" i="19"/>
  <c r="H41" i="19"/>
  <c r="I41" i="19"/>
  <c r="J41" i="19"/>
  <c r="K41" i="19"/>
  <c r="M41" i="19"/>
  <c r="N41" i="19"/>
  <c r="O41" i="19"/>
  <c r="Q41" i="19"/>
  <c r="A42" i="19"/>
  <c r="B42" i="19"/>
  <c r="C42" i="19"/>
  <c r="D42" i="19"/>
  <c r="E42" i="19"/>
  <c r="F42" i="19"/>
  <c r="G42" i="19"/>
  <c r="H42" i="19"/>
  <c r="I42" i="19"/>
  <c r="J42" i="19"/>
  <c r="K42" i="19"/>
  <c r="M42" i="19"/>
  <c r="N42" i="19"/>
  <c r="O42" i="19"/>
  <c r="Q42" i="19"/>
  <c r="A43" i="19"/>
  <c r="B43" i="19"/>
  <c r="C43" i="19"/>
  <c r="D43" i="19"/>
  <c r="E43" i="19"/>
  <c r="F43" i="19"/>
  <c r="G43" i="19"/>
  <c r="H43" i="19"/>
  <c r="I43" i="19"/>
  <c r="J43" i="19"/>
  <c r="K43" i="19"/>
  <c r="M43" i="19"/>
  <c r="N43" i="19"/>
  <c r="O43" i="19"/>
  <c r="Q43" i="19"/>
  <c r="A44" i="19"/>
  <c r="B44" i="19"/>
  <c r="C44" i="19"/>
  <c r="D44" i="19"/>
  <c r="E44" i="19"/>
  <c r="F44" i="19"/>
  <c r="G44" i="19"/>
  <c r="H44" i="19"/>
  <c r="I44" i="19"/>
  <c r="J44" i="19"/>
  <c r="K44" i="19"/>
  <c r="M44" i="19"/>
  <c r="N44" i="19"/>
  <c r="O44" i="19"/>
  <c r="Q44" i="19"/>
  <c r="A45" i="19"/>
  <c r="B45" i="19"/>
  <c r="C45" i="19"/>
  <c r="D45" i="19"/>
  <c r="E45" i="19"/>
  <c r="F45" i="19"/>
  <c r="G45" i="19"/>
  <c r="H45" i="19"/>
  <c r="I45" i="19"/>
  <c r="J45" i="19"/>
  <c r="K45" i="19"/>
  <c r="M45" i="19"/>
  <c r="N45" i="19"/>
  <c r="O45" i="19"/>
  <c r="Q45" i="19"/>
  <c r="A46" i="19"/>
  <c r="B46" i="19"/>
  <c r="C46" i="19"/>
  <c r="D46" i="19"/>
  <c r="E46" i="19"/>
  <c r="F46" i="19"/>
  <c r="G46" i="19"/>
  <c r="H46" i="19"/>
  <c r="I46" i="19"/>
  <c r="J46" i="19"/>
  <c r="K46" i="19"/>
  <c r="M46" i="19"/>
  <c r="N46" i="19"/>
  <c r="O46" i="19"/>
  <c r="Q46" i="19"/>
  <c r="A47" i="19"/>
  <c r="B47" i="19"/>
  <c r="C47" i="19"/>
  <c r="D47" i="19"/>
  <c r="E47" i="19"/>
  <c r="F47" i="19"/>
  <c r="G47" i="19"/>
  <c r="H47" i="19"/>
  <c r="I47" i="19"/>
  <c r="J47" i="19"/>
  <c r="K47" i="19"/>
  <c r="M47" i="19"/>
  <c r="N47" i="19"/>
  <c r="O47" i="19"/>
  <c r="Q47" i="19"/>
  <c r="A48" i="19"/>
  <c r="B48" i="19"/>
  <c r="C48" i="19"/>
  <c r="D48" i="19"/>
  <c r="E48" i="19"/>
  <c r="F48" i="19"/>
  <c r="G48" i="19"/>
  <c r="H48" i="19"/>
  <c r="I48" i="19"/>
  <c r="J48" i="19"/>
  <c r="K48" i="19"/>
  <c r="M48" i="19"/>
  <c r="N48" i="19"/>
  <c r="O48" i="19"/>
  <c r="Q48" i="19"/>
  <c r="A49" i="19"/>
  <c r="B49" i="19"/>
  <c r="C49" i="19"/>
  <c r="D49" i="19"/>
  <c r="E49" i="19"/>
  <c r="F49" i="19"/>
  <c r="G49" i="19"/>
  <c r="H49" i="19"/>
  <c r="I49" i="19"/>
  <c r="J49" i="19"/>
  <c r="K49" i="19"/>
  <c r="M49" i="19"/>
  <c r="N49" i="19"/>
  <c r="O49" i="19"/>
  <c r="Q49" i="19"/>
  <c r="A50" i="19"/>
  <c r="B50" i="19"/>
  <c r="C50" i="19"/>
  <c r="D50" i="19"/>
  <c r="E50" i="19"/>
  <c r="F50" i="19"/>
  <c r="G50" i="19"/>
  <c r="H50" i="19"/>
  <c r="I50" i="19"/>
  <c r="J50" i="19"/>
  <c r="K50" i="19"/>
  <c r="M50" i="19"/>
  <c r="N50" i="19"/>
  <c r="O50" i="19"/>
  <c r="Q50" i="19"/>
  <c r="A51" i="19"/>
  <c r="B51" i="19"/>
  <c r="C51" i="19"/>
  <c r="D51" i="19"/>
  <c r="E51" i="19"/>
  <c r="F51" i="19"/>
  <c r="G51" i="19"/>
  <c r="H51" i="19"/>
  <c r="I51" i="19"/>
  <c r="J51" i="19"/>
  <c r="K51" i="19"/>
  <c r="M51" i="19"/>
  <c r="N51" i="19"/>
  <c r="O51" i="19"/>
  <c r="Q51" i="19"/>
  <c r="A52" i="19"/>
  <c r="B52" i="19"/>
  <c r="C52" i="19"/>
  <c r="D52" i="19"/>
  <c r="E52" i="19"/>
  <c r="F52" i="19"/>
  <c r="G52" i="19"/>
  <c r="H52" i="19"/>
  <c r="I52" i="19"/>
  <c r="J52" i="19"/>
  <c r="K52" i="19"/>
  <c r="M52" i="19"/>
  <c r="N52" i="19"/>
  <c r="O52" i="19"/>
  <c r="Q52" i="19"/>
  <c r="A53" i="19"/>
  <c r="B53" i="19"/>
  <c r="C53" i="19"/>
  <c r="D53" i="19"/>
  <c r="E53" i="19"/>
  <c r="F53" i="19"/>
  <c r="G53" i="19"/>
  <c r="H53" i="19"/>
  <c r="I53" i="19"/>
  <c r="J53" i="19"/>
  <c r="K53" i="19"/>
  <c r="M53" i="19"/>
  <c r="N53" i="19"/>
  <c r="O53" i="19"/>
  <c r="Q53" i="19"/>
  <c r="A54" i="19"/>
  <c r="B54" i="19"/>
  <c r="C54" i="19"/>
  <c r="D54" i="19"/>
  <c r="E54" i="19"/>
  <c r="F54" i="19"/>
  <c r="G54" i="19"/>
  <c r="H54" i="19"/>
  <c r="I54" i="19"/>
  <c r="J54" i="19"/>
  <c r="K54" i="19"/>
  <c r="M54" i="19"/>
  <c r="N54" i="19"/>
  <c r="O54" i="19"/>
  <c r="Q54" i="19"/>
  <c r="A55" i="19"/>
  <c r="B55" i="19"/>
  <c r="C55" i="19"/>
  <c r="D55" i="19"/>
  <c r="E55" i="19"/>
  <c r="F55" i="19"/>
  <c r="G55" i="19"/>
  <c r="H55" i="19"/>
  <c r="I55" i="19"/>
  <c r="J55" i="19"/>
  <c r="K55" i="19"/>
  <c r="M55" i="19"/>
  <c r="N55" i="19"/>
  <c r="O55" i="19"/>
  <c r="Q55" i="19"/>
  <c r="A56" i="19"/>
  <c r="B56" i="19"/>
  <c r="C56" i="19"/>
  <c r="D56" i="19"/>
  <c r="E56" i="19"/>
  <c r="F56" i="19"/>
  <c r="G56" i="19"/>
  <c r="H56" i="19"/>
  <c r="I56" i="19"/>
  <c r="J56" i="19"/>
  <c r="K56" i="19"/>
  <c r="M56" i="19"/>
  <c r="N56" i="19"/>
  <c r="O56" i="19"/>
  <c r="Q56" i="19"/>
  <c r="A57" i="19"/>
  <c r="B57" i="19"/>
  <c r="C57" i="19"/>
  <c r="D57" i="19"/>
  <c r="E57" i="19"/>
  <c r="F57" i="19"/>
  <c r="G57" i="19"/>
  <c r="H57" i="19"/>
  <c r="I57" i="19"/>
  <c r="J57" i="19"/>
  <c r="K57" i="19"/>
  <c r="M57" i="19"/>
  <c r="N57" i="19"/>
  <c r="O57" i="19"/>
  <c r="Q57" i="19"/>
  <c r="A58" i="19"/>
  <c r="B58" i="19"/>
  <c r="C58" i="19"/>
  <c r="D58" i="19"/>
  <c r="E58" i="19"/>
  <c r="F58" i="19"/>
  <c r="G58" i="19"/>
  <c r="H58" i="19"/>
  <c r="I58" i="19"/>
  <c r="J58" i="19"/>
  <c r="K58" i="19"/>
  <c r="M58" i="19"/>
  <c r="N58" i="19"/>
  <c r="O58" i="19"/>
  <c r="Q58" i="19"/>
  <c r="A59" i="19"/>
  <c r="B59" i="19"/>
  <c r="C59" i="19"/>
  <c r="D59" i="19"/>
  <c r="E59" i="19"/>
  <c r="F59" i="19"/>
  <c r="G59" i="19"/>
  <c r="H59" i="19"/>
  <c r="I59" i="19"/>
  <c r="J59" i="19"/>
  <c r="K59" i="19"/>
  <c r="M59" i="19"/>
  <c r="N59" i="19"/>
  <c r="O59" i="19"/>
  <c r="Q59" i="19"/>
  <c r="A60" i="19"/>
  <c r="B60" i="19"/>
  <c r="C60" i="19"/>
  <c r="D60" i="19"/>
  <c r="E60" i="19"/>
  <c r="F60" i="19"/>
  <c r="G60" i="19"/>
  <c r="H60" i="19"/>
  <c r="I60" i="19"/>
  <c r="J60" i="19"/>
  <c r="K60" i="19"/>
  <c r="M60" i="19"/>
  <c r="N60" i="19"/>
  <c r="O60" i="19"/>
  <c r="Q60" i="19"/>
  <c r="A61" i="19"/>
  <c r="B61" i="19"/>
  <c r="C61" i="19"/>
  <c r="D61" i="19"/>
  <c r="E61" i="19"/>
  <c r="F61" i="19"/>
  <c r="G61" i="19"/>
  <c r="H61" i="19"/>
  <c r="I61" i="19"/>
  <c r="J61" i="19"/>
  <c r="K61" i="19"/>
  <c r="M61" i="19"/>
  <c r="N61" i="19"/>
  <c r="O61" i="19"/>
  <c r="Q61" i="19"/>
  <c r="A62" i="19"/>
  <c r="B62" i="19"/>
  <c r="C62" i="19"/>
  <c r="D62" i="19"/>
  <c r="E62" i="19"/>
  <c r="F62" i="19"/>
  <c r="G62" i="19"/>
  <c r="H62" i="19"/>
  <c r="I62" i="19"/>
  <c r="J62" i="19"/>
  <c r="K62" i="19"/>
  <c r="M62" i="19"/>
  <c r="N62" i="19"/>
  <c r="O62" i="19"/>
  <c r="Q62" i="19"/>
  <c r="A63" i="19"/>
  <c r="B63" i="19"/>
  <c r="C63" i="19"/>
  <c r="D63" i="19"/>
  <c r="E63" i="19"/>
  <c r="F63" i="19"/>
  <c r="G63" i="19"/>
  <c r="H63" i="19"/>
  <c r="I63" i="19"/>
  <c r="J63" i="19"/>
  <c r="K63" i="19"/>
  <c r="M63" i="19"/>
  <c r="N63" i="19"/>
  <c r="O63" i="19"/>
  <c r="Q63" i="19"/>
  <c r="A64" i="19"/>
  <c r="B64" i="19"/>
  <c r="C64" i="19"/>
  <c r="D64" i="19"/>
  <c r="E64" i="19"/>
  <c r="F64" i="19"/>
  <c r="G64" i="19"/>
  <c r="H64" i="19"/>
  <c r="I64" i="19"/>
  <c r="J64" i="19"/>
  <c r="K64" i="19"/>
  <c r="M64" i="19"/>
  <c r="N64" i="19"/>
  <c r="O64" i="19"/>
  <c r="Q64" i="19"/>
  <c r="A65" i="19"/>
  <c r="B65" i="19"/>
  <c r="C65" i="19"/>
  <c r="D65" i="19"/>
  <c r="E65" i="19"/>
  <c r="F65" i="19"/>
  <c r="G65" i="19"/>
  <c r="H65" i="19"/>
  <c r="I65" i="19"/>
  <c r="J65" i="19"/>
  <c r="K65" i="19"/>
  <c r="M65" i="19"/>
  <c r="N65" i="19"/>
  <c r="O65" i="19"/>
  <c r="Q65" i="19"/>
  <c r="A66" i="19"/>
  <c r="B66" i="19"/>
  <c r="C66" i="19"/>
  <c r="D66" i="19"/>
  <c r="E66" i="19"/>
  <c r="F66" i="19"/>
  <c r="G66" i="19"/>
  <c r="H66" i="19"/>
  <c r="I66" i="19"/>
  <c r="J66" i="19"/>
  <c r="K66" i="19"/>
  <c r="M66" i="19"/>
  <c r="N66" i="19"/>
  <c r="O66" i="19"/>
  <c r="Q66" i="19"/>
  <c r="A67" i="19"/>
  <c r="B67" i="19"/>
  <c r="C67" i="19"/>
  <c r="D67" i="19"/>
  <c r="E67" i="19"/>
  <c r="F67" i="19"/>
  <c r="G67" i="19"/>
  <c r="H67" i="19"/>
  <c r="I67" i="19"/>
  <c r="J67" i="19"/>
  <c r="K67" i="19"/>
  <c r="M67" i="19"/>
  <c r="N67" i="19"/>
  <c r="O67" i="19"/>
  <c r="Q67" i="19"/>
  <c r="A68" i="19"/>
  <c r="B68" i="19"/>
  <c r="C68" i="19"/>
  <c r="D68" i="19"/>
  <c r="E68" i="19"/>
  <c r="F68" i="19"/>
  <c r="G68" i="19"/>
  <c r="H68" i="19"/>
  <c r="I68" i="19"/>
  <c r="J68" i="19"/>
  <c r="K68" i="19"/>
  <c r="M68" i="19"/>
  <c r="N68" i="19"/>
  <c r="O68" i="19"/>
  <c r="Q68" i="19"/>
  <c r="A69" i="19"/>
  <c r="B69" i="19"/>
  <c r="C69" i="19"/>
  <c r="D69" i="19"/>
  <c r="E69" i="19"/>
  <c r="F69" i="19"/>
  <c r="G69" i="19"/>
  <c r="H69" i="19"/>
  <c r="I69" i="19"/>
  <c r="J69" i="19"/>
  <c r="K69" i="19"/>
  <c r="M69" i="19"/>
  <c r="N69" i="19"/>
  <c r="O69" i="19"/>
  <c r="Q69" i="19"/>
  <c r="A70" i="19"/>
  <c r="B70" i="19"/>
  <c r="C70" i="19"/>
  <c r="D70" i="19"/>
  <c r="E70" i="19"/>
  <c r="F70" i="19"/>
  <c r="G70" i="19"/>
  <c r="H70" i="19"/>
  <c r="I70" i="19"/>
  <c r="J70" i="19"/>
  <c r="K70" i="19"/>
  <c r="M70" i="19"/>
  <c r="N70" i="19"/>
  <c r="O70" i="19"/>
  <c r="Q70" i="19"/>
  <c r="A71" i="19"/>
  <c r="B71" i="19"/>
  <c r="C71" i="19"/>
  <c r="D71" i="19"/>
  <c r="E71" i="19"/>
  <c r="F71" i="19"/>
  <c r="G71" i="19"/>
  <c r="H71" i="19"/>
  <c r="I71" i="19"/>
  <c r="J71" i="19"/>
  <c r="K71" i="19"/>
  <c r="M71" i="19"/>
  <c r="N71" i="19"/>
  <c r="O71" i="19"/>
  <c r="Q71" i="19"/>
  <c r="A72" i="19"/>
  <c r="B72" i="19"/>
  <c r="C72" i="19"/>
  <c r="D72" i="19"/>
  <c r="E72" i="19"/>
  <c r="F72" i="19"/>
  <c r="G72" i="19"/>
  <c r="H72" i="19"/>
  <c r="I72" i="19"/>
  <c r="J72" i="19"/>
  <c r="K72" i="19"/>
  <c r="M72" i="19"/>
  <c r="N72" i="19"/>
  <c r="O72" i="19"/>
  <c r="Q72" i="19"/>
  <c r="A73" i="19"/>
  <c r="B73" i="19"/>
  <c r="C73" i="19"/>
  <c r="D73" i="19"/>
  <c r="E73" i="19"/>
  <c r="F73" i="19"/>
  <c r="G73" i="19"/>
  <c r="H73" i="19"/>
  <c r="I73" i="19"/>
  <c r="J73" i="19"/>
  <c r="K73" i="19"/>
  <c r="M73" i="19"/>
  <c r="N73" i="19"/>
  <c r="O73" i="19"/>
  <c r="Q73" i="19"/>
  <c r="A74" i="19"/>
  <c r="B74" i="19"/>
  <c r="C74" i="19"/>
  <c r="D74" i="19"/>
  <c r="E74" i="19"/>
  <c r="F74" i="19"/>
  <c r="G74" i="19"/>
  <c r="H74" i="19"/>
  <c r="I74" i="19"/>
  <c r="J74" i="19"/>
  <c r="K74" i="19"/>
  <c r="M74" i="19"/>
  <c r="N74" i="19"/>
  <c r="O74" i="19"/>
  <c r="Q74" i="19"/>
  <c r="A75" i="19"/>
  <c r="B75" i="19"/>
  <c r="C75" i="19"/>
  <c r="D75" i="19"/>
  <c r="E75" i="19"/>
  <c r="F75" i="19"/>
  <c r="G75" i="19"/>
  <c r="H75" i="19"/>
  <c r="I75" i="19"/>
  <c r="J75" i="19"/>
  <c r="K75" i="19"/>
  <c r="M75" i="19"/>
  <c r="N75" i="19"/>
  <c r="O75" i="19"/>
  <c r="Q75" i="19"/>
  <c r="A76" i="19"/>
  <c r="B76" i="19"/>
  <c r="C76" i="19"/>
  <c r="D76" i="19"/>
  <c r="E76" i="19"/>
  <c r="F76" i="19"/>
  <c r="G76" i="19"/>
  <c r="H76" i="19"/>
  <c r="I76" i="19"/>
  <c r="J76" i="19"/>
  <c r="K76" i="19"/>
  <c r="M76" i="19"/>
  <c r="N76" i="19"/>
  <c r="O76" i="19"/>
  <c r="Q76" i="19"/>
  <c r="A77" i="19"/>
  <c r="B77" i="19"/>
  <c r="C77" i="19"/>
  <c r="D77" i="19"/>
  <c r="E77" i="19"/>
  <c r="F77" i="19"/>
  <c r="G77" i="19"/>
  <c r="H77" i="19"/>
  <c r="I77" i="19"/>
  <c r="J77" i="19"/>
  <c r="K77" i="19"/>
  <c r="M77" i="19"/>
  <c r="N77" i="19"/>
  <c r="O77" i="19"/>
  <c r="Q77" i="19"/>
  <c r="A78" i="19"/>
  <c r="B78" i="19"/>
  <c r="C78" i="19"/>
  <c r="D78" i="19"/>
  <c r="E78" i="19"/>
  <c r="F78" i="19"/>
  <c r="G78" i="19"/>
  <c r="H78" i="19"/>
  <c r="I78" i="19"/>
  <c r="J78" i="19"/>
  <c r="K78" i="19"/>
  <c r="M78" i="19"/>
  <c r="N78" i="19"/>
  <c r="O78" i="19"/>
  <c r="Q78" i="19"/>
  <c r="A79" i="19"/>
  <c r="B79" i="19"/>
  <c r="C79" i="19"/>
  <c r="D79" i="19"/>
  <c r="E79" i="19"/>
  <c r="F79" i="19"/>
  <c r="G79" i="19"/>
  <c r="H79" i="19"/>
  <c r="I79" i="19"/>
  <c r="J79" i="19"/>
  <c r="K79" i="19"/>
  <c r="M79" i="19"/>
  <c r="N79" i="19"/>
  <c r="O79" i="19"/>
  <c r="Q79" i="19"/>
  <c r="A80" i="19"/>
  <c r="B80" i="19"/>
  <c r="C80" i="19"/>
  <c r="D80" i="19"/>
  <c r="E80" i="19"/>
  <c r="F80" i="19"/>
  <c r="G80" i="19"/>
  <c r="H80" i="19"/>
  <c r="I80" i="19"/>
  <c r="J80" i="19"/>
  <c r="K80" i="19"/>
  <c r="M80" i="19"/>
  <c r="N80" i="19"/>
  <c r="O80" i="19"/>
  <c r="Q80" i="19"/>
  <c r="A81" i="19"/>
  <c r="B81" i="19"/>
  <c r="C81" i="19"/>
  <c r="D81" i="19"/>
  <c r="E81" i="19"/>
  <c r="F81" i="19"/>
  <c r="G81" i="19"/>
  <c r="H81" i="19"/>
  <c r="I81" i="19"/>
  <c r="J81" i="19"/>
  <c r="K81" i="19"/>
  <c r="M81" i="19"/>
  <c r="N81" i="19"/>
  <c r="O81" i="19"/>
  <c r="Q81" i="19"/>
  <c r="A82" i="19"/>
  <c r="B82" i="19"/>
  <c r="C82" i="19"/>
  <c r="D82" i="19"/>
  <c r="E82" i="19"/>
  <c r="F82" i="19"/>
  <c r="G82" i="19"/>
  <c r="H82" i="19"/>
  <c r="I82" i="19"/>
  <c r="J82" i="19"/>
  <c r="K82" i="19"/>
  <c r="M82" i="19"/>
  <c r="N82" i="19"/>
  <c r="O82" i="19"/>
  <c r="Q82" i="19"/>
  <c r="A83" i="19"/>
  <c r="B83" i="19"/>
  <c r="C83" i="19"/>
  <c r="D83" i="19"/>
  <c r="E83" i="19"/>
  <c r="F83" i="19"/>
  <c r="G83" i="19"/>
  <c r="H83" i="19"/>
  <c r="I83" i="19"/>
  <c r="J83" i="19"/>
  <c r="K83" i="19"/>
  <c r="M83" i="19"/>
  <c r="N83" i="19"/>
  <c r="O83" i="19"/>
  <c r="Q83" i="19"/>
  <c r="A84" i="19"/>
  <c r="B84" i="19"/>
  <c r="C84" i="19"/>
  <c r="D84" i="19"/>
  <c r="E84" i="19"/>
  <c r="F84" i="19"/>
  <c r="G84" i="19"/>
  <c r="H84" i="19"/>
  <c r="I84" i="19"/>
  <c r="J84" i="19"/>
  <c r="K84" i="19"/>
  <c r="M84" i="19"/>
  <c r="N84" i="19"/>
  <c r="O84" i="19"/>
  <c r="Q84" i="19"/>
  <c r="A85" i="19"/>
  <c r="B85" i="19"/>
  <c r="C85" i="19"/>
  <c r="D85" i="19"/>
  <c r="E85" i="19"/>
  <c r="F85" i="19"/>
  <c r="G85" i="19"/>
  <c r="H85" i="19"/>
  <c r="I85" i="19"/>
  <c r="J85" i="19"/>
  <c r="K85" i="19"/>
  <c r="M85" i="19"/>
  <c r="N85" i="19"/>
  <c r="O85" i="19"/>
  <c r="Q85" i="19"/>
  <c r="A86" i="19"/>
  <c r="B86" i="19"/>
  <c r="C86" i="19"/>
  <c r="D86" i="19"/>
  <c r="E86" i="19"/>
  <c r="F86" i="19"/>
  <c r="G86" i="19"/>
  <c r="H86" i="19"/>
  <c r="I86" i="19"/>
  <c r="J86" i="19"/>
  <c r="K86" i="19"/>
  <c r="M86" i="19"/>
  <c r="N86" i="19"/>
  <c r="O86" i="19"/>
  <c r="Q86" i="19"/>
  <c r="A87" i="19"/>
  <c r="B87" i="19"/>
  <c r="C87" i="19"/>
  <c r="D87" i="19"/>
  <c r="E87" i="19"/>
  <c r="F87" i="19"/>
  <c r="G87" i="19"/>
  <c r="H87" i="19"/>
  <c r="I87" i="19"/>
  <c r="J87" i="19"/>
  <c r="K87" i="19"/>
  <c r="M87" i="19"/>
  <c r="N87" i="19"/>
  <c r="O87" i="19"/>
  <c r="Q87" i="19"/>
  <c r="A88" i="19"/>
  <c r="B88" i="19"/>
  <c r="C88" i="19"/>
  <c r="D88" i="19"/>
  <c r="E88" i="19"/>
  <c r="F88" i="19"/>
  <c r="G88" i="19"/>
  <c r="H88" i="19"/>
  <c r="I88" i="19"/>
  <c r="J88" i="19"/>
  <c r="K88" i="19"/>
  <c r="M88" i="19"/>
  <c r="N88" i="19"/>
  <c r="O88" i="19"/>
  <c r="Q88" i="19"/>
  <c r="A89" i="19"/>
  <c r="B89" i="19"/>
  <c r="C89" i="19"/>
  <c r="D89" i="19"/>
  <c r="E89" i="19"/>
  <c r="F89" i="19"/>
  <c r="G89" i="19"/>
  <c r="H89" i="19"/>
  <c r="I89" i="19"/>
  <c r="J89" i="19"/>
  <c r="K89" i="19"/>
  <c r="M89" i="19"/>
  <c r="N89" i="19"/>
  <c r="O89" i="19"/>
  <c r="Q89" i="19"/>
  <c r="A90" i="19"/>
  <c r="B90" i="19"/>
  <c r="C90" i="19"/>
  <c r="D90" i="19"/>
  <c r="E90" i="19"/>
  <c r="F90" i="19"/>
  <c r="G90" i="19"/>
  <c r="H90" i="19"/>
  <c r="I90" i="19"/>
  <c r="J90" i="19"/>
  <c r="K90" i="19"/>
  <c r="M90" i="19"/>
  <c r="N90" i="19"/>
  <c r="O90" i="19"/>
  <c r="Q90" i="19"/>
  <c r="A91" i="19"/>
  <c r="B91" i="19"/>
  <c r="C91" i="19"/>
  <c r="D91" i="19"/>
  <c r="E91" i="19"/>
  <c r="F91" i="19"/>
  <c r="G91" i="19"/>
  <c r="H91" i="19"/>
  <c r="I91" i="19"/>
  <c r="J91" i="19"/>
  <c r="K91" i="19"/>
  <c r="M91" i="19"/>
  <c r="N91" i="19"/>
  <c r="O91" i="19"/>
  <c r="Q91" i="19"/>
  <c r="A92" i="19"/>
  <c r="B92" i="19"/>
  <c r="C92" i="19"/>
  <c r="D92" i="19"/>
  <c r="E92" i="19"/>
  <c r="F92" i="19"/>
  <c r="G92" i="19"/>
  <c r="H92" i="19"/>
  <c r="I92" i="19"/>
  <c r="J92" i="19"/>
  <c r="K92" i="19"/>
  <c r="M92" i="19"/>
  <c r="N92" i="19"/>
  <c r="O92" i="19"/>
  <c r="Q92" i="19"/>
  <c r="A93" i="19"/>
  <c r="B93" i="19"/>
  <c r="C93" i="19"/>
  <c r="D93" i="19"/>
  <c r="E93" i="19"/>
  <c r="F93" i="19"/>
  <c r="G93" i="19"/>
  <c r="H93" i="19"/>
  <c r="I93" i="19"/>
  <c r="J93" i="19"/>
  <c r="K93" i="19"/>
  <c r="M93" i="19"/>
  <c r="N93" i="19"/>
  <c r="O93" i="19"/>
  <c r="Q93" i="19"/>
  <c r="A94" i="19"/>
  <c r="B94" i="19"/>
  <c r="C94" i="19"/>
  <c r="D94" i="19"/>
  <c r="E94" i="19"/>
  <c r="F94" i="19"/>
  <c r="G94" i="19"/>
  <c r="H94" i="19"/>
  <c r="I94" i="19"/>
  <c r="J94" i="19"/>
  <c r="K94" i="19"/>
  <c r="M94" i="19"/>
  <c r="N94" i="19"/>
  <c r="O94" i="19"/>
  <c r="Q94" i="19"/>
  <c r="A95" i="19"/>
  <c r="B95" i="19"/>
  <c r="C95" i="19"/>
  <c r="D95" i="19"/>
  <c r="E95" i="19"/>
  <c r="F95" i="19"/>
  <c r="G95" i="19"/>
  <c r="H95" i="19"/>
  <c r="I95" i="19"/>
  <c r="J95" i="19"/>
  <c r="K95" i="19"/>
  <c r="M95" i="19"/>
  <c r="N95" i="19"/>
  <c r="O95" i="19"/>
  <c r="Q95" i="19"/>
  <c r="A96" i="19"/>
  <c r="B96" i="19"/>
  <c r="C96" i="19"/>
  <c r="D96" i="19"/>
  <c r="E96" i="19"/>
  <c r="F96" i="19"/>
  <c r="G96" i="19"/>
  <c r="H96" i="19"/>
  <c r="I96" i="19"/>
  <c r="J96" i="19"/>
  <c r="K96" i="19"/>
  <c r="M96" i="19"/>
  <c r="N96" i="19"/>
  <c r="O96" i="19"/>
  <c r="Q96" i="19"/>
  <c r="A97" i="19"/>
  <c r="B97" i="19"/>
  <c r="C97" i="19"/>
  <c r="D97" i="19"/>
  <c r="E97" i="19"/>
  <c r="F97" i="19"/>
  <c r="G97" i="19"/>
  <c r="H97" i="19"/>
  <c r="I97" i="19"/>
  <c r="J97" i="19"/>
  <c r="K97" i="19"/>
  <c r="M97" i="19"/>
  <c r="N97" i="19"/>
  <c r="O97" i="19"/>
  <c r="Q97" i="19"/>
  <c r="A98" i="19"/>
  <c r="B98" i="19"/>
  <c r="C98" i="19"/>
  <c r="D98" i="19"/>
  <c r="E98" i="19"/>
  <c r="F98" i="19"/>
  <c r="G98" i="19"/>
  <c r="H98" i="19"/>
  <c r="I98" i="19"/>
  <c r="J98" i="19"/>
  <c r="K98" i="19"/>
  <c r="M98" i="19"/>
  <c r="N98" i="19"/>
  <c r="O98" i="19"/>
  <c r="Q98" i="19"/>
  <c r="A99" i="19"/>
  <c r="B99" i="19"/>
  <c r="C99" i="19"/>
  <c r="D99" i="19"/>
  <c r="E99" i="19"/>
  <c r="F99" i="19"/>
  <c r="G99" i="19"/>
  <c r="H99" i="19"/>
  <c r="I99" i="19"/>
  <c r="J99" i="19"/>
  <c r="K99" i="19"/>
  <c r="M99" i="19"/>
  <c r="N99" i="19"/>
  <c r="O99" i="19"/>
  <c r="Q99" i="19"/>
  <c r="A100" i="19"/>
  <c r="B100" i="19"/>
  <c r="C100" i="19"/>
  <c r="D100" i="19"/>
  <c r="E100" i="19"/>
  <c r="F100" i="19"/>
  <c r="G100" i="19"/>
  <c r="H100" i="19"/>
  <c r="I100" i="19"/>
  <c r="J100" i="19"/>
  <c r="K100" i="19"/>
  <c r="M100" i="19"/>
  <c r="N100" i="19"/>
  <c r="O100" i="19"/>
  <c r="Q100" i="19"/>
  <c r="A101" i="19"/>
  <c r="B101" i="19"/>
  <c r="C101" i="19"/>
  <c r="D101" i="19"/>
  <c r="E101" i="19"/>
  <c r="F101" i="19"/>
  <c r="G101" i="19"/>
  <c r="H101" i="19"/>
  <c r="I101" i="19"/>
  <c r="J101" i="19"/>
  <c r="K101" i="19"/>
  <c r="M101" i="19"/>
  <c r="N101" i="19"/>
  <c r="O101" i="19"/>
  <c r="Q101" i="19"/>
  <c r="A102" i="19"/>
  <c r="B102" i="19"/>
  <c r="C102" i="19"/>
  <c r="D102" i="19"/>
  <c r="E102" i="19"/>
  <c r="F102" i="19"/>
  <c r="G102" i="19"/>
  <c r="H102" i="19"/>
  <c r="I102" i="19"/>
  <c r="J102" i="19"/>
  <c r="K102" i="19"/>
  <c r="M102" i="19"/>
  <c r="N102" i="19"/>
  <c r="O102" i="19"/>
  <c r="Q102" i="19"/>
  <c r="A103" i="19"/>
  <c r="B103" i="19"/>
  <c r="C103" i="19"/>
  <c r="D103" i="19"/>
  <c r="E103" i="19"/>
  <c r="F103" i="19"/>
  <c r="G103" i="19"/>
  <c r="H103" i="19"/>
  <c r="I103" i="19"/>
  <c r="J103" i="19"/>
  <c r="K103" i="19"/>
  <c r="M103" i="19"/>
  <c r="N103" i="19"/>
  <c r="O103" i="19"/>
  <c r="Q103" i="19"/>
  <c r="A104" i="19"/>
  <c r="B104" i="19"/>
  <c r="C104" i="19"/>
  <c r="D104" i="19"/>
  <c r="E104" i="19"/>
  <c r="F104" i="19"/>
  <c r="G104" i="19"/>
  <c r="H104" i="19"/>
  <c r="I104" i="19"/>
  <c r="J104" i="19"/>
  <c r="K104" i="19"/>
  <c r="M104" i="19"/>
  <c r="N104" i="19"/>
  <c r="O104" i="19"/>
  <c r="Q104" i="19"/>
  <c r="A105" i="19"/>
  <c r="B105" i="19"/>
  <c r="C105" i="19"/>
  <c r="D105" i="19"/>
  <c r="E105" i="19"/>
  <c r="F105" i="19"/>
  <c r="G105" i="19"/>
  <c r="H105" i="19"/>
  <c r="I105" i="19"/>
  <c r="J105" i="19"/>
  <c r="K105" i="19"/>
  <c r="M105" i="19"/>
  <c r="N105" i="19"/>
  <c r="O105" i="19"/>
  <c r="Q105" i="19"/>
  <c r="A106" i="19"/>
  <c r="B106" i="19"/>
  <c r="C106" i="19"/>
  <c r="D106" i="19"/>
  <c r="E106" i="19"/>
  <c r="F106" i="19"/>
  <c r="G106" i="19"/>
  <c r="H106" i="19"/>
  <c r="I106" i="19"/>
  <c r="J106" i="19"/>
  <c r="K106" i="19"/>
  <c r="M106" i="19"/>
  <c r="N106" i="19"/>
  <c r="O106" i="19"/>
  <c r="Q106" i="19"/>
  <c r="A107" i="19"/>
  <c r="B107" i="19"/>
  <c r="C107" i="19"/>
  <c r="D107" i="19"/>
  <c r="E107" i="19"/>
  <c r="F107" i="19"/>
  <c r="G107" i="19"/>
  <c r="H107" i="19"/>
  <c r="I107" i="19"/>
  <c r="J107" i="19"/>
  <c r="K107" i="19"/>
  <c r="M107" i="19"/>
  <c r="N107" i="19"/>
  <c r="O107" i="19"/>
  <c r="Q107" i="19"/>
  <c r="A108" i="19"/>
  <c r="B108" i="19"/>
  <c r="C108" i="19"/>
  <c r="D108" i="19"/>
  <c r="E108" i="19"/>
  <c r="F108" i="19"/>
  <c r="G108" i="19"/>
  <c r="H108" i="19"/>
  <c r="I108" i="19"/>
  <c r="J108" i="19"/>
  <c r="K108" i="19"/>
  <c r="M108" i="19"/>
  <c r="N108" i="19"/>
  <c r="O108" i="19"/>
  <c r="Q108" i="19"/>
  <c r="A109" i="19"/>
  <c r="B109" i="19"/>
  <c r="C109" i="19"/>
  <c r="D109" i="19"/>
  <c r="E109" i="19"/>
  <c r="F109" i="19"/>
  <c r="G109" i="19"/>
  <c r="H109" i="19"/>
  <c r="I109" i="19"/>
  <c r="J109" i="19"/>
  <c r="K109" i="19"/>
  <c r="M109" i="19"/>
  <c r="N109" i="19"/>
  <c r="O109" i="19"/>
  <c r="Q109" i="19"/>
  <c r="A110" i="19"/>
  <c r="B110" i="19"/>
  <c r="C110" i="19"/>
  <c r="D110" i="19"/>
  <c r="E110" i="19"/>
  <c r="F110" i="19"/>
  <c r="G110" i="19"/>
  <c r="H110" i="19"/>
  <c r="I110" i="19"/>
  <c r="J110" i="19"/>
  <c r="K110" i="19"/>
  <c r="M110" i="19"/>
  <c r="N110" i="19"/>
  <c r="O110" i="19"/>
  <c r="Q110" i="19"/>
  <c r="A111" i="19"/>
  <c r="B111" i="19"/>
  <c r="C111" i="19"/>
  <c r="D111" i="19"/>
  <c r="E111" i="19"/>
  <c r="F111" i="19"/>
  <c r="G111" i="19"/>
  <c r="H111" i="19"/>
  <c r="I111" i="19"/>
  <c r="J111" i="19"/>
  <c r="K111" i="19"/>
  <c r="M111" i="19"/>
  <c r="N111" i="19"/>
  <c r="O111" i="19"/>
  <c r="Q111" i="19"/>
  <c r="A112" i="19"/>
  <c r="B112" i="19"/>
  <c r="C112" i="19"/>
  <c r="D112" i="19"/>
  <c r="E112" i="19"/>
  <c r="F112" i="19"/>
  <c r="G112" i="19"/>
  <c r="H112" i="19"/>
  <c r="I112" i="19"/>
  <c r="J112" i="19"/>
  <c r="K112" i="19"/>
  <c r="M112" i="19"/>
  <c r="N112" i="19"/>
  <c r="O112" i="19"/>
  <c r="Q112" i="19"/>
  <c r="A113" i="19"/>
  <c r="B113" i="19"/>
  <c r="D113" i="19"/>
  <c r="E113" i="19"/>
  <c r="F113" i="19"/>
  <c r="G113" i="19"/>
  <c r="H113" i="19"/>
  <c r="I113" i="19"/>
  <c r="J113" i="19"/>
  <c r="K113" i="19"/>
  <c r="M113" i="19"/>
  <c r="N113" i="19"/>
  <c r="O113" i="19"/>
  <c r="Q113" i="19"/>
  <c r="A114" i="19"/>
  <c r="B114" i="19"/>
  <c r="C114" i="19"/>
  <c r="D114" i="19"/>
  <c r="E114" i="19"/>
  <c r="F114" i="19"/>
  <c r="G114" i="19"/>
  <c r="H114" i="19"/>
  <c r="I114" i="19"/>
  <c r="J114" i="19"/>
  <c r="K114" i="19"/>
  <c r="M114" i="19"/>
  <c r="N114" i="19"/>
  <c r="O114" i="19"/>
  <c r="Q114" i="19"/>
  <c r="A115" i="19"/>
  <c r="B115" i="19"/>
  <c r="C115" i="19"/>
  <c r="D115" i="19"/>
  <c r="E115" i="19"/>
  <c r="F115" i="19"/>
  <c r="G115" i="19"/>
  <c r="H115" i="19"/>
  <c r="I115" i="19"/>
  <c r="J115" i="19"/>
  <c r="K115" i="19"/>
  <c r="M115" i="19"/>
  <c r="N115" i="19"/>
  <c r="O115" i="19"/>
  <c r="Q115" i="19"/>
  <c r="A116" i="19"/>
  <c r="B116" i="19"/>
  <c r="C116" i="19"/>
  <c r="D116" i="19"/>
  <c r="E116" i="19"/>
  <c r="F116" i="19"/>
  <c r="G116" i="19"/>
  <c r="H116" i="19"/>
  <c r="I116" i="19"/>
  <c r="J116" i="19"/>
  <c r="K116" i="19"/>
  <c r="M116" i="19"/>
  <c r="N116" i="19"/>
  <c r="O116" i="19"/>
  <c r="Q116" i="19"/>
  <c r="A117" i="19"/>
  <c r="B117" i="19"/>
  <c r="C117" i="19"/>
  <c r="D117" i="19"/>
  <c r="E117" i="19"/>
  <c r="F117" i="19"/>
  <c r="G117" i="19"/>
  <c r="H117" i="19"/>
  <c r="I117" i="19"/>
  <c r="J117" i="19"/>
  <c r="K117" i="19"/>
  <c r="M117" i="19"/>
  <c r="N117" i="19"/>
  <c r="O117" i="19"/>
  <c r="Q117" i="19"/>
  <c r="A118" i="19"/>
  <c r="B118" i="19"/>
  <c r="C118" i="19"/>
  <c r="D118" i="19"/>
  <c r="E118" i="19"/>
  <c r="F118" i="19"/>
  <c r="G118" i="19"/>
  <c r="H118" i="19"/>
  <c r="I118" i="19"/>
  <c r="J118" i="19"/>
  <c r="K118" i="19"/>
  <c r="M118" i="19"/>
  <c r="N118" i="19"/>
  <c r="O118" i="19"/>
  <c r="Q118" i="19"/>
  <c r="A119" i="19"/>
  <c r="B119" i="19"/>
  <c r="C119" i="19"/>
  <c r="D119" i="19"/>
  <c r="E119" i="19"/>
  <c r="F119" i="19"/>
  <c r="G119" i="19"/>
  <c r="H119" i="19"/>
  <c r="I119" i="19"/>
  <c r="J119" i="19"/>
  <c r="K119" i="19"/>
  <c r="M119" i="19"/>
  <c r="N119" i="19"/>
  <c r="O119" i="19"/>
  <c r="Q119" i="19"/>
  <c r="A120" i="19"/>
  <c r="B120" i="19"/>
  <c r="C120" i="19"/>
  <c r="E120" i="19"/>
  <c r="F120" i="19"/>
  <c r="G120" i="19"/>
  <c r="H120" i="19"/>
  <c r="I120" i="19"/>
  <c r="J120" i="19"/>
  <c r="K120" i="19"/>
  <c r="M120" i="19"/>
  <c r="N120" i="19"/>
  <c r="O120" i="19"/>
  <c r="Q120" i="19"/>
  <c r="A121" i="19"/>
  <c r="B121" i="19"/>
  <c r="C121" i="19"/>
  <c r="D121" i="19"/>
  <c r="E121" i="19"/>
  <c r="F121" i="19"/>
  <c r="G121" i="19"/>
  <c r="H121" i="19"/>
  <c r="I121" i="19"/>
  <c r="J121" i="19"/>
  <c r="K121" i="19"/>
  <c r="M121" i="19"/>
  <c r="N121" i="19"/>
  <c r="O121" i="19"/>
  <c r="Q121" i="19"/>
  <c r="A122" i="19"/>
  <c r="B122" i="19"/>
  <c r="C122" i="19"/>
  <c r="D122" i="19"/>
  <c r="E122" i="19"/>
  <c r="F122" i="19"/>
  <c r="G122" i="19"/>
  <c r="H122" i="19"/>
  <c r="I122" i="19"/>
  <c r="J122" i="19"/>
  <c r="K122" i="19"/>
  <c r="M122" i="19"/>
  <c r="N122" i="19"/>
  <c r="O122" i="19"/>
  <c r="Q122" i="19"/>
  <c r="A123" i="19"/>
  <c r="B123" i="19"/>
  <c r="C123" i="19"/>
  <c r="D123" i="19"/>
  <c r="E123" i="19"/>
  <c r="F123" i="19"/>
  <c r="G123" i="19"/>
  <c r="H123" i="19"/>
  <c r="I123" i="19"/>
  <c r="J123" i="19"/>
  <c r="K123" i="19"/>
  <c r="M123" i="19"/>
  <c r="N123" i="19"/>
  <c r="O123" i="19"/>
  <c r="Q123" i="19"/>
  <c r="A124" i="19"/>
  <c r="B124" i="19"/>
  <c r="C124" i="19"/>
  <c r="D124" i="19"/>
  <c r="E124" i="19"/>
  <c r="F124" i="19"/>
  <c r="G124" i="19"/>
  <c r="H124" i="19"/>
  <c r="I124" i="19"/>
  <c r="J124" i="19"/>
  <c r="K124" i="19"/>
  <c r="M124" i="19"/>
  <c r="N124" i="19"/>
  <c r="O124" i="19"/>
  <c r="Q124" i="19"/>
  <c r="A125" i="19"/>
  <c r="B125" i="19"/>
  <c r="C125" i="19"/>
  <c r="D125" i="19"/>
  <c r="E125" i="19"/>
  <c r="F125" i="19"/>
  <c r="G125" i="19"/>
  <c r="H125" i="19"/>
  <c r="I125" i="19"/>
  <c r="J125" i="19"/>
  <c r="K125" i="19"/>
  <c r="M125" i="19"/>
  <c r="N125" i="19"/>
  <c r="O125" i="19"/>
  <c r="Q125" i="19"/>
  <c r="A126" i="19"/>
  <c r="B126" i="19"/>
  <c r="C126" i="19"/>
  <c r="D126" i="19"/>
  <c r="E126" i="19"/>
  <c r="F126" i="19"/>
  <c r="G126" i="19"/>
  <c r="H126" i="19"/>
  <c r="I126" i="19"/>
  <c r="J126" i="19"/>
  <c r="K126" i="19"/>
  <c r="M126" i="19"/>
  <c r="N126" i="19"/>
  <c r="O126" i="19"/>
  <c r="Q126" i="19"/>
  <c r="A127" i="19"/>
  <c r="B127" i="19"/>
  <c r="C127" i="19"/>
  <c r="D127" i="19"/>
  <c r="E127" i="19"/>
  <c r="F127" i="19"/>
  <c r="G127" i="19"/>
  <c r="H127" i="19"/>
  <c r="I127" i="19"/>
  <c r="J127" i="19"/>
  <c r="K127" i="19"/>
  <c r="M127" i="19"/>
  <c r="N127" i="19"/>
  <c r="O127" i="19"/>
  <c r="Q127" i="19"/>
  <c r="A128" i="19"/>
  <c r="B128" i="19"/>
  <c r="C128" i="19"/>
  <c r="D128" i="19"/>
  <c r="E128" i="19"/>
  <c r="F128" i="19"/>
  <c r="G128" i="19"/>
  <c r="H128" i="19"/>
  <c r="I128" i="19"/>
  <c r="J128" i="19"/>
  <c r="K128" i="19"/>
  <c r="M128" i="19"/>
  <c r="N128" i="19"/>
  <c r="O128" i="19"/>
  <c r="Q128" i="19"/>
  <c r="A129" i="19"/>
  <c r="B129" i="19"/>
  <c r="C129" i="19"/>
  <c r="D129" i="19"/>
  <c r="E129" i="19"/>
  <c r="F129" i="19"/>
  <c r="G129" i="19"/>
  <c r="H129" i="19"/>
  <c r="I129" i="19"/>
  <c r="J129" i="19"/>
  <c r="K129" i="19"/>
  <c r="M129" i="19"/>
  <c r="N129" i="19"/>
  <c r="O129" i="19"/>
  <c r="Q129" i="19"/>
  <c r="A130" i="19"/>
  <c r="B130" i="19"/>
  <c r="C130" i="19"/>
  <c r="D130" i="19"/>
  <c r="E130" i="19"/>
  <c r="F130" i="19"/>
  <c r="G130" i="19"/>
  <c r="H130" i="19"/>
  <c r="I130" i="19"/>
  <c r="J130" i="19"/>
  <c r="K130" i="19"/>
  <c r="M130" i="19"/>
  <c r="N130" i="19"/>
  <c r="O130" i="19"/>
  <c r="Q130" i="19"/>
  <c r="A131" i="19"/>
  <c r="B131" i="19"/>
  <c r="C131" i="19"/>
  <c r="D131" i="19"/>
  <c r="E131" i="19"/>
  <c r="F131" i="19"/>
  <c r="G131" i="19"/>
  <c r="H131" i="19"/>
  <c r="I131" i="19"/>
  <c r="J131" i="19"/>
  <c r="K131" i="19"/>
  <c r="M131" i="19"/>
  <c r="N131" i="19"/>
  <c r="O131" i="19"/>
  <c r="Q131" i="19"/>
  <c r="A132" i="19"/>
  <c r="B132" i="19"/>
  <c r="C132" i="19"/>
  <c r="D132" i="19"/>
  <c r="E132" i="19"/>
  <c r="F132" i="19"/>
  <c r="G132" i="19"/>
  <c r="H132" i="19"/>
  <c r="I132" i="19"/>
  <c r="J132" i="19"/>
  <c r="K132" i="19"/>
  <c r="M132" i="19"/>
  <c r="N132" i="19"/>
  <c r="O132" i="19"/>
  <c r="Q132" i="19"/>
  <c r="A133" i="19"/>
  <c r="B133" i="19"/>
  <c r="C133" i="19"/>
  <c r="D133" i="19"/>
  <c r="E133" i="19"/>
  <c r="F133" i="19"/>
  <c r="G133" i="19"/>
  <c r="H133" i="19"/>
  <c r="I133" i="19"/>
  <c r="J133" i="19"/>
  <c r="K133" i="19"/>
  <c r="M133" i="19"/>
  <c r="N133" i="19"/>
  <c r="O133" i="19"/>
  <c r="Q133" i="19"/>
  <c r="A134" i="19"/>
  <c r="B134" i="19"/>
  <c r="C134" i="19"/>
  <c r="D134" i="19"/>
  <c r="E134" i="19"/>
  <c r="F134" i="19"/>
  <c r="G134" i="19"/>
  <c r="H134" i="19"/>
  <c r="I134" i="19"/>
  <c r="J134" i="19"/>
  <c r="K134" i="19"/>
  <c r="M134" i="19"/>
  <c r="N134" i="19"/>
  <c r="O134" i="19"/>
  <c r="Q134" i="19"/>
  <c r="A135" i="19"/>
  <c r="B135" i="19"/>
  <c r="C135" i="19"/>
  <c r="D135" i="19"/>
  <c r="E135" i="19"/>
  <c r="F135" i="19"/>
  <c r="G135" i="19"/>
  <c r="H135" i="19"/>
  <c r="I135" i="19"/>
  <c r="J135" i="19"/>
  <c r="K135" i="19"/>
  <c r="M135" i="19"/>
  <c r="N135" i="19"/>
  <c r="O135" i="19"/>
  <c r="Q135" i="19"/>
  <c r="A136" i="19"/>
  <c r="B136" i="19"/>
  <c r="C136" i="19"/>
  <c r="D136" i="19"/>
  <c r="E136" i="19"/>
  <c r="F136" i="19"/>
  <c r="G136" i="19"/>
  <c r="H136" i="19"/>
  <c r="I136" i="19"/>
  <c r="J136" i="19"/>
  <c r="K136" i="19"/>
  <c r="M136" i="19"/>
  <c r="N136" i="19"/>
  <c r="O136" i="19"/>
  <c r="Q136" i="19"/>
  <c r="A137" i="19"/>
  <c r="B137" i="19"/>
  <c r="C137" i="19"/>
  <c r="E137" i="19"/>
  <c r="F137" i="19"/>
  <c r="G137" i="19"/>
  <c r="H137" i="19"/>
  <c r="I137" i="19"/>
  <c r="J137" i="19"/>
  <c r="K137" i="19"/>
  <c r="M137" i="19"/>
  <c r="N137" i="19"/>
  <c r="O137" i="19"/>
  <c r="Q137" i="19"/>
  <c r="A138" i="19"/>
  <c r="B138" i="19"/>
  <c r="C138" i="19"/>
  <c r="D138" i="19"/>
  <c r="E138" i="19"/>
  <c r="F138" i="19"/>
  <c r="G138" i="19"/>
  <c r="H138" i="19"/>
  <c r="I138" i="19"/>
  <c r="J138" i="19"/>
  <c r="K138" i="19"/>
  <c r="M138" i="19"/>
  <c r="N138" i="19"/>
  <c r="O138" i="19"/>
  <c r="Q138" i="19"/>
  <c r="A139" i="19"/>
  <c r="B139" i="19"/>
  <c r="C139" i="19"/>
  <c r="D139" i="19"/>
  <c r="E139" i="19"/>
  <c r="F139" i="19"/>
  <c r="G139" i="19"/>
  <c r="H139" i="19"/>
  <c r="I139" i="19"/>
  <c r="J139" i="19"/>
  <c r="K139" i="19"/>
  <c r="M139" i="19"/>
  <c r="N139" i="19"/>
  <c r="O139" i="19"/>
  <c r="Q139" i="19"/>
  <c r="A140" i="19"/>
  <c r="B140" i="19"/>
  <c r="C140" i="19"/>
  <c r="D140" i="19"/>
  <c r="E140" i="19"/>
  <c r="F140" i="19"/>
  <c r="G140" i="19"/>
  <c r="H140" i="19"/>
  <c r="I140" i="19"/>
  <c r="J140" i="19"/>
  <c r="K140" i="19"/>
  <c r="M140" i="19"/>
  <c r="N140" i="19"/>
  <c r="O140" i="19"/>
  <c r="Q140" i="19"/>
  <c r="A141" i="19"/>
  <c r="B141" i="19"/>
  <c r="C141" i="19"/>
  <c r="D141" i="19"/>
  <c r="E141" i="19"/>
  <c r="F141" i="19"/>
  <c r="G141" i="19"/>
  <c r="H141" i="19"/>
  <c r="I141" i="19"/>
  <c r="J141" i="19"/>
  <c r="K141" i="19"/>
  <c r="M141" i="19"/>
  <c r="N141" i="19"/>
  <c r="O141" i="19"/>
  <c r="Q141" i="19"/>
  <c r="A142" i="19"/>
  <c r="B142" i="19"/>
  <c r="C142" i="19"/>
  <c r="D142" i="19"/>
  <c r="E142" i="19"/>
  <c r="F142" i="19"/>
  <c r="G142" i="19"/>
  <c r="H142" i="19"/>
  <c r="I142" i="19"/>
  <c r="J142" i="19"/>
  <c r="K142" i="19"/>
  <c r="M142" i="19"/>
  <c r="N142" i="19"/>
  <c r="O142" i="19"/>
  <c r="Q142" i="19"/>
  <c r="A143" i="19"/>
  <c r="B143" i="19"/>
  <c r="C143" i="19"/>
  <c r="E143" i="19"/>
  <c r="F143" i="19"/>
  <c r="G143" i="19"/>
  <c r="H143" i="19"/>
  <c r="I143" i="19"/>
  <c r="J143" i="19"/>
  <c r="K143" i="19"/>
  <c r="M143" i="19"/>
  <c r="N143" i="19"/>
  <c r="O143" i="19"/>
  <c r="Q143" i="19"/>
  <c r="A144" i="19"/>
  <c r="B144" i="19"/>
  <c r="C144" i="19"/>
  <c r="D144" i="19"/>
  <c r="E144" i="19"/>
  <c r="F144" i="19"/>
  <c r="G144" i="19"/>
  <c r="H144" i="19"/>
  <c r="I144" i="19"/>
  <c r="J144" i="19"/>
  <c r="K144" i="19"/>
  <c r="M144" i="19"/>
  <c r="N144" i="19"/>
  <c r="O144" i="19"/>
  <c r="Q144" i="19"/>
  <c r="A145" i="19"/>
  <c r="B145" i="19"/>
  <c r="C145" i="19"/>
  <c r="D145" i="19"/>
  <c r="E145" i="19"/>
  <c r="F145" i="19"/>
  <c r="G145" i="19"/>
  <c r="H145" i="19"/>
  <c r="I145" i="19"/>
  <c r="J145" i="19"/>
  <c r="K145" i="19"/>
  <c r="M145" i="19"/>
  <c r="N145" i="19"/>
  <c r="O145" i="19"/>
  <c r="Q145" i="19"/>
  <c r="A146" i="19"/>
  <c r="B146" i="19"/>
  <c r="C146" i="19"/>
  <c r="D146" i="19"/>
  <c r="E146" i="19"/>
  <c r="F146" i="19"/>
  <c r="G146" i="19"/>
  <c r="H146" i="19"/>
  <c r="I146" i="19"/>
  <c r="J146" i="19"/>
  <c r="K146" i="19"/>
  <c r="M146" i="19"/>
  <c r="N146" i="19"/>
  <c r="O146" i="19"/>
  <c r="Q146" i="19"/>
  <c r="A147" i="19"/>
  <c r="B147" i="19"/>
  <c r="C147" i="19"/>
  <c r="D147" i="19"/>
  <c r="E147" i="19"/>
  <c r="F147" i="19"/>
  <c r="G147" i="19"/>
  <c r="H147" i="19"/>
  <c r="I147" i="19"/>
  <c r="J147" i="19"/>
  <c r="K147" i="19"/>
  <c r="M147" i="19"/>
  <c r="N147" i="19"/>
  <c r="O147" i="19"/>
  <c r="Q147" i="19"/>
  <c r="A148" i="19"/>
  <c r="B148" i="19"/>
  <c r="C148" i="19"/>
  <c r="D148" i="19"/>
  <c r="E148" i="19"/>
  <c r="F148" i="19"/>
  <c r="G148" i="19"/>
  <c r="H148" i="19"/>
  <c r="I148" i="19"/>
  <c r="J148" i="19"/>
  <c r="K148" i="19"/>
  <c r="M148" i="19"/>
  <c r="N148" i="19"/>
  <c r="O148" i="19"/>
  <c r="Q148" i="19"/>
  <c r="A149" i="19"/>
  <c r="B149" i="19"/>
  <c r="C149" i="19"/>
  <c r="D149" i="19"/>
  <c r="E149" i="19"/>
  <c r="F149" i="19"/>
  <c r="G149" i="19"/>
  <c r="H149" i="19"/>
  <c r="I149" i="19"/>
  <c r="J149" i="19"/>
  <c r="K149" i="19"/>
  <c r="M149" i="19"/>
  <c r="N149" i="19"/>
  <c r="O149" i="19"/>
  <c r="Q149" i="19"/>
  <c r="A150" i="19"/>
  <c r="B150" i="19"/>
  <c r="C150" i="19"/>
  <c r="D150" i="19"/>
  <c r="E150" i="19"/>
  <c r="F150" i="19"/>
  <c r="G150" i="19"/>
  <c r="H150" i="19"/>
  <c r="I150" i="19"/>
  <c r="J150" i="19"/>
  <c r="K150" i="19"/>
  <c r="M150" i="19"/>
  <c r="N150" i="19"/>
  <c r="O150" i="19"/>
  <c r="Q150" i="19"/>
  <c r="A151" i="19"/>
  <c r="B151" i="19"/>
  <c r="C151" i="19"/>
  <c r="D151" i="19"/>
  <c r="E151" i="19"/>
  <c r="F151" i="19"/>
  <c r="G151" i="19"/>
  <c r="H151" i="19"/>
  <c r="I151" i="19"/>
  <c r="J151" i="19"/>
  <c r="K151" i="19"/>
  <c r="M151" i="19"/>
  <c r="N151" i="19"/>
  <c r="O151" i="19"/>
  <c r="Q151" i="19"/>
  <c r="A152" i="19"/>
  <c r="B152" i="19"/>
  <c r="C152" i="19"/>
  <c r="D152" i="19"/>
  <c r="E152" i="19"/>
  <c r="F152" i="19"/>
  <c r="G152" i="19"/>
  <c r="H152" i="19"/>
  <c r="I152" i="19"/>
  <c r="J152" i="19"/>
  <c r="K152" i="19"/>
  <c r="M152" i="19"/>
  <c r="N152" i="19"/>
  <c r="O152" i="19"/>
  <c r="Q152" i="19"/>
  <c r="A153" i="19"/>
  <c r="B153" i="19"/>
  <c r="C153" i="19"/>
  <c r="D153" i="19"/>
  <c r="E153" i="19"/>
  <c r="F153" i="19"/>
  <c r="G153" i="19"/>
  <c r="H153" i="19"/>
  <c r="I153" i="19"/>
  <c r="J153" i="19"/>
  <c r="K153" i="19"/>
  <c r="M153" i="19"/>
  <c r="N153" i="19"/>
  <c r="O153" i="19"/>
  <c r="Q153" i="19"/>
  <c r="A154" i="19"/>
  <c r="B154" i="19"/>
  <c r="C154" i="19"/>
  <c r="D154" i="19"/>
  <c r="E154" i="19"/>
  <c r="F154" i="19"/>
  <c r="G154" i="19"/>
  <c r="H154" i="19"/>
  <c r="I154" i="19"/>
  <c r="J154" i="19"/>
  <c r="K154" i="19"/>
  <c r="M154" i="19"/>
  <c r="N154" i="19"/>
  <c r="O154" i="19"/>
  <c r="Q154" i="19"/>
  <c r="A155" i="19"/>
  <c r="B155" i="19"/>
  <c r="C155" i="19"/>
  <c r="D155" i="19"/>
  <c r="E155" i="19"/>
  <c r="F155" i="19"/>
  <c r="G155" i="19"/>
  <c r="H155" i="19"/>
  <c r="I155" i="19"/>
  <c r="J155" i="19"/>
  <c r="K155" i="19"/>
  <c r="M155" i="19"/>
  <c r="N155" i="19"/>
  <c r="O155" i="19"/>
  <c r="Q155" i="19"/>
  <c r="A156" i="19"/>
  <c r="B156" i="19"/>
  <c r="C156" i="19"/>
  <c r="D156" i="19"/>
  <c r="E156" i="19"/>
  <c r="F156" i="19"/>
  <c r="G156" i="19"/>
  <c r="H156" i="19"/>
  <c r="I156" i="19"/>
  <c r="J156" i="19"/>
  <c r="K156" i="19"/>
  <c r="M156" i="19"/>
  <c r="N156" i="19"/>
  <c r="O156" i="19"/>
  <c r="Q156" i="19"/>
  <c r="A157" i="19"/>
  <c r="B157" i="19"/>
  <c r="C157" i="19"/>
  <c r="D157" i="19"/>
  <c r="E157" i="19"/>
  <c r="F157" i="19"/>
  <c r="G157" i="19"/>
  <c r="H157" i="19"/>
  <c r="I157" i="19"/>
  <c r="J157" i="19"/>
  <c r="K157" i="19"/>
  <c r="M157" i="19"/>
  <c r="N157" i="19"/>
  <c r="O157" i="19"/>
  <c r="Q157" i="19"/>
  <c r="A158" i="19"/>
  <c r="B158" i="19"/>
  <c r="C158" i="19"/>
  <c r="D158" i="19"/>
  <c r="E158" i="19"/>
  <c r="F158" i="19"/>
  <c r="G158" i="19"/>
  <c r="H158" i="19"/>
  <c r="I158" i="19"/>
  <c r="J158" i="19"/>
  <c r="K158" i="19"/>
  <c r="M158" i="19"/>
  <c r="N158" i="19"/>
  <c r="O158" i="19"/>
  <c r="Q158" i="19"/>
  <c r="A159" i="19"/>
  <c r="B159" i="19"/>
  <c r="C159" i="19"/>
  <c r="D159" i="19"/>
  <c r="E159" i="19"/>
  <c r="F159" i="19"/>
  <c r="G159" i="19"/>
  <c r="H159" i="19"/>
  <c r="I159" i="19"/>
  <c r="J159" i="19"/>
  <c r="K159" i="19"/>
  <c r="M159" i="19"/>
  <c r="N159" i="19"/>
  <c r="O159" i="19"/>
  <c r="Q159" i="19"/>
  <c r="A160" i="19"/>
  <c r="B160" i="19"/>
  <c r="C160" i="19"/>
  <c r="D160" i="19"/>
  <c r="E160" i="19"/>
  <c r="F160" i="19"/>
  <c r="G160" i="19"/>
  <c r="H160" i="19"/>
  <c r="I160" i="19"/>
  <c r="J160" i="19"/>
  <c r="K160" i="19"/>
  <c r="M160" i="19"/>
  <c r="N160" i="19"/>
  <c r="O160" i="19"/>
  <c r="Q160" i="19"/>
  <c r="A161" i="19"/>
  <c r="B161" i="19"/>
  <c r="C161" i="19"/>
  <c r="D161" i="19"/>
  <c r="E161" i="19"/>
  <c r="F161" i="19"/>
  <c r="G161" i="19"/>
  <c r="H161" i="19"/>
  <c r="I161" i="19"/>
  <c r="J161" i="19"/>
  <c r="K161" i="19"/>
  <c r="M161" i="19"/>
  <c r="N161" i="19"/>
  <c r="O161" i="19"/>
  <c r="Q161" i="19"/>
  <c r="A162" i="19"/>
  <c r="B162" i="19"/>
  <c r="C162" i="19"/>
  <c r="D162" i="19"/>
  <c r="E162" i="19"/>
  <c r="F162" i="19"/>
  <c r="G162" i="19"/>
  <c r="H162" i="19"/>
  <c r="I162" i="19"/>
  <c r="J162" i="19"/>
  <c r="K162" i="19"/>
  <c r="M162" i="19"/>
  <c r="N162" i="19"/>
  <c r="O162" i="19"/>
  <c r="Q162" i="19"/>
  <c r="A163" i="19"/>
  <c r="B163" i="19"/>
  <c r="C163" i="19"/>
  <c r="D163" i="19"/>
  <c r="E163" i="19"/>
  <c r="F163" i="19"/>
  <c r="G163" i="19"/>
  <c r="H163" i="19"/>
  <c r="I163" i="19"/>
  <c r="J163" i="19"/>
  <c r="K163" i="19"/>
  <c r="M163" i="19"/>
  <c r="N163" i="19"/>
  <c r="O163" i="19"/>
  <c r="Q163" i="19"/>
  <c r="A164" i="19"/>
  <c r="B164" i="19"/>
  <c r="C164" i="19"/>
  <c r="D164" i="19"/>
  <c r="E164" i="19"/>
  <c r="F164" i="19"/>
  <c r="G164" i="19"/>
  <c r="H164" i="19"/>
  <c r="I164" i="19"/>
  <c r="J164" i="19"/>
  <c r="K164" i="19"/>
  <c r="M164" i="19"/>
  <c r="N164" i="19"/>
  <c r="O164" i="19"/>
  <c r="Q164" i="19"/>
  <c r="A165" i="19"/>
  <c r="B165" i="19"/>
  <c r="C165" i="19"/>
  <c r="D165" i="19"/>
  <c r="E165" i="19"/>
  <c r="F165" i="19"/>
  <c r="G165" i="19"/>
  <c r="H165" i="19"/>
  <c r="I165" i="19"/>
  <c r="J165" i="19"/>
  <c r="K165" i="19"/>
  <c r="M165" i="19"/>
  <c r="N165" i="19"/>
  <c r="O165" i="19"/>
  <c r="Q165" i="19"/>
  <c r="A166" i="19"/>
  <c r="B166" i="19"/>
  <c r="C166" i="19"/>
  <c r="D166" i="19"/>
  <c r="E166" i="19"/>
  <c r="F166" i="19"/>
  <c r="G166" i="19"/>
  <c r="H166" i="19"/>
  <c r="I166" i="19"/>
  <c r="J166" i="19"/>
  <c r="K166" i="19"/>
  <c r="M166" i="19"/>
  <c r="N166" i="19"/>
  <c r="O166" i="19"/>
  <c r="Q166" i="19"/>
  <c r="A167" i="19"/>
  <c r="B167" i="19"/>
  <c r="C167" i="19"/>
  <c r="D167" i="19"/>
  <c r="E167" i="19"/>
  <c r="F167" i="19"/>
  <c r="G167" i="19"/>
  <c r="H167" i="19"/>
  <c r="I167" i="19"/>
  <c r="J167" i="19"/>
  <c r="K167" i="19"/>
  <c r="M167" i="19"/>
  <c r="N167" i="19"/>
  <c r="O167" i="19"/>
  <c r="Q167" i="19"/>
  <c r="A168" i="19"/>
  <c r="B168" i="19"/>
  <c r="C168" i="19"/>
  <c r="D168" i="19"/>
  <c r="E168" i="19"/>
  <c r="F168" i="19"/>
  <c r="G168" i="19"/>
  <c r="H168" i="19"/>
  <c r="I168" i="19"/>
  <c r="J168" i="19"/>
  <c r="K168" i="19"/>
  <c r="M168" i="19"/>
  <c r="N168" i="19"/>
  <c r="O168" i="19"/>
  <c r="Q168" i="19"/>
  <c r="A169" i="19"/>
  <c r="B169" i="19"/>
  <c r="C169" i="19"/>
  <c r="D169" i="19"/>
  <c r="E169" i="19"/>
  <c r="F169" i="19"/>
  <c r="G169" i="19"/>
  <c r="H169" i="19"/>
  <c r="I169" i="19"/>
  <c r="J169" i="19"/>
  <c r="K169" i="19"/>
  <c r="M169" i="19"/>
  <c r="N169" i="19"/>
  <c r="O169" i="19"/>
  <c r="Q169" i="19"/>
  <c r="A170" i="19"/>
  <c r="B170" i="19"/>
  <c r="C170" i="19"/>
  <c r="D170" i="19"/>
  <c r="E170" i="19"/>
  <c r="F170" i="19"/>
  <c r="G170" i="19"/>
  <c r="H170" i="19"/>
  <c r="I170" i="19"/>
  <c r="J170" i="19"/>
  <c r="K170" i="19"/>
  <c r="M170" i="19"/>
  <c r="N170" i="19"/>
  <c r="O170" i="19"/>
  <c r="Q170" i="19"/>
  <c r="A171" i="19"/>
  <c r="B171" i="19"/>
  <c r="C171" i="19"/>
  <c r="D171" i="19"/>
  <c r="E171" i="19"/>
  <c r="F171" i="19"/>
  <c r="G171" i="19"/>
  <c r="H171" i="19"/>
  <c r="I171" i="19"/>
  <c r="J171" i="19"/>
  <c r="K171" i="19"/>
  <c r="M171" i="19"/>
  <c r="N171" i="19"/>
  <c r="O171" i="19"/>
  <c r="Q171" i="19"/>
  <c r="A172" i="19"/>
  <c r="B172" i="19"/>
  <c r="C172" i="19"/>
  <c r="D172" i="19"/>
  <c r="E172" i="19"/>
  <c r="F172" i="19"/>
  <c r="G172" i="19"/>
  <c r="H172" i="19"/>
  <c r="I172" i="19"/>
  <c r="J172" i="19"/>
  <c r="K172" i="19"/>
  <c r="M172" i="19"/>
  <c r="N172" i="19"/>
  <c r="O172" i="19"/>
  <c r="Q172" i="19"/>
  <c r="A173" i="19"/>
  <c r="B173" i="19"/>
  <c r="C173" i="19"/>
  <c r="D173" i="19"/>
  <c r="E173" i="19"/>
  <c r="F173" i="19"/>
  <c r="G173" i="19"/>
  <c r="H173" i="19"/>
  <c r="I173" i="19"/>
  <c r="J173" i="19"/>
  <c r="K173" i="19"/>
  <c r="M173" i="19"/>
  <c r="N173" i="19"/>
  <c r="O173" i="19"/>
  <c r="Q173" i="19"/>
  <c r="A174" i="19"/>
  <c r="B174" i="19"/>
  <c r="C174" i="19"/>
  <c r="D174" i="19"/>
  <c r="E174" i="19"/>
  <c r="F174" i="19"/>
  <c r="G174" i="19"/>
  <c r="H174" i="19"/>
  <c r="I174" i="19"/>
  <c r="J174" i="19"/>
  <c r="K174" i="19"/>
  <c r="M174" i="19"/>
  <c r="N174" i="19"/>
  <c r="O174" i="19"/>
  <c r="Q174" i="19"/>
  <c r="A175" i="19"/>
  <c r="B175" i="19"/>
  <c r="D175" i="19"/>
  <c r="E175" i="19"/>
  <c r="F175" i="19"/>
  <c r="G175" i="19"/>
  <c r="H175" i="19"/>
  <c r="I175" i="19"/>
  <c r="J175" i="19"/>
  <c r="K175" i="19"/>
  <c r="M175" i="19"/>
  <c r="N175" i="19"/>
  <c r="O175" i="19"/>
  <c r="Q175" i="19"/>
  <c r="A176" i="19"/>
  <c r="B176" i="19"/>
  <c r="C176" i="19"/>
  <c r="D176" i="19"/>
  <c r="E176" i="19"/>
  <c r="F176" i="19"/>
  <c r="G176" i="19"/>
  <c r="H176" i="19"/>
  <c r="I176" i="19"/>
  <c r="J176" i="19"/>
  <c r="K176" i="19"/>
  <c r="M176" i="19"/>
  <c r="N176" i="19"/>
  <c r="O176" i="19"/>
  <c r="Q176" i="19"/>
  <c r="A177" i="19"/>
  <c r="B177" i="19"/>
  <c r="C177" i="19"/>
  <c r="D177" i="19"/>
  <c r="E177" i="19"/>
  <c r="F177" i="19"/>
  <c r="G177" i="19"/>
  <c r="H177" i="19"/>
  <c r="I177" i="19"/>
  <c r="J177" i="19"/>
  <c r="K177" i="19"/>
  <c r="M177" i="19"/>
  <c r="N177" i="19"/>
  <c r="O177" i="19"/>
  <c r="Q177" i="19"/>
  <c r="A178" i="19"/>
  <c r="B178" i="19"/>
  <c r="C178" i="19"/>
  <c r="D178" i="19"/>
  <c r="E178" i="19"/>
  <c r="F178" i="19"/>
  <c r="G178" i="19"/>
  <c r="H178" i="19"/>
  <c r="I178" i="19"/>
  <c r="J178" i="19"/>
  <c r="K178" i="19"/>
  <c r="M178" i="19"/>
  <c r="N178" i="19"/>
  <c r="O178" i="19"/>
  <c r="Q178" i="19"/>
  <c r="A179" i="19"/>
  <c r="B179" i="19"/>
  <c r="C179" i="19"/>
  <c r="D179" i="19"/>
  <c r="E179" i="19"/>
  <c r="F179" i="19"/>
  <c r="G179" i="19"/>
  <c r="H179" i="19"/>
  <c r="I179" i="19"/>
  <c r="J179" i="19"/>
  <c r="K179" i="19"/>
  <c r="M179" i="19"/>
  <c r="N179" i="19"/>
  <c r="O179" i="19"/>
  <c r="Q179" i="19"/>
  <c r="A180" i="19"/>
  <c r="B180" i="19"/>
  <c r="C180" i="19"/>
  <c r="D180" i="19"/>
  <c r="E180" i="19"/>
  <c r="F180" i="19"/>
  <c r="G180" i="19"/>
  <c r="H180" i="19"/>
  <c r="I180" i="19"/>
  <c r="J180" i="19"/>
  <c r="K180" i="19"/>
  <c r="M180" i="19"/>
  <c r="N180" i="19"/>
  <c r="O180" i="19"/>
  <c r="Q180" i="19"/>
  <c r="A181" i="19"/>
  <c r="B181" i="19"/>
  <c r="C181" i="19"/>
  <c r="D181" i="19"/>
  <c r="E181" i="19"/>
  <c r="F181" i="19"/>
  <c r="G181" i="19"/>
  <c r="H181" i="19"/>
  <c r="I181" i="19"/>
  <c r="J181" i="19"/>
  <c r="K181" i="19"/>
  <c r="M181" i="19"/>
  <c r="N181" i="19"/>
  <c r="O181" i="19"/>
  <c r="Q181" i="19"/>
  <c r="A182" i="19"/>
  <c r="B182" i="19"/>
  <c r="C182" i="19"/>
  <c r="D182" i="19"/>
  <c r="E182" i="19"/>
  <c r="F182" i="19"/>
  <c r="G182" i="19"/>
  <c r="H182" i="19"/>
  <c r="I182" i="19"/>
  <c r="J182" i="19"/>
  <c r="K182" i="19"/>
  <c r="M182" i="19"/>
  <c r="N182" i="19"/>
  <c r="O182" i="19"/>
  <c r="Q182" i="19"/>
  <c r="A183" i="19"/>
  <c r="B183" i="19"/>
  <c r="C183" i="19"/>
  <c r="D183" i="19"/>
  <c r="E183" i="19"/>
  <c r="F183" i="19"/>
  <c r="G183" i="19"/>
  <c r="H183" i="19"/>
  <c r="I183" i="19"/>
  <c r="J183" i="19"/>
  <c r="K183" i="19"/>
  <c r="M183" i="19"/>
  <c r="N183" i="19"/>
  <c r="O183" i="19"/>
  <c r="Q183" i="19"/>
  <c r="A184" i="19"/>
  <c r="B184" i="19"/>
  <c r="C184" i="19"/>
  <c r="D184" i="19"/>
  <c r="E184" i="19"/>
  <c r="F184" i="19"/>
  <c r="G184" i="19"/>
  <c r="H184" i="19"/>
  <c r="I184" i="19"/>
  <c r="J184" i="19"/>
  <c r="K184" i="19"/>
  <c r="M184" i="19"/>
  <c r="N184" i="19"/>
  <c r="O184" i="19"/>
  <c r="Q184" i="19"/>
  <c r="A185" i="19"/>
  <c r="B185" i="19"/>
  <c r="C185" i="19"/>
  <c r="D185" i="19"/>
  <c r="E185" i="19"/>
  <c r="F185" i="19"/>
  <c r="G185" i="19"/>
  <c r="H185" i="19"/>
  <c r="I185" i="19"/>
  <c r="J185" i="19"/>
  <c r="K185" i="19"/>
  <c r="M185" i="19"/>
  <c r="N185" i="19"/>
  <c r="O185" i="19"/>
  <c r="Q185" i="19"/>
  <c r="A186" i="19"/>
  <c r="B186" i="19"/>
  <c r="C186" i="19"/>
  <c r="D186" i="19"/>
  <c r="E186" i="19"/>
  <c r="F186" i="19"/>
  <c r="G186" i="19"/>
  <c r="H186" i="19"/>
  <c r="I186" i="19"/>
  <c r="J186" i="19"/>
  <c r="K186" i="19"/>
  <c r="M186" i="19"/>
  <c r="N186" i="19"/>
  <c r="O186" i="19"/>
  <c r="Q186" i="19"/>
  <c r="A187" i="19"/>
  <c r="B187" i="19"/>
  <c r="C187" i="19"/>
  <c r="D187" i="19"/>
  <c r="E187" i="19"/>
  <c r="F187" i="19"/>
  <c r="G187" i="19"/>
  <c r="H187" i="19"/>
  <c r="I187" i="19"/>
  <c r="J187" i="19"/>
  <c r="K187" i="19"/>
  <c r="M187" i="19"/>
  <c r="N187" i="19"/>
  <c r="O187" i="19"/>
  <c r="Q187" i="19"/>
  <c r="A188" i="19"/>
  <c r="B188" i="19"/>
  <c r="C188" i="19"/>
  <c r="D188" i="19"/>
  <c r="E188" i="19"/>
  <c r="F188" i="19"/>
  <c r="G188" i="19"/>
  <c r="H188" i="19"/>
  <c r="I188" i="19"/>
  <c r="J188" i="19"/>
  <c r="K188" i="19"/>
  <c r="M188" i="19"/>
  <c r="N188" i="19"/>
  <c r="O188" i="19"/>
  <c r="Q188" i="19"/>
  <c r="A189" i="19"/>
  <c r="B189" i="19"/>
  <c r="C189" i="19"/>
  <c r="D189" i="19"/>
  <c r="E189" i="19"/>
  <c r="F189" i="19"/>
  <c r="G189" i="19"/>
  <c r="H189" i="19"/>
  <c r="I189" i="19"/>
  <c r="J189" i="19"/>
  <c r="K189" i="19"/>
  <c r="M189" i="19"/>
  <c r="N189" i="19"/>
  <c r="O189" i="19"/>
  <c r="Q189" i="19"/>
  <c r="A190" i="19"/>
  <c r="B190" i="19"/>
  <c r="C190" i="19"/>
  <c r="D190" i="19"/>
  <c r="E190" i="19"/>
  <c r="F190" i="19"/>
  <c r="G190" i="19"/>
  <c r="H190" i="19"/>
  <c r="I190" i="19"/>
  <c r="J190" i="19"/>
  <c r="K190" i="19"/>
  <c r="M190" i="19"/>
  <c r="N190" i="19"/>
  <c r="O190" i="19"/>
  <c r="Q190" i="19"/>
  <c r="A191" i="19"/>
  <c r="B191" i="19"/>
  <c r="C191" i="19"/>
  <c r="D191" i="19"/>
  <c r="E191" i="19"/>
  <c r="F191" i="19"/>
  <c r="G191" i="19"/>
  <c r="H191" i="19"/>
  <c r="I191" i="19"/>
  <c r="J191" i="19"/>
  <c r="K191" i="19"/>
  <c r="M191" i="19"/>
  <c r="N191" i="19"/>
  <c r="O191" i="19"/>
  <c r="Q191" i="19"/>
  <c r="A192" i="19"/>
  <c r="B192" i="19"/>
  <c r="C192" i="19"/>
  <c r="D192" i="19"/>
  <c r="E192" i="19"/>
  <c r="F192" i="19"/>
  <c r="G192" i="19"/>
  <c r="H192" i="19"/>
  <c r="I192" i="19"/>
  <c r="J192" i="19"/>
  <c r="K192" i="19"/>
  <c r="M192" i="19"/>
  <c r="N192" i="19"/>
  <c r="O192" i="19"/>
  <c r="Q192" i="19"/>
  <c r="A193" i="19"/>
  <c r="B193" i="19"/>
  <c r="C193" i="19"/>
  <c r="D193" i="19"/>
  <c r="E193" i="19"/>
  <c r="F193" i="19"/>
  <c r="G193" i="19"/>
  <c r="H193" i="19"/>
  <c r="I193" i="19"/>
  <c r="J193" i="19"/>
  <c r="K193" i="19"/>
  <c r="M193" i="19"/>
  <c r="N193" i="19"/>
  <c r="O193" i="19"/>
  <c r="Q193" i="19"/>
  <c r="A194" i="19"/>
  <c r="B194" i="19"/>
  <c r="C194" i="19"/>
  <c r="D194" i="19"/>
  <c r="E194" i="19"/>
  <c r="F194" i="19"/>
  <c r="G194" i="19"/>
  <c r="H194" i="19"/>
  <c r="I194" i="19"/>
  <c r="J194" i="19"/>
  <c r="K194" i="19"/>
  <c r="M194" i="19"/>
  <c r="N194" i="19"/>
  <c r="O194" i="19"/>
  <c r="Q194" i="19"/>
  <c r="A195" i="19"/>
  <c r="B195" i="19"/>
  <c r="C195" i="19"/>
  <c r="D195" i="19"/>
  <c r="E195" i="19"/>
  <c r="F195" i="19"/>
  <c r="G195" i="19"/>
  <c r="H195" i="19"/>
  <c r="I195" i="19"/>
  <c r="J195" i="19"/>
  <c r="K195" i="19"/>
  <c r="M195" i="19"/>
  <c r="N195" i="19"/>
  <c r="O195" i="19"/>
  <c r="Q195" i="19"/>
  <c r="A196" i="19"/>
  <c r="B196" i="19"/>
  <c r="C196" i="19"/>
  <c r="D196" i="19"/>
  <c r="E196" i="19"/>
  <c r="F196" i="19"/>
  <c r="G196" i="19"/>
  <c r="H196" i="19"/>
  <c r="I196" i="19"/>
  <c r="J196" i="19"/>
  <c r="K196" i="19"/>
  <c r="M196" i="19"/>
  <c r="N196" i="19"/>
  <c r="O196" i="19"/>
  <c r="Q196" i="19"/>
  <c r="A197" i="19"/>
  <c r="B197" i="19"/>
  <c r="C197" i="19"/>
  <c r="D197" i="19"/>
  <c r="E197" i="19"/>
  <c r="F197" i="19"/>
  <c r="G197" i="19"/>
  <c r="H197" i="19"/>
  <c r="I197" i="19"/>
  <c r="J197" i="19"/>
  <c r="K197" i="19"/>
  <c r="M197" i="19"/>
  <c r="N197" i="19"/>
  <c r="O197" i="19"/>
  <c r="Q197" i="19"/>
  <c r="A198" i="19"/>
  <c r="B198" i="19"/>
  <c r="C198" i="19"/>
  <c r="D198" i="19"/>
  <c r="E198" i="19"/>
  <c r="F198" i="19"/>
  <c r="G198" i="19"/>
  <c r="H198" i="19"/>
  <c r="I198" i="19"/>
  <c r="J198" i="19"/>
  <c r="K198" i="19"/>
  <c r="M198" i="19"/>
  <c r="N198" i="19"/>
  <c r="O198" i="19"/>
  <c r="Q198" i="19"/>
  <c r="A199" i="19"/>
  <c r="B199" i="19"/>
  <c r="C199" i="19"/>
  <c r="D199" i="19"/>
  <c r="E199" i="19"/>
  <c r="F199" i="19"/>
  <c r="G199" i="19"/>
  <c r="H199" i="19"/>
  <c r="I199" i="19"/>
  <c r="J199" i="19"/>
  <c r="K199" i="19"/>
  <c r="M199" i="19"/>
  <c r="N199" i="19"/>
  <c r="O199" i="19"/>
  <c r="Q199" i="19"/>
  <c r="A200" i="19"/>
  <c r="B200" i="19"/>
  <c r="C200" i="19"/>
  <c r="D200" i="19"/>
  <c r="E200" i="19"/>
  <c r="F200" i="19"/>
  <c r="G200" i="19"/>
  <c r="H200" i="19"/>
  <c r="I200" i="19"/>
  <c r="J200" i="19"/>
  <c r="K200" i="19"/>
  <c r="M200" i="19"/>
  <c r="N200" i="19"/>
  <c r="O200" i="19"/>
  <c r="Q200" i="19"/>
  <c r="A201" i="19"/>
  <c r="B201" i="19"/>
  <c r="C201" i="19"/>
  <c r="D201" i="19"/>
  <c r="E201" i="19"/>
  <c r="F201" i="19"/>
  <c r="G201" i="19"/>
  <c r="H201" i="19"/>
  <c r="I201" i="19"/>
  <c r="J201" i="19"/>
  <c r="K201" i="19"/>
  <c r="M201" i="19"/>
  <c r="N201" i="19"/>
  <c r="O201" i="19"/>
  <c r="Q201" i="19"/>
  <c r="A202" i="19"/>
  <c r="B202" i="19"/>
  <c r="C202" i="19"/>
  <c r="D202" i="19"/>
  <c r="E202" i="19"/>
  <c r="F202" i="19"/>
  <c r="G202" i="19"/>
  <c r="H202" i="19"/>
  <c r="I202" i="19"/>
  <c r="J202" i="19"/>
  <c r="K202" i="19"/>
  <c r="M202" i="19"/>
  <c r="N202" i="19"/>
  <c r="O202" i="19"/>
  <c r="Q202" i="19"/>
  <c r="A203" i="19"/>
  <c r="B203" i="19"/>
  <c r="C203" i="19"/>
  <c r="D203" i="19"/>
  <c r="E203" i="19"/>
  <c r="F203" i="19"/>
  <c r="G203" i="19"/>
  <c r="H203" i="19"/>
  <c r="I203" i="19"/>
  <c r="J203" i="19"/>
  <c r="K203" i="19"/>
  <c r="M203" i="19"/>
  <c r="N203" i="19"/>
  <c r="O203" i="19"/>
  <c r="Q203" i="19"/>
  <c r="A204" i="19"/>
  <c r="B204" i="19"/>
  <c r="C204" i="19"/>
  <c r="D204" i="19"/>
  <c r="E204" i="19"/>
  <c r="F204" i="19"/>
  <c r="G204" i="19"/>
  <c r="H204" i="19"/>
  <c r="I204" i="19"/>
  <c r="J204" i="19"/>
  <c r="K204" i="19"/>
  <c r="M204" i="19"/>
  <c r="N204" i="19"/>
  <c r="O204" i="19"/>
  <c r="Q204" i="19"/>
  <c r="A205" i="19"/>
  <c r="B205" i="19"/>
  <c r="C205" i="19"/>
  <c r="D205" i="19"/>
  <c r="E205" i="19"/>
  <c r="F205" i="19"/>
  <c r="G205" i="19"/>
  <c r="H205" i="19"/>
  <c r="I205" i="19"/>
  <c r="J205" i="19"/>
  <c r="K205" i="19"/>
  <c r="M205" i="19"/>
  <c r="N205" i="19"/>
  <c r="O205" i="19"/>
  <c r="Q205" i="19"/>
  <c r="A206" i="19"/>
  <c r="B206" i="19"/>
  <c r="C206" i="19"/>
  <c r="D206" i="19"/>
  <c r="E206" i="19"/>
  <c r="F206" i="19"/>
  <c r="G206" i="19"/>
  <c r="H206" i="19"/>
  <c r="I206" i="19"/>
  <c r="J206" i="19"/>
  <c r="K206" i="19"/>
  <c r="M206" i="19"/>
  <c r="N206" i="19"/>
  <c r="O206" i="19"/>
  <c r="Q206" i="19"/>
  <c r="A207" i="19"/>
  <c r="B207" i="19"/>
  <c r="C207" i="19"/>
  <c r="D207" i="19"/>
  <c r="E207" i="19"/>
  <c r="F207" i="19"/>
  <c r="G207" i="19"/>
  <c r="H207" i="19"/>
  <c r="I207" i="19"/>
  <c r="J207" i="19"/>
  <c r="K207" i="19"/>
  <c r="M207" i="19"/>
  <c r="N207" i="19"/>
  <c r="O207" i="19"/>
  <c r="Q207" i="19"/>
  <c r="A208" i="19"/>
  <c r="B208" i="19"/>
  <c r="C208" i="19"/>
  <c r="D208" i="19"/>
  <c r="E208" i="19"/>
  <c r="F208" i="19"/>
  <c r="G208" i="19"/>
  <c r="H208" i="19"/>
  <c r="I208" i="19"/>
  <c r="J208" i="19"/>
  <c r="K208" i="19"/>
  <c r="M208" i="19"/>
  <c r="N208" i="19"/>
  <c r="O208" i="19"/>
  <c r="Q208" i="19"/>
  <c r="A209" i="19"/>
  <c r="B209" i="19"/>
  <c r="C209" i="19"/>
  <c r="D209" i="19"/>
  <c r="E209" i="19"/>
  <c r="F209" i="19"/>
  <c r="G209" i="19"/>
  <c r="H209" i="19"/>
  <c r="I209" i="19"/>
  <c r="J209" i="19"/>
  <c r="K209" i="19"/>
  <c r="M209" i="19"/>
  <c r="N209" i="19"/>
  <c r="O209" i="19"/>
  <c r="Q209" i="19"/>
  <c r="A210" i="19"/>
  <c r="B210" i="19"/>
  <c r="C210" i="19"/>
  <c r="D210" i="19"/>
  <c r="E210" i="19"/>
  <c r="F210" i="19"/>
  <c r="G210" i="19"/>
  <c r="H210" i="19"/>
  <c r="I210" i="19"/>
  <c r="J210" i="19"/>
  <c r="K210" i="19"/>
  <c r="M210" i="19"/>
  <c r="N210" i="19"/>
  <c r="O210" i="19"/>
  <c r="Q210" i="19"/>
  <c r="A211" i="19"/>
  <c r="B211" i="19"/>
  <c r="C211" i="19"/>
  <c r="D211" i="19"/>
  <c r="E211" i="19"/>
  <c r="F211" i="19"/>
  <c r="G211" i="19"/>
  <c r="H211" i="19"/>
  <c r="I211" i="19"/>
  <c r="J211" i="19"/>
  <c r="K211" i="19"/>
  <c r="M211" i="19"/>
  <c r="N211" i="19"/>
  <c r="O211" i="19"/>
  <c r="Q211" i="19"/>
  <c r="A212" i="19"/>
  <c r="B212" i="19"/>
  <c r="C212" i="19"/>
  <c r="D212" i="19"/>
  <c r="E212" i="19"/>
  <c r="F212" i="19"/>
  <c r="G212" i="19"/>
  <c r="H212" i="19"/>
  <c r="I212" i="19"/>
  <c r="J212" i="19"/>
  <c r="K212" i="19"/>
  <c r="M212" i="19"/>
  <c r="N212" i="19"/>
  <c r="O212" i="19"/>
  <c r="Q212" i="19"/>
  <c r="A213" i="19"/>
  <c r="B213" i="19"/>
  <c r="C213" i="19"/>
  <c r="D213" i="19"/>
  <c r="E213" i="19"/>
  <c r="F213" i="19"/>
  <c r="G213" i="19"/>
  <c r="H213" i="19"/>
  <c r="I213" i="19"/>
  <c r="J213" i="19"/>
  <c r="K213" i="19"/>
  <c r="M213" i="19"/>
  <c r="N213" i="19"/>
  <c r="O213" i="19"/>
  <c r="Q213" i="19"/>
  <c r="A214" i="19"/>
  <c r="B214" i="19"/>
  <c r="C214" i="19"/>
  <c r="D214" i="19"/>
  <c r="E214" i="19"/>
  <c r="F214" i="19"/>
  <c r="G214" i="19"/>
  <c r="H214" i="19"/>
  <c r="I214" i="19"/>
  <c r="J214" i="19"/>
  <c r="K214" i="19"/>
  <c r="M214" i="19"/>
  <c r="N214" i="19"/>
  <c r="O214" i="19"/>
  <c r="Q214" i="19"/>
  <c r="A215" i="19"/>
  <c r="B215" i="19"/>
  <c r="C215" i="19"/>
  <c r="D215" i="19"/>
  <c r="E215" i="19"/>
  <c r="F215" i="19"/>
  <c r="G215" i="19"/>
  <c r="H215" i="19"/>
  <c r="I215" i="19"/>
  <c r="J215" i="19"/>
  <c r="K215" i="19"/>
  <c r="M215" i="19"/>
  <c r="N215" i="19"/>
  <c r="O215" i="19"/>
  <c r="Q215" i="19"/>
  <c r="A216" i="19"/>
  <c r="B216" i="19"/>
  <c r="C216" i="19"/>
  <c r="D216" i="19"/>
  <c r="E216" i="19"/>
  <c r="F216" i="19"/>
  <c r="G216" i="19"/>
  <c r="H216" i="19"/>
  <c r="I216" i="19"/>
  <c r="J216" i="19"/>
  <c r="K216" i="19"/>
  <c r="M216" i="19"/>
  <c r="N216" i="19"/>
  <c r="O216" i="19"/>
  <c r="Q216" i="19"/>
  <c r="A217" i="19"/>
  <c r="B217" i="19"/>
  <c r="C217" i="19"/>
  <c r="D217" i="19"/>
  <c r="E217" i="19"/>
  <c r="F217" i="19"/>
  <c r="G217" i="19"/>
  <c r="H217" i="19"/>
  <c r="I217" i="19"/>
  <c r="J217" i="19"/>
  <c r="K217" i="19"/>
  <c r="M217" i="19"/>
  <c r="N217" i="19"/>
  <c r="O217" i="19"/>
  <c r="Q217" i="19"/>
  <c r="A218" i="19"/>
  <c r="B218" i="19"/>
  <c r="C218" i="19"/>
  <c r="D218" i="19"/>
  <c r="E218" i="19"/>
  <c r="F218" i="19"/>
  <c r="G218" i="19"/>
  <c r="H218" i="19"/>
  <c r="I218" i="19"/>
  <c r="J218" i="19"/>
  <c r="K218" i="19"/>
  <c r="M218" i="19"/>
  <c r="N218" i="19"/>
  <c r="O218" i="19"/>
  <c r="Q218" i="19"/>
  <c r="A219" i="19"/>
  <c r="B219" i="19"/>
  <c r="C219" i="19"/>
  <c r="D219" i="19"/>
  <c r="E219" i="19"/>
  <c r="F219" i="19"/>
  <c r="G219" i="19"/>
  <c r="H219" i="19"/>
  <c r="I219" i="19"/>
  <c r="J219" i="19"/>
  <c r="K219" i="19"/>
  <c r="M219" i="19"/>
  <c r="N219" i="19"/>
  <c r="O219" i="19"/>
  <c r="Q219" i="19"/>
  <c r="A220" i="19"/>
  <c r="B220" i="19"/>
  <c r="C220" i="19"/>
  <c r="D220" i="19"/>
  <c r="E220" i="19"/>
  <c r="F220" i="19"/>
  <c r="G220" i="19"/>
  <c r="H220" i="19"/>
  <c r="I220" i="19"/>
  <c r="J220" i="19"/>
  <c r="K220" i="19"/>
  <c r="M220" i="19"/>
  <c r="N220" i="19"/>
  <c r="O220" i="19"/>
  <c r="Q220" i="19"/>
  <c r="A221" i="19"/>
  <c r="B221" i="19"/>
  <c r="C221" i="19"/>
  <c r="D221" i="19"/>
  <c r="E221" i="19"/>
  <c r="F221" i="19"/>
  <c r="G221" i="19"/>
  <c r="H221" i="19"/>
  <c r="I221" i="19"/>
  <c r="J221" i="19"/>
  <c r="K221" i="19"/>
  <c r="M221" i="19"/>
  <c r="N221" i="19"/>
  <c r="O221" i="19"/>
  <c r="Q221" i="19"/>
  <c r="A222" i="19"/>
  <c r="B222" i="19"/>
  <c r="C222" i="19"/>
  <c r="D222" i="19"/>
  <c r="E222" i="19"/>
  <c r="F222" i="19"/>
  <c r="G222" i="19"/>
  <c r="H222" i="19"/>
  <c r="I222" i="19"/>
  <c r="J222" i="19"/>
  <c r="K222" i="19"/>
  <c r="M222" i="19"/>
  <c r="N222" i="19"/>
  <c r="O222" i="19"/>
  <c r="Q222" i="19"/>
  <c r="A223" i="19"/>
  <c r="B223" i="19"/>
  <c r="C223" i="19"/>
  <c r="D223" i="19"/>
  <c r="E223" i="19"/>
  <c r="F223" i="19"/>
  <c r="G223" i="19"/>
  <c r="H223" i="19"/>
  <c r="I223" i="19"/>
  <c r="J223" i="19"/>
  <c r="K223" i="19"/>
  <c r="M223" i="19"/>
  <c r="N223" i="19"/>
  <c r="O223" i="19"/>
  <c r="Q223" i="19"/>
  <c r="A224" i="19"/>
  <c r="B224" i="19"/>
  <c r="C224" i="19"/>
  <c r="D224" i="19"/>
  <c r="E224" i="19"/>
  <c r="F224" i="19"/>
  <c r="G224" i="19"/>
  <c r="H224" i="19"/>
  <c r="I224" i="19"/>
  <c r="J224" i="19"/>
  <c r="K224" i="19"/>
  <c r="M224" i="19"/>
  <c r="N224" i="19"/>
  <c r="O224" i="19"/>
  <c r="Q224" i="19"/>
  <c r="A225" i="19"/>
  <c r="B225" i="19"/>
  <c r="C225" i="19"/>
  <c r="D225" i="19"/>
  <c r="E225" i="19"/>
  <c r="F225" i="19"/>
  <c r="G225" i="19"/>
  <c r="H225" i="19"/>
  <c r="I225" i="19"/>
  <c r="J225" i="19"/>
  <c r="K225" i="19"/>
  <c r="M225" i="19"/>
  <c r="N225" i="19"/>
  <c r="O225" i="19"/>
  <c r="Q225" i="19"/>
  <c r="A226" i="19"/>
  <c r="B226" i="19"/>
  <c r="C226" i="19"/>
  <c r="D226" i="19"/>
  <c r="E226" i="19"/>
  <c r="F226" i="19"/>
  <c r="G226" i="19"/>
  <c r="H226" i="19"/>
  <c r="I226" i="19"/>
  <c r="J226" i="19"/>
  <c r="K226" i="19"/>
  <c r="M226" i="19"/>
  <c r="N226" i="19"/>
  <c r="O226" i="19"/>
  <c r="Q226" i="19"/>
  <c r="A227" i="19"/>
  <c r="B227" i="19"/>
  <c r="C227" i="19"/>
  <c r="D227" i="19"/>
  <c r="E227" i="19"/>
  <c r="F227" i="19"/>
  <c r="G227" i="19"/>
  <c r="H227" i="19"/>
  <c r="I227" i="19"/>
  <c r="J227" i="19"/>
  <c r="K227" i="19"/>
  <c r="M227" i="19"/>
  <c r="N227" i="19"/>
  <c r="O227" i="19"/>
  <c r="Q227" i="19"/>
  <c r="A228" i="19"/>
  <c r="B228" i="19"/>
  <c r="D228" i="19"/>
  <c r="E228" i="19"/>
  <c r="F228" i="19"/>
  <c r="G228" i="19"/>
  <c r="H228" i="19"/>
  <c r="I228" i="19"/>
  <c r="J228" i="19"/>
  <c r="K228" i="19"/>
  <c r="M228" i="19"/>
  <c r="N228" i="19"/>
  <c r="O228" i="19"/>
  <c r="Q228" i="19"/>
  <c r="A229" i="19"/>
  <c r="B229" i="19"/>
  <c r="C229" i="19"/>
  <c r="D229" i="19"/>
  <c r="E229" i="19"/>
  <c r="F229" i="19"/>
  <c r="G229" i="19"/>
  <c r="H229" i="19"/>
  <c r="I229" i="19"/>
  <c r="J229" i="19"/>
  <c r="K229" i="19"/>
  <c r="M229" i="19"/>
  <c r="N229" i="19"/>
  <c r="O229" i="19"/>
  <c r="Q229" i="19"/>
  <c r="A230" i="19"/>
  <c r="B230" i="19"/>
  <c r="C230" i="19"/>
  <c r="D230" i="19"/>
  <c r="E230" i="19"/>
  <c r="F230" i="19"/>
  <c r="G230" i="19"/>
  <c r="H230" i="19"/>
  <c r="I230" i="19"/>
  <c r="J230" i="19"/>
  <c r="K230" i="19"/>
  <c r="M230" i="19"/>
  <c r="N230" i="19"/>
  <c r="O230" i="19"/>
  <c r="Q230" i="19"/>
  <c r="A231" i="19"/>
  <c r="B231" i="19"/>
  <c r="C231" i="19"/>
  <c r="D231" i="19"/>
  <c r="E231" i="19"/>
  <c r="F231" i="19"/>
  <c r="G231" i="19"/>
  <c r="H231" i="19"/>
  <c r="I231" i="19"/>
  <c r="J231" i="19"/>
  <c r="K231" i="19"/>
  <c r="M231" i="19"/>
  <c r="N231" i="19"/>
  <c r="O231" i="19"/>
  <c r="Q231" i="19"/>
  <c r="A232" i="19"/>
  <c r="B232" i="19"/>
  <c r="C232" i="19"/>
  <c r="D232" i="19"/>
  <c r="E232" i="19"/>
  <c r="F232" i="19"/>
  <c r="G232" i="19"/>
  <c r="H232" i="19"/>
  <c r="I232" i="19"/>
  <c r="J232" i="19"/>
  <c r="K232" i="19"/>
  <c r="M232" i="19"/>
  <c r="N232" i="19"/>
  <c r="O232" i="19"/>
  <c r="Q232" i="19"/>
  <c r="A233" i="19"/>
  <c r="B233" i="19"/>
  <c r="C233" i="19"/>
  <c r="D233" i="19"/>
  <c r="E233" i="19"/>
  <c r="F233" i="19"/>
  <c r="G233" i="19"/>
  <c r="H233" i="19"/>
  <c r="I233" i="19"/>
  <c r="J233" i="19"/>
  <c r="K233" i="19"/>
  <c r="M233" i="19"/>
  <c r="N233" i="19"/>
  <c r="O233" i="19"/>
  <c r="Q233" i="19"/>
  <c r="A234" i="19"/>
  <c r="B234" i="19"/>
  <c r="C234" i="19"/>
  <c r="D234" i="19"/>
  <c r="E234" i="19"/>
  <c r="F234" i="19"/>
  <c r="G234" i="19"/>
  <c r="H234" i="19"/>
  <c r="I234" i="19"/>
  <c r="J234" i="19"/>
  <c r="K234" i="19"/>
  <c r="M234" i="19"/>
  <c r="N234" i="19"/>
  <c r="O234" i="19"/>
  <c r="Q234" i="19"/>
  <c r="A235" i="19"/>
  <c r="B235" i="19"/>
  <c r="C235" i="19"/>
  <c r="D235" i="19"/>
  <c r="E235" i="19"/>
  <c r="F235" i="19"/>
  <c r="G235" i="19"/>
  <c r="H235" i="19"/>
  <c r="I235" i="19"/>
  <c r="J235" i="19"/>
  <c r="K235" i="19"/>
  <c r="M235" i="19"/>
  <c r="N235" i="19"/>
  <c r="O235" i="19"/>
  <c r="Q235" i="19"/>
  <c r="A236" i="19"/>
  <c r="B236" i="19"/>
  <c r="C236" i="19"/>
  <c r="D236" i="19"/>
  <c r="E236" i="19"/>
  <c r="F236" i="19"/>
  <c r="G236" i="19"/>
  <c r="H236" i="19"/>
  <c r="I236" i="19"/>
  <c r="J236" i="19"/>
  <c r="K236" i="19"/>
  <c r="M236" i="19"/>
  <c r="N236" i="19"/>
  <c r="O236" i="19"/>
  <c r="Q236" i="19"/>
  <c r="A237" i="19"/>
  <c r="B237" i="19"/>
  <c r="C237" i="19"/>
  <c r="D237" i="19"/>
  <c r="E237" i="19"/>
  <c r="F237" i="19"/>
  <c r="G237" i="19"/>
  <c r="H237" i="19"/>
  <c r="I237" i="19"/>
  <c r="J237" i="19"/>
  <c r="K237" i="19"/>
  <c r="M237" i="19"/>
  <c r="N237" i="19"/>
  <c r="O237" i="19"/>
  <c r="Q237" i="19"/>
  <c r="A238" i="19"/>
  <c r="B238" i="19"/>
  <c r="C238" i="19"/>
  <c r="D238" i="19"/>
  <c r="E238" i="19"/>
  <c r="F238" i="19"/>
  <c r="G238" i="19"/>
  <c r="H238" i="19"/>
  <c r="I238" i="19"/>
  <c r="J238" i="19"/>
  <c r="K238" i="19"/>
  <c r="M238" i="19"/>
  <c r="N238" i="19"/>
  <c r="O238" i="19"/>
  <c r="Q238" i="19"/>
  <c r="A239" i="19"/>
  <c r="B239" i="19"/>
  <c r="C239" i="19"/>
  <c r="D239" i="19"/>
  <c r="E239" i="19"/>
  <c r="F239" i="19"/>
  <c r="G239" i="19"/>
  <c r="H239" i="19"/>
  <c r="I239" i="19"/>
  <c r="J239" i="19"/>
  <c r="K239" i="19"/>
  <c r="M239" i="19"/>
  <c r="N239" i="19"/>
  <c r="O239" i="19"/>
  <c r="Q239" i="19"/>
  <c r="A240" i="19"/>
  <c r="B240" i="19"/>
  <c r="C240" i="19"/>
  <c r="D240" i="19"/>
  <c r="E240" i="19"/>
  <c r="F240" i="19"/>
  <c r="G240" i="19"/>
  <c r="H240" i="19"/>
  <c r="I240" i="19"/>
  <c r="J240" i="19"/>
  <c r="K240" i="19"/>
  <c r="M240" i="19"/>
  <c r="N240" i="19"/>
  <c r="O240" i="19"/>
  <c r="Q240" i="19"/>
  <c r="A241" i="19"/>
  <c r="B241" i="19"/>
  <c r="C241" i="19"/>
  <c r="D241" i="19"/>
  <c r="E241" i="19"/>
  <c r="F241" i="19"/>
  <c r="G241" i="19"/>
  <c r="H241" i="19"/>
  <c r="I241" i="19"/>
  <c r="J241" i="19"/>
  <c r="K241" i="19"/>
  <c r="M241" i="19"/>
  <c r="N241" i="19"/>
  <c r="O241" i="19"/>
  <c r="Q241" i="19"/>
  <c r="A242" i="19"/>
  <c r="B242" i="19"/>
  <c r="C242" i="19"/>
  <c r="D242" i="19"/>
  <c r="E242" i="19"/>
  <c r="F242" i="19"/>
  <c r="G242" i="19"/>
  <c r="H242" i="19"/>
  <c r="I242" i="19"/>
  <c r="J242" i="19"/>
  <c r="K242" i="19"/>
  <c r="M242" i="19"/>
  <c r="N242" i="19"/>
  <c r="O242" i="19"/>
  <c r="Q242" i="19"/>
  <c r="A243" i="19"/>
  <c r="B243" i="19"/>
  <c r="C243" i="19"/>
  <c r="D243" i="19"/>
  <c r="E243" i="19"/>
  <c r="F243" i="19"/>
  <c r="G243" i="19"/>
  <c r="H243" i="19"/>
  <c r="I243" i="19"/>
  <c r="J243" i="19"/>
  <c r="K243" i="19"/>
  <c r="M243" i="19"/>
  <c r="N243" i="19"/>
  <c r="O243" i="19"/>
  <c r="Q243" i="19"/>
  <c r="A244" i="19"/>
  <c r="B244" i="19"/>
  <c r="C244" i="19"/>
  <c r="D244" i="19"/>
  <c r="E244" i="19"/>
  <c r="F244" i="19"/>
  <c r="G244" i="19"/>
  <c r="H244" i="19"/>
  <c r="I244" i="19"/>
  <c r="J244" i="19"/>
  <c r="K244" i="19"/>
  <c r="M244" i="19"/>
  <c r="N244" i="19"/>
  <c r="O244" i="19"/>
  <c r="Q244" i="19"/>
  <c r="A245" i="19"/>
  <c r="B245" i="19"/>
  <c r="C245" i="19"/>
  <c r="D245" i="19"/>
  <c r="E245" i="19"/>
  <c r="F245" i="19"/>
  <c r="G245" i="19"/>
  <c r="H245" i="19"/>
  <c r="I245" i="19"/>
  <c r="J245" i="19"/>
  <c r="K245" i="19"/>
  <c r="M245" i="19"/>
  <c r="N245" i="19"/>
  <c r="O245" i="19"/>
  <c r="Q245" i="19"/>
  <c r="A246" i="19"/>
  <c r="B246" i="19"/>
  <c r="C246" i="19"/>
  <c r="D246" i="19"/>
  <c r="E246" i="19"/>
  <c r="F246" i="19"/>
  <c r="G246" i="19"/>
  <c r="H246" i="19"/>
  <c r="I246" i="19"/>
  <c r="J246" i="19"/>
  <c r="K246" i="19"/>
  <c r="M246" i="19"/>
  <c r="N246" i="19"/>
  <c r="O246" i="19"/>
  <c r="Q246" i="19"/>
  <c r="A247" i="19"/>
  <c r="B247" i="19"/>
  <c r="C247" i="19"/>
  <c r="D247" i="19"/>
  <c r="E247" i="19"/>
  <c r="F247" i="19"/>
  <c r="G247" i="19"/>
  <c r="H247" i="19"/>
  <c r="I247" i="19"/>
  <c r="J247" i="19"/>
  <c r="K247" i="19"/>
  <c r="M247" i="19"/>
  <c r="N247" i="19"/>
  <c r="O247" i="19"/>
  <c r="Q247" i="19"/>
  <c r="A248" i="19"/>
  <c r="B248" i="19"/>
  <c r="C248" i="19"/>
  <c r="D248" i="19"/>
  <c r="E248" i="19"/>
  <c r="F248" i="19"/>
  <c r="G248" i="19"/>
  <c r="H248" i="19"/>
  <c r="I248" i="19"/>
  <c r="J248" i="19"/>
  <c r="K248" i="19"/>
  <c r="M248" i="19"/>
  <c r="N248" i="19"/>
  <c r="O248" i="19"/>
  <c r="Q248" i="19"/>
  <c r="A249" i="19"/>
  <c r="B249" i="19"/>
  <c r="C249" i="19"/>
  <c r="D249" i="19"/>
  <c r="E249" i="19"/>
  <c r="F249" i="19"/>
  <c r="G249" i="19"/>
  <c r="H249" i="19"/>
  <c r="I249" i="19"/>
  <c r="J249" i="19"/>
  <c r="K249" i="19"/>
  <c r="M249" i="19"/>
  <c r="N249" i="19"/>
  <c r="O249" i="19"/>
  <c r="Q249" i="19"/>
  <c r="A250" i="19"/>
  <c r="B250" i="19"/>
  <c r="C250" i="19"/>
  <c r="D250" i="19"/>
  <c r="E250" i="19"/>
  <c r="F250" i="19"/>
  <c r="G250" i="19"/>
  <c r="H250" i="19"/>
  <c r="I250" i="19"/>
  <c r="J250" i="19"/>
  <c r="K250" i="19"/>
  <c r="M250" i="19"/>
  <c r="N250" i="19"/>
  <c r="O250" i="19"/>
  <c r="Q250" i="19"/>
  <c r="A251" i="19"/>
  <c r="B251" i="19"/>
  <c r="C251" i="19"/>
  <c r="D251" i="19"/>
  <c r="E251" i="19"/>
  <c r="F251" i="19"/>
  <c r="G251" i="19"/>
  <c r="H251" i="19"/>
  <c r="I251" i="19"/>
  <c r="J251" i="19"/>
  <c r="K251" i="19"/>
  <c r="M251" i="19"/>
  <c r="N251" i="19"/>
  <c r="O251" i="19"/>
  <c r="Q251" i="19"/>
  <c r="A252" i="19"/>
  <c r="B252" i="19"/>
  <c r="C252" i="19"/>
  <c r="D252" i="19"/>
  <c r="E252" i="19"/>
  <c r="F252" i="19"/>
  <c r="G252" i="19"/>
  <c r="H252" i="19"/>
  <c r="I252" i="19"/>
  <c r="J252" i="19"/>
  <c r="K252" i="19"/>
  <c r="M252" i="19"/>
  <c r="N252" i="19"/>
  <c r="O252" i="19"/>
  <c r="Q252" i="19"/>
  <c r="A253" i="19"/>
  <c r="B253" i="19"/>
  <c r="C253" i="19"/>
  <c r="D253" i="19"/>
  <c r="E253" i="19"/>
  <c r="F253" i="19"/>
  <c r="G253" i="19"/>
  <c r="H253" i="19"/>
  <c r="I253" i="19"/>
  <c r="J253" i="19"/>
  <c r="K253" i="19"/>
  <c r="M253" i="19"/>
  <c r="N253" i="19"/>
  <c r="O253" i="19"/>
  <c r="Q253" i="19"/>
  <c r="A254" i="19"/>
  <c r="B254" i="19"/>
  <c r="C254" i="19"/>
  <c r="D254" i="19"/>
  <c r="E254" i="19"/>
  <c r="F254" i="19"/>
  <c r="G254" i="19"/>
  <c r="H254" i="19"/>
  <c r="I254" i="19"/>
  <c r="J254" i="19"/>
  <c r="K254" i="19"/>
  <c r="M254" i="19"/>
  <c r="N254" i="19"/>
  <c r="O254" i="19"/>
  <c r="Q254" i="19"/>
  <c r="A255" i="19"/>
  <c r="B255" i="19"/>
  <c r="C255" i="19"/>
  <c r="D255" i="19"/>
  <c r="E255" i="19"/>
  <c r="F255" i="19"/>
  <c r="G255" i="19"/>
  <c r="H255" i="19"/>
  <c r="I255" i="19"/>
  <c r="J255" i="19"/>
  <c r="K255" i="19"/>
  <c r="M255" i="19"/>
  <c r="N255" i="19"/>
  <c r="O255" i="19"/>
  <c r="Q255" i="19"/>
  <c r="A256" i="19"/>
  <c r="B256" i="19"/>
  <c r="C256" i="19"/>
  <c r="D256" i="19"/>
  <c r="E256" i="19"/>
  <c r="F256" i="19"/>
  <c r="G256" i="19"/>
  <c r="H256" i="19"/>
  <c r="I256" i="19"/>
  <c r="J256" i="19"/>
  <c r="K256" i="19"/>
  <c r="M256" i="19"/>
  <c r="N256" i="19"/>
  <c r="O256" i="19"/>
  <c r="Q256" i="19"/>
  <c r="A257" i="19"/>
  <c r="B257" i="19"/>
  <c r="C257" i="19"/>
  <c r="D257" i="19"/>
  <c r="E257" i="19"/>
  <c r="F257" i="19"/>
  <c r="G257" i="19"/>
  <c r="H257" i="19"/>
  <c r="I257" i="19"/>
  <c r="J257" i="19"/>
  <c r="K257" i="19"/>
  <c r="M257" i="19"/>
  <c r="N257" i="19"/>
  <c r="O257" i="19"/>
  <c r="Q257" i="19"/>
  <c r="A258" i="19"/>
  <c r="B258" i="19"/>
  <c r="C258" i="19"/>
  <c r="D258" i="19"/>
  <c r="E258" i="19"/>
  <c r="F258" i="19"/>
  <c r="G258" i="19"/>
  <c r="H258" i="19"/>
  <c r="I258" i="19"/>
  <c r="J258" i="19"/>
  <c r="K258" i="19"/>
  <c r="M258" i="19"/>
  <c r="N258" i="19"/>
  <c r="O258" i="19"/>
  <c r="Q258" i="19"/>
  <c r="A259" i="19"/>
  <c r="B259" i="19"/>
  <c r="C259" i="19"/>
  <c r="D259" i="19"/>
  <c r="E259" i="19"/>
  <c r="F259" i="19"/>
  <c r="G259" i="19"/>
  <c r="H259" i="19"/>
  <c r="I259" i="19"/>
  <c r="J259" i="19"/>
  <c r="K259" i="19"/>
  <c r="M259" i="19"/>
  <c r="N259" i="19"/>
  <c r="O259" i="19"/>
  <c r="Q259" i="19"/>
  <c r="A260" i="19"/>
  <c r="B260" i="19"/>
  <c r="C260" i="19"/>
  <c r="D260" i="19"/>
  <c r="E260" i="19"/>
  <c r="F260" i="19"/>
  <c r="G260" i="19"/>
  <c r="H260" i="19"/>
  <c r="I260" i="19"/>
  <c r="J260" i="19"/>
  <c r="K260" i="19"/>
  <c r="M260" i="19"/>
  <c r="N260" i="19"/>
  <c r="O260" i="19"/>
  <c r="Q260" i="19"/>
  <c r="A261" i="19"/>
  <c r="B261" i="19"/>
  <c r="C261" i="19"/>
  <c r="E261" i="19"/>
  <c r="F261" i="19"/>
  <c r="G261" i="19"/>
  <c r="H261" i="19"/>
  <c r="I261" i="19"/>
  <c r="J261" i="19"/>
  <c r="K261" i="19"/>
  <c r="M261" i="19"/>
  <c r="N261" i="19"/>
  <c r="O261" i="19"/>
  <c r="Q261" i="19"/>
  <c r="A262" i="19"/>
  <c r="B262" i="19"/>
  <c r="C262" i="19"/>
  <c r="D262" i="19"/>
  <c r="E262" i="19"/>
  <c r="F262" i="19"/>
  <c r="G262" i="19"/>
  <c r="H262" i="19"/>
  <c r="I262" i="19"/>
  <c r="J262" i="19"/>
  <c r="K262" i="19"/>
  <c r="M262" i="19"/>
  <c r="N262" i="19"/>
  <c r="O262" i="19"/>
  <c r="Q262" i="19"/>
  <c r="A263" i="19"/>
  <c r="B263" i="19"/>
  <c r="C263" i="19"/>
  <c r="D263" i="19"/>
  <c r="E263" i="19"/>
  <c r="F263" i="19"/>
  <c r="G263" i="19"/>
  <c r="H263" i="19"/>
  <c r="I263" i="19"/>
  <c r="J263" i="19"/>
  <c r="K263" i="19"/>
  <c r="M263" i="19"/>
  <c r="N263" i="19"/>
  <c r="O263" i="19"/>
  <c r="Q263" i="19"/>
  <c r="A264" i="19"/>
  <c r="B264" i="19"/>
  <c r="C264" i="19"/>
  <c r="D264" i="19"/>
  <c r="E264" i="19"/>
  <c r="F264" i="19"/>
  <c r="G264" i="19"/>
  <c r="H264" i="19"/>
  <c r="I264" i="19"/>
  <c r="J264" i="19"/>
  <c r="K264" i="19"/>
  <c r="M264" i="19"/>
  <c r="N264" i="19"/>
  <c r="O264" i="19"/>
  <c r="Q264" i="19"/>
  <c r="A265" i="19"/>
  <c r="B265" i="19"/>
  <c r="C265" i="19"/>
  <c r="D265" i="19"/>
  <c r="E265" i="19"/>
  <c r="F265" i="19"/>
  <c r="G265" i="19"/>
  <c r="H265" i="19"/>
  <c r="I265" i="19"/>
  <c r="J265" i="19"/>
  <c r="K265" i="19"/>
  <c r="M265" i="19"/>
  <c r="N265" i="19"/>
  <c r="O265" i="19"/>
  <c r="Q265" i="19"/>
  <c r="A266" i="19"/>
  <c r="B266" i="19"/>
  <c r="C266" i="19"/>
  <c r="D266" i="19"/>
  <c r="E266" i="19"/>
  <c r="F266" i="19"/>
  <c r="G266" i="19"/>
  <c r="H266" i="19"/>
  <c r="I266" i="19"/>
  <c r="J266" i="19"/>
  <c r="K266" i="19"/>
  <c r="M266" i="19"/>
  <c r="N266" i="19"/>
  <c r="O266" i="19"/>
  <c r="Q266" i="19"/>
  <c r="A267" i="19"/>
  <c r="B267" i="19"/>
  <c r="C267" i="19"/>
  <c r="D267" i="19"/>
  <c r="E267" i="19"/>
  <c r="F267" i="19"/>
  <c r="G267" i="19"/>
  <c r="H267" i="19"/>
  <c r="I267" i="19"/>
  <c r="J267" i="19"/>
  <c r="K267" i="19"/>
  <c r="M267" i="19"/>
  <c r="N267" i="19"/>
  <c r="O267" i="19"/>
  <c r="Q267" i="19"/>
  <c r="A268" i="19"/>
  <c r="B268" i="19"/>
  <c r="C268" i="19"/>
  <c r="D268" i="19"/>
  <c r="E268" i="19"/>
  <c r="F268" i="19"/>
  <c r="G268" i="19"/>
  <c r="H268" i="19"/>
  <c r="I268" i="19"/>
  <c r="J268" i="19"/>
  <c r="K268" i="19"/>
  <c r="M268" i="19"/>
  <c r="N268" i="19"/>
  <c r="O268" i="19"/>
  <c r="Q268" i="19"/>
  <c r="A269" i="19"/>
  <c r="B269" i="19"/>
  <c r="C269" i="19"/>
  <c r="D269" i="19"/>
  <c r="E269" i="19"/>
  <c r="F269" i="19"/>
  <c r="G269" i="19"/>
  <c r="H269" i="19"/>
  <c r="I269" i="19"/>
  <c r="J269" i="19"/>
  <c r="K269" i="19"/>
  <c r="M269" i="19"/>
  <c r="N269" i="19"/>
  <c r="O269" i="19"/>
  <c r="Q269" i="19"/>
  <c r="A270" i="19"/>
  <c r="B270" i="19"/>
  <c r="C270" i="19"/>
  <c r="D270" i="19"/>
  <c r="E270" i="19"/>
  <c r="F270" i="19"/>
  <c r="G270" i="19"/>
  <c r="H270" i="19"/>
  <c r="I270" i="19"/>
  <c r="J270" i="19"/>
  <c r="K270" i="19"/>
  <c r="M270" i="19"/>
  <c r="N270" i="19"/>
  <c r="O270" i="19"/>
  <c r="Q270" i="19"/>
  <c r="A271" i="19"/>
  <c r="B271" i="19"/>
  <c r="D271" i="19"/>
  <c r="E271" i="19"/>
  <c r="F271" i="19"/>
  <c r="G271" i="19"/>
  <c r="H271" i="19"/>
  <c r="I271" i="19"/>
  <c r="J271" i="19"/>
  <c r="K271" i="19"/>
  <c r="M271" i="19"/>
  <c r="N271" i="19"/>
  <c r="O271" i="19"/>
  <c r="Q271" i="19"/>
  <c r="A272" i="19"/>
  <c r="B272" i="19"/>
  <c r="C272" i="19"/>
  <c r="D272" i="19"/>
  <c r="E272" i="19"/>
  <c r="F272" i="19"/>
  <c r="G272" i="19"/>
  <c r="H272" i="19"/>
  <c r="I272" i="19"/>
  <c r="J272" i="19"/>
  <c r="K272" i="19"/>
  <c r="M272" i="19"/>
  <c r="N272" i="19"/>
  <c r="O272" i="19"/>
  <c r="Q272" i="19"/>
  <c r="A273" i="19"/>
  <c r="B273" i="19"/>
  <c r="C273" i="19"/>
  <c r="D273" i="19"/>
  <c r="E273" i="19"/>
  <c r="F273" i="19"/>
  <c r="G273" i="19"/>
  <c r="H273" i="19"/>
  <c r="I273" i="19"/>
  <c r="J273" i="19"/>
  <c r="K273" i="19"/>
  <c r="M273" i="19"/>
  <c r="N273" i="19"/>
  <c r="O273" i="19"/>
  <c r="Q273" i="19"/>
  <c r="A274" i="19"/>
  <c r="B274" i="19"/>
  <c r="C274" i="19"/>
  <c r="D274" i="19"/>
  <c r="E274" i="19"/>
  <c r="F274" i="19"/>
  <c r="G274" i="19"/>
  <c r="H274" i="19"/>
  <c r="I274" i="19"/>
  <c r="J274" i="19"/>
  <c r="K274" i="19"/>
  <c r="M274" i="19"/>
  <c r="N274" i="19"/>
  <c r="O274" i="19"/>
  <c r="Q274" i="19"/>
  <c r="A275" i="19"/>
  <c r="B275" i="19"/>
  <c r="C275" i="19"/>
  <c r="D275" i="19"/>
  <c r="E275" i="19"/>
  <c r="F275" i="19"/>
  <c r="G275" i="19"/>
  <c r="H275" i="19"/>
  <c r="I275" i="19"/>
  <c r="J275" i="19"/>
  <c r="K275" i="19"/>
  <c r="M275" i="19"/>
  <c r="N275" i="19"/>
  <c r="O275" i="19"/>
  <c r="Q275" i="19"/>
  <c r="A276" i="19"/>
  <c r="B276" i="19"/>
  <c r="C276" i="19"/>
  <c r="D276" i="19"/>
  <c r="E276" i="19"/>
  <c r="F276" i="19"/>
  <c r="G276" i="19"/>
  <c r="H276" i="19"/>
  <c r="I276" i="19"/>
  <c r="J276" i="19"/>
  <c r="K276" i="19"/>
  <c r="M276" i="19"/>
  <c r="N276" i="19"/>
  <c r="O276" i="19"/>
  <c r="Q276" i="19"/>
  <c r="A277" i="19"/>
  <c r="B277" i="19"/>
  <c r="C277" i="19"/>
  <c r="D277" i="19"/>
  <c r="E277" i="19"/>
  <c r="F277" i="19"/>
  <c r="G277" i="19"/>
  <c r="H277" i="19"/>
  <c r="I277" i="19"/>
  <c r="J277" i="19"/>
  <c r="K277" i="19"/>
  <c r="M277" i="19"/>
  <c r="N277" i="19"/>
  <c r="O277" i="19"/>
  <c r="Q277" i="19"/>
  <c r="A278" i="19"/>
  <c r="B278" i="19"/>
  <c r="C278" i="19"/>
  <c r="D278" i="19"/>
  <c r="E278" i="19"/>
  <c r="F278" i="19"/>
  <c r="G278" i="19"/>
  <c r="H278" i="19"/>
  <c r="I278" i="19"/>
  <c r="J278" i="19"/>
  <c r="K278" i="19"/>
  <c r="M278" i="19"/>
  <c r="N278" i="19"/>
  <c r="O278" i="19"/>
  <c r="Q278" i="19"/>
  <c r="A279" i="19"/>
  <c r="B279" i="19"/>
  <c r="C279" i="19"/>
  <c r="D279" i="19"/>
  <c r="E279" i="19"/>
  <c r="F279" i="19"/>
  <c r="G279" i="19"/>
  <c r="H279" i="19"/>
  <c r="I279" i="19"/>
  <c r="J279" i="19"/>
  <c r="K279" i="19"/>
  <c r="M279" i="19"/>
  <c r="N279" i="19"/>
  <c r="O279" i="19"/>
  <c r="Q279" i="19"/>
  <c r="A280" i="19"/>
  <c r="B280" i="19"/>
  <c r="C280" i="19"/>
  <c r="D280" i="19"/>
  <c r="E280" i="19"/>
  <c r="F280" i="19"/>
  <c r="G280" i="19"/>
  <c r="H280" i="19"/>
  <c r="I280" i="19"/>
  <c r="J280" i="19"/>
  <c r="K280" i="19"/>
  <c r="M280" i="19"/>
  <c r="N280" i="19"/>
  <c r="O280" i="19"/>
  <c r="Q280" i="19"/>
  <c r="A281" i="19"/>
  <c r="B281" i="19"/>
  <c r="C281" i="19"/>
  <c r="D281" i="19"/>
  <c r="E281" i="19"/>
  <c r="F281" i="19"/>
  <c r="G281" i="19"/>
  <c r="H281" i="19"/>
  <c r="I281" i="19"/>
  <c r="J281" i="19"/>
  <c r="K281" i="19"/>
  <c r="M281" i="19"/>
  <c r="N281" i="19"/>
  <c r="O281" i="19"/>
  <c r="Q281" i="19"/>
  <c r="A282" i="19"/>
  <c r="B282" i="19"/>
  <c r="C282" i="19"/>
  <c r="D282" i="19"/>
  <c r="E282" i="19"/>
  <c r="F282" i="19"/>
  <c r="G282" i="19"/>
  <c r="H282" i="19"/>
  <c r="I282" i="19"/>
  <c r="J282" i="19"/>
  <c r="K282" i="19"/>
  <c r="M282" i="19"/>
  <c r="N282" i="19"/>
  <c r="O282" i="19"/>
  <c r="Q282" i="19"/>
  <c r="A283" i="19"/>
  <c r="B283" i="19"/>
  <c r="C283" i="19"/>
  <c r="D283" i="19"/>
  <c r="E283" i="19"/>
  <c r="F283" i="19"/>
  <c r="G283" i="19"/>
  <c r="H283" i="19"/>
  <c r="I283" i="19"/>
  <c r="J283" i="19"/>
  <c r="K283" i="19"/>
  <c r="M283" i="19"/>
  <c r="N283" i="19"/>
  <c r="O283" i="19"/>
  <c r="Q283" i="19"/>
  <c r="A284" i="19"/>
  <c r="B284" i="19"/>
  <c r="C284" i="19"/>
  <c r="D284" i="19"/>
  <c r="E284" i="19"/>
  <c r="F284" i="19"/>
  <c r="G284" i="19"/>
  <c r="H284" i="19"/>
  <c r="I284" i="19"/>
  <c r="J284" i="19"/>
  <c r="K284" i="19"/>
  <c r="M284" i="19"/>
  <c r="N284" i="19"/>
  <c r="O284" i="19"/>
  <c r="Q284" i="19"/>
  <c r="A285" i="19"/>
  <c r="B285" i="19"/>
  <c r="C285" i="19"/>
  <c r="D285" i="19"/>
  <c r="E285" i="19"/>
  <c r="F285" i="19"/>
  <c r="G285" i="19"/>
  <c r="H285" i="19"/>
  <c r="I285" i="19"/>
  <c r="J285" i="19"/>
  <c r="K285" i="19"/>
  <c r="M285" i="19"/>
  <c r="N285" i="19"/>
  <c r="O285" i="19"/>
  <c r="Q285" i="19"/>
  <c r="A286" i="19"/>
  <c r="B286" i="19"/>
  <c r="C286" i="19"/>
  <c r="D286" i="19"/>
  <c r="E286" i="19"/>
  <c r="F286" i="19"/>
  <c r="G286" i="19"/>
  <c r="H286" i="19"/>
  <c r="I286" i="19"/>
  <c r="J286" i="19"/>
  <c r="K286" i="19"/>
  <c r="M286" i="19"/>
  <c r="N286" i="19"/>
  <c r="O286" i="19"/>
  <c r="Q286" i="19"/>
  <c r="A287" i="19"/>
  <c r="B287" i="19"/>
  <c r="C287" i="19"/>
  <c r="D287" i="19"/>
  <c r="E287" i="19"/>
  <c r="F287" i="19"/>
  <c r="G287" i="19"/>
  <c r="H287" i="19"/>
  <c r="I287" i="19"/>
  <c r="J287" i="19"/>
  <c r="K287" i="19"/>
  <c r="M287" i="19"/>
  <c r="N287" i="19"/>
  <c r="O287" i="19"/>
  <c r="Q287" i="19"/>
  <c r="A288" i="19"/>
  <c r="B288" i="19"/>
  <c r="C288" i="19"/>
  <c r="D288" i="19"/>
  <c r="E288" i="19"/>
  <c r="F288" i="19"/>
  <c r="G288" i="19"/>
  <c r="H288" i="19"/>
  <c r="I288" i="19"/>
  <c r="J288" i="19"/>
  <c r="K288" i="19"/>
  <c r="M288" i="19"/>
  <c r="N288" i="19"/>
  <c r="O288" i="19"/>
  <c r="Q288" i="19"/>
  <c r="A289" i="19"/>
  <c r="B289" i="19"/>
  <c r="C289" i="19"/>
  <c r="D289" i="19"/>
  <c r="E289" i="19"/>
  <c r="F289" i="19"/>
  <c r="G289" i="19"/>
  <c r="H289" i="19"/>
  <c r="I289" i="19"/>
  <c r="J289" i="19"/>
  <c r="K289" i="19"/>
  <c r="M289" i="19"/>
  <c r="N289" i="19"/>
  <c r="O289" i="19"/>
  <c r="Q289" i="19"/>
  <c r="A290" i="19"/>
  <c r="B290" i="19"/>
  <c r="C290" i="19"/>
  <c r="D290" i="19"/>
  <c r="E290" i="19"/>
  <c r="F290" i="19"/>
  <c r="G290" i="19"/>
  <c r="H290" i="19"/>
  <c r="I290" i="19"/>
  <c r="J290" i="19"/>
  <c r="K290" i="19"/>
  <c r="M290" i="19"/>
  <c r="N290" i="19"/>
  <c r="O290" i="19"/>
  <c r="Q290" i="19"/>
  <c r="A291" i="19"/>
  <c r="B291" i="19"/>
  <c r="C291" i="19"/>
  <c r="D291" i="19"/>
  <c r="E291" i="19"/>
  <c r="F291" i="19"/>
  <c r="G291" i="19"/>
  <c r="H291" i="19"/>
  <c r="I291" i="19"/>
  <c r="J291" i="19"/>
  <c r="K291" i="19"/>
  <c r="M291" i="19"/>
  <c r="N291" i="19"/>
  <c r="O291" i="19"/>
  <c r="Q291" i="19"/>
  <c r="A292" i="19"/>
  <c r="B292" i="19"/>
  <c r="C292" i="19"/>
  <c r="D292" i="19"/>
  <c r="E292" i="19"/>
  <c r="F292" i="19"/>
  <c r="G292" i="19"/>
  <c r="H292" i="19"/>
  <c r="I292" i="19"/>
  <c r="J292" i="19"/>
  <c r="K292" i="19"/>
  <c r="M292" i="19"/>
  <c r="N292" i="19"/>
  <c r="O292" i="19"/>
  <c r="Q292" i="19"/>
  <c r="A293" i="19"/>
  <c r="B293" i="19"/>
  <c r="C293" i="19"/>
  <c r="D293" i="19"/>
  <c r="E293" i="19"/>
  <c r="F293" i="19"/>
  <c r="G293" i="19"/>
  <c r="H293" i="19"/>
  <c r="I293" i="19"/>
  <c r="J293" i="19"/>
  <c r="K293" i="19"/>
  <c r="M293" i="19"/>
  <c r="N293" i="19"/>
  <c r="O293" i="19"/>
  <c r="Q293" i="19"/>
  <c r="A294" i="19"/>
  <c r="B294" i="19"/>
  <c r="C294" i="19"/>
  <c r="D294" i="19"/>
  <c r="E294" i="19"/>
  <c r="F294" i="19"/>
  <c r="G294" i="19"/>
  <c r="H294" i="19"/>
  <c r="I294" i="19"/>
  <c r="J294" i="19"/>
  <c r="K294" i="19"/>
  <c r="M294" i="19"/>
  <c r="N294" i="19"/>
  <c r="O294" i="19"/>
  <c r="Q294" i="19"/>
  <c r="A295" i="19"/>
  <c r="B295" i="19"/>
  <c r="C295" i="19"/>
  <c r="D295" i="19"/>
  <c r="E295" i="19"/>
  <c r="F295" i="19"/>
  <c r="G295" i="19"/>
  <c r="H295" i="19"/>
  <c r="I295" i="19"/>
  <c r="J295" i="19"/>
  <c r="K295" i="19"/>
  <c r="M295" i="19"/>
  <c r="N295" i="19"/>
  <c r="O295" i="19"/>
  <c r="Q295" i="19"/>
  <c r="A296" i="19"/>
  <c r="B296" i="19"/>
  <c r="C296" i="19"/>
  <c r="D296" i="19"/>
  <c r="E296" i="19"/>
  <c r="F296" i="19"/>
  <c r="G296" i="19"/>
  <c r="H296" i="19"/>
  <c r="I296" i="19"/>
  <c r="J296" i="19"/>
  <c r="K296" i="19"/>
  <c r="M296" i="19"/>
  <c r="N296" i="19"/>
  <c r="O296" i="19"/>
  <c r="Q296" i="19"/>
  <c r="A297" i="19"/>
  <c r="B297" i="19"/>
  <c r="C297" i="19"/>
  <c r="D297" i="19"/>
  <c r="E297" i="19"/>
  <c r="F297" i="19"/>
  <c r="G297" i="19"/>
  <c r="H297" i="19"/>
  <c r="I297" i="19"/>
  <c r="J297" i="19"/>
  <c r="K297" i="19"/>
  <c r="M297" i="19"/>
  <c r="N297" i="19"/>
  <c r="O297" i="19"/>
  <c r="Q297" i="19"/>
  <c r="A298" i="19"/>
  <c r="B298" i="19"/>
  <c r="C298" i="19"/>
  <c r="D298" i="19"/>
  <c r="E298" i="19"/>
  <c r="F298" i="19"/>
  <c r="G298" i="19"/>
  <c r="H298" i="19"/>
  <c r="I298" i="19"/>
  <c r="J298" i="19"/>
  <c r="K298" i="19"/>
  <c r="M298" i="19"/>
  <c r="N298" i="19"/>
  <c r="O298" i="19"/>
  <c r="Q298" i="19"/>
  <c r="A299" i="19"/>
  <c r="B299" i="19"/>
  <c r="C299" i="19"/>
  <c r="D299" i="19"/>
  <c r="E299" i="19"/>
  <c r="F299" i="19"/>
  <c r="G299" i="19"/>
  <c r="H299" i="19"/>
  <c r="I299" i="19"/>
  <c r="J299" i="19"/>
  <c r="K299" i="19"/>
  <c r="M299" i="19"/>
  <c r="N299" i="19"/>
  <c r="O299" i="19"/>
  <c r="Q299" i="19"/>
  <c r="A300" i="19"/>
  <c r="B300" i="19"/>
  <c r="C300" i="19"/>
  <c r="D300" i="19"/>
  <c r="E300" i="19"/>
  <c r="F300" i="19"/>
  <c r="H300" i="19"/>
  <c r="I300" i="19"/>
  <c r="J300" i="19"/>
  <c r="K300" i="19"/>
  <c r="M300" i="19"/>
  <c r="N300" i="19"/>
  <c r="O300" i="19"/>
  <c r="Q300" i="19"/>
  <c r="A301" i="19"/>
  <c r="B301" i="19"/>
  <c r="C301" i="19"/>
  <c r="D301" i="19"/>
  <c r="E301" i="19"/>
  <c r="F301" i="19"/>
  <c r="G301" i="19"/>
  <c r="H301" i="19"/>
  <c r="I301" i="19"/>
  <c r="J301" i="19"/>
  <c r="K301" i="19"/>
  <c r="M301" i="19"/>
  <c r="N301" i="19"/>
  <c r="O301" i="19"/>
  <c r="Q301" i="19"/>
  <c r="A302" i="19"/>
  <c r="B302" i="19"/>
  <c r="C302" i="19"/>
  <c r="D302" i="19"/>
  <c r="E302" i="19"/>
  <c r="F302" i="19"/>
  <c r="G302" i="19"/>
  <c r="H302" i="19"/>
  <c r="I302" i="19"/>
  <c r="J302" i="19"/>
  <c r="K302" i="19"/>
  <c r="M302" i="19"/>
  <c r="N302" i="19"/>
  <c r="O302" i="19"/>
  <c r="Q302" i="19"/>
  <c r="A303" i="19"/>
  <c r="B303" i="19"/>
  <c r="C303" i="19"/>
  <c r="D303" i="19"/>
  <c r="E303" i="19"/>
  <c r="F303" i="19"/>
  <c r="G303" i="19"/>
  <c r="H303" i="19"/>
  <c r="I303" i="19"/>
  <c r="J303" i="19"/>
  <c r="K303" i="19"/>
  <c r="M303" i="19"/>
  <c r="N303" i="19"/>
  <c r="O303" i="19"/>
  <c r="Q303" i="19"/>
  <c r="A304" i="19"/>
  <c r="B304" i="19"/>
  <c r="C304" i="19"/>
  <c r="D304" i="19"/>
  <c r="E304" i="19"/>
  <c r="F304" i="19"/>
  <c r="G304" i="19"/>
  <c r="H304" i="19"/>
  <c r="I304" i="19"/>
  <c r="J304" i="19"/>
  <c r="K304" i="19"/>
  <c r="M304" i="19"/>
  <c r="N304" i="19"/>
  <c r="O304" i="19"/>
  <c r="Q304" i="19"/>
  <c r="A305" i="19"/>
  <c r="B305" i="19"/>
  <c r="C305" i="19"/>
  <c r="D305" i="19"/>
  <c r="E305" i="19"/>
  <c r="F305" i="19"/>
  <c r="G305" i="19"/>
  <c r="H305" i="19"/>
  <c r="I305" i="19"/>
  <c r="J305" i="19"/>
  <c r="K305" i="19"/>
  <c r="M305" i="19"/>
  <c r="N305" i="19"/>
  <c r="O305" i="19"/>
  <c r="Q305" i="19"/>
  <c r="C264" i="25" l="1"/>
  <c r="E265" i="13"/>
  <c r="F265" i="13" s="1"/>
  <c r="C210" i="25"/>
  <c r="E211" i="13"/>
  <c r="F211" i="13" s="1"/>
  <c r="C186" i="25"/>
  <c r="E187" i="13"/>
  <c r="F187" i="13" s="1"/>
  <c r="C171" i="25"/>
  <c r="E172" i="13"/>
  <c r="F172" i="13" s="1"/>
  <c r="C155" i="25"/>
  <c r="E156" i="13"/>
  <c r="F156" i="13" s="1"/>
  <c r="E88" i="13"/>
  <c r="F88" i="13" s="1"/>
  <c r="C87" i="25"/>
  <c r="C63" i="25"/>
  <c r="E64" i="13"/>
  <c r="F64" i="13" s="1"/>
  <c r="C55" i="25"/>
  <c r="E56" i="13"/>
  <c r="F56" i="13" s="1"/>
  <c r="C300" i="25"/>
  <c r="E301" i="13"/>
  <c r="F301" i="13" s="1"/>
  <c r="C301" i="25"/>
  <c r="E302" i="13"/>
  <c r="F302" i="13" s="1"/>
  <c r="C294" i="25"/>
  <c r="E295" i="13"/>
  <c r="F295" i="13" s="1"/>
  <c r="C286" i="25"/>
  <c r="E287" i="13"/>
  <c r="F287" i="13" s="1"/>
  <c r="C278" i="25"/>
  <c r="E279" i="13"/>
  <c r="F279" i="13" s="1"/>
  <c r="C270" i="25"/>
  <c r="E271" i="13"/>
  <c r="F271" i="13" s="1"/>
  <c r="C263" i="25"/>
  <c r="E264" i="13"/>
  <c r="F264" i="13" s="1"/>
  <c r="C256" i="25"/>
  <c r="E257" i="13"/>
  <c r="F257" i="13" s="1"/>
  <c r="C248" i="25"/>
  <c r="E249" i="13"/>
  <c r="F249" i="13" s="1"/>
  <c r="C240" i="25"/>
  <c r="E241" i="13"/>
  <c r="F241" i="13" s="1"/>
  <c r="C232" i="25"/>
  <c r="E233" i="13"/>
  <c r="F233" i="13" s="1"/>
  <c r="C225" i="25"/>
  <c r="E226" i="13"/>
  <c r="F226" i="13" s="1"/>
  <c r="C217" i="25"/>
  <c r="E218" i="13"/>
  <c r="F218" i="13" s="1"/>
  <c r="C209" i="25"/>
  <c r="E210" i="13"/>
  <c r="F210" i="13" s="1"/>
  <c r="C201" i="25"/>
  <c r="E202" i="13"/>
  <c r="F202" i="13" s="1"/>
  <c r="C193" i="25"/>
  <c r="E194" i="13"/>
  <c r="F194" i="13" s="1"/>
  <c r="C185" i="25"/>
  <c r="E186" i="13"/>
  <c r="F186" i="13" s="1"/>
  <c r="C177" i="25"/>
  <c r="E178" i="13"/>
  <c r="F178" i="13" s="1"/>
  <c r="C170" i="25"/>
  <c r="E171" i="13"/>
  <c r="F171" i="13" s="1"/>
  <c r="C162" i="25"/>
  <c r="E163" i="13"/>
  <c r="F163" i="13" s="1"/>
  <c r="C154" i="25"/>
  <c r="E155" i="13"/>
  <c r="F155" i="13" s="1"/>
  <c r="C146" i="25"/>
  <c r="E147" i="13"/>
  <c r="F147" i="13" s="1"/>
  <c r="C139" i="25"/>
  <c r="E140" i="13"/>
  <c r="F140" i="13" s="1"/>
  <c r="C132" i="25"/>
  <c r="E133" i="13"/>
  <c r="F133" i="13" s="1"/>
  <c r="C124" i="25"/>
  <c r="E125" i="13"/>
  <c r="F125" i="13" s="1"/>
  <c r="C117" i="25"/>
  <c r="E118" i="13"/>
  <c r="F118" i="13" s="1"/>
  <c r="C110" i="25"/>
  <c r="E111" i="13"/>
  <c r="F111" i="13" s="1"/>
  <c r="C102" i="25"/>
  <c r="E103" i="13"/>
  <c r="F103" i="13" s="1"/>
  <c r="E95" i="13"/>
  <c r="F95" i="13" s="1"/>
  <c r="C94" i="25"/>
  <c r="C86" i="25"/>
  <c r="E87" i="13"/>
  <c r="F87" i="13" s="1"/>
  <c r="C78" i="25"/>
  <c r="E79" i="13"/>
  <c r="F79" i="13" s="1"/>
  <c r="C70" i="25"/>
  <c r="E71" i="13"/>
  <c r="F71" i="13" s="1"/>
  <c r="C62" i="25"/>
  <c r="E63" i="13"/>
  <c r="F63" i="13" s="1"/>
  <c r="E55" i="13"/>
  <c r="F55" i="13" s="1"/>
  <c r="C54" i="25"/>
  <c r="C46" i="25"/>
  <c r="E47" i="13"/>
  <c r="F47" i="13" s="1"/>
  <c r="C38" i="25"/>
  <c r="E39" i="13"/>
  <c r="F39" i="13" s="1"/>
  <c r="C30" i="25"/>
  <c r="E31" i="13"/>
  <c r="F31" i="13" s="1"/>
  <c r="C22" i="25"/>
  <c r="E23" i="13"/>
  <c r="F23" i="13" s="1"/>
  <c r="C15" i="25"/>
  <c r="E16" i="13"/>
  <c r="F16" i="13" s="1"/>
  <c r="E8" i="13"/>
  <c r="F8" i="13" s="1"/>
  <c r="C7" i="25"/>
  <c r="C302" i="25"/>
  <c r="E303" i="13"/>
  <c r="F303" i="13" s="1"/>
  <c r="E40" i="13"/>
  <c r="F40" i="13" s="1"/>
  <c r="C39" i="25"/>
  <c r="C296" i="25"/>
  <c r="E297" i="13"/>
  <c r="F297" i="13" s="1"/>
  <c r="C288" i="25"/>
  <c r="E289" i="13"/>
  <c r="F289" i="13" s="1"/>
  <c r="C280" i="25"/>
  <c r="E281" i="13"/>
  <c r="F281" i="13" s="1"/>
  <c r="C272" i="25"/>
  <c r="E273" i="13"/>
  <c r="F273" i="13" s="1"/>
  <c r="C265" i="25"/>
  <c r="E266" i="13"/>
  <c r="F266" i="13" s="1"/>
  <c r="C258" i="25"/>
  <c r="E259" i="13"/>
  <c r="F259" i="13" s="1"/>
  <c r="C250" i="25"/>
  <c r="E251" i="13"/>
  <c r="F251" i="13" s="1"/>
  <c r="C242" i="25"/>
  <c r="E243" i="13"/>
  <c r="F243" i="13" s="1"/>
  <c r="C234" i="25"/>
  <c r="E235" i="13"/>
  <c r="F235" i="13" s="1"/>
  <c r="C219" i="25"/>
  <c r="E220" i="13"/>
  <c r="F220" i="13" s="1"/>
  <c r="C211" i="25"/>
  <c r="E212" i="13"/>
  <c r="F212" i="13" s="1"/>
  <c r="C203" i="25"/>
  <c r="E204" i="13"/>
  <c r="F204" i="13" s="1"/>
  <c r="C195" i="25"/>
  <c r="E196" i="13"/>
  <c r="F196" i="13" s="1"/>
  <c r="C187" i="25"/>
  <c r="E188" i="13"/>
  <c r="F188" i="13" s="1"/>
  <c r="C179" i="25"/>
  <c r="E180" i="13"/>
  <c r="F180" i="13" s="1"/>
  <c r="C172" i="25"/>
  <c r="E173" i="13"/>
  <c r="F173" i="13" s="1"/>
  <c r="C164" i="25"/>
  <c r="E165" i="13"/>
  <c r="F165" i="13" s="1"/>
  <c r="C156" i="25"/>
  <c r="E157" i="13"/>
  <c r="F157" i="13" s="1"/>
  <c r="C148" i="25"/>
  <c r="E149" i="13"/>
  <c r="F149" i="13" s="1"/>
  <c r="C141" i="25"/>
  <c r="E142" i="13"/>
  <c r="F142" i="13" s="1"/>
  <c r="C134" i="25"/>
  <c r="E135" i="13"/>
  <c r="F135" i="13" s="1"/>
  <c r="C126" i="25"/>
  <c r="E127" i="13"/>
  <c r="F127" i="13" s="1"/>
  <c r="C104" i="25"/>
  <c r="E105" i="13"/>
  <c r="F105" i="13" s="1"/>
  <c r="C96" i="25"/>
  <c r="E97" i="13"/>
  <c r="F97" i="13" s="1"/>
  <c r="C88" i="25"/>
  <c r="E89" i="13"/>
  <c r="F89" i="13" s="1"/>
  <c r="C80" i="25"/>
  <c r="E81" i="13"/>
  <c r="F81" i="13" s="1"/>
  <c r="C72" i="25"/>
  <c r="E73" i="13"/>
  <c r="F73" i="13" s="1"/>
  <c r="C64" i="25"/>
  <c r="E65" i="13"/>
  <c r="F65" i="13" s="1"/>
  <c r="C56" i="25"/>
  <c r="E57" i="13"/>
  <c r="F57" i="13" s="1"/>
  <c r="C48" i="25"/>
  <c r="E49" i="13"/>
  <c r="F49" i="13" s="1"/>
  <c r="C40" i="25"/>
  <c r="E41" i="13"/>
  <c r="F41" i="13" s="1"/>
  <c r="C32" i="25"/>
  <c r="E33" i="13"/>
  <c r="F33" i="13" s="1"/>
  <c r="C24" i="25"/>
  <c r="E25" i="13"/>
  <c r="F25" i="13" s="1"/>
  <c r="C17" i="25"/>
  <c r="E18" i="13"/>
  <c r="F18" i="13" s="1"/>
  <c r="E10" i="13"/>
  <c r="F10" i="13" s="1"/>
  <c r="C9" i="25"/>
  <c r="C295" i="25"/>
  <c r="E296" i="13"/>
  <c r="F296" i="13" s="1"/>
  <c r="C287" i="25"/>
  <c r="E288" i="13"/>
  <c r="F288" i="13" s="1"/>
  <c r="C279" i="25"/>
  <c r="E280" i="13"/>
  <c r="F280" i="13" s="1"/>
  <c r="C257" i="25"/>
  <c r="E258" i="13"/>
  <c r="F258" i="13" s="1"/>
  <c r="C194" i="25"/>
  <c r="E195" i="13"/>
  <c r="F195" i="13" s="1"/>
  <c r="C178" i="25"/>
  <c r="E179" i="13"/>
  <c r="F179" i="13" s="1"/>
  <c r="C147" i="25"/>
  <c r="E148" i="13"/>
  <c r="F148" i="13" s="1"/>
  <c r="C111" i="25"/>
  <c r="E112" i="13"/>
  <c r="F112" i="13" s="1"/>
  <c r="C31" i="25"/>
  <c r="E32" i="13"/>
  <c r="F32" i="13" s="1"/>
  <c r="C304" i="25"/>
  <c r="E305" i="13"/>
  <c r="F305" i="13" s="1"/>
  <c r="C297" i="25"/>
  <c r="E298" i="13"/>
  <c r="F298" i="13" s="1"/>
  <c r="C289" i="25"/>
  <c r="E290" i="13"/>
  <c r="F290" i="13" s="1"/>
  <c r="C281" i="25"/>
  <c r="E282" i="13"/>
  <c r="F282" i="13" s="1"/>
  <c r="C273" i="25"/>
  <c r="E274" i="13"/>
  <c r="F274" i="13" s="1"/>
  <c r="C266" i="25"/>
  <c r="E267" i="13"/>
  <c r="F267" i="13" s="1"/>
  <c r="C259" i="25"/>
  <c r="E260" i="13"/>
  <c r="F260" i="13" s="1"/>
  <c r="C251" i="25"/>
  <c r="E252" i="13"/>
  <c r="F252" i="13" s="1"/>
  <c r="C243" i="25"/>
  <c r="E244" i="13"/>
  <c r="F244" i="13" s="1"/>
  <c r="C235" i="25"/>
  <c r="E236" i="13"/>
  <c r="F236" i="13" s="1"/>
  <c r="C227" i="25"/>
  <c r="E228" i="13"/>
  <c r="F228" i="13" s="1"/>
  <c r="C220" i="25"/>
  <c r="E221" i="13"/>
  <c r="F221" i="13" s="1"/>
  <c r="C212" i="25"/>
  <c r="E213" i="13"/>
  <c r="F213" i="13" s="1"/>
  <c r="C204" i="25"/>
  <c r="E205" i="13"/>
  <c r="F205" i="13" s="1"/>
  <c r="C196" i="25"/>
  <c r="E197" i="13"/>
  <c r="F197" i="13" s="1"/>
  <c r="C188" i="25"/>
  <c r="E189" i="13"/>
  <c r="F189" i="13" s="1"/>
  <c r="C180" i="25"/>
  <c r="E181" i="13"/>
  <c r="F181" i="13" s="1"/>
  <c r="C173" i="25"/>
  <c r="E174" i="13"/>
  <c r="F174" i="13" s="1"/>
  <c r="C165" i="25"/>
  <c r="E166" i="13"/>
  <c r="F166" i="13" s="1"/>
  <c r="C157" i="25"/>
  <c r="E158" i="13"/>
  <c r="F158" i="13" s="1"/>
  <c r="C149" i="25"/>
  <c r="E150" i="13"/>
  <c r="F150" i="13" s="1"/>
  <c r="C135" i="25"/>
  <c r="E136" i="13"/>
  <c r="F136" i="13" s="1"/>
  <c r="C127" i="25"/>
  <c r="E128" i="13"/>
  <c r="F128" i="13" s="1"/>
  <c r="C119" i="25"/>
  <c r="E120" i="13"/>
  <c r="F120" i="13" s="1"/>
  <c r="C112" i="25"/>
  <c r="E113" i="13"/>
  <c r="F113" i="13" s="1"/>
  <c r="C105" i="25"/>
  <c r="E106" i="13"/>
  <c r="F106" i="13" s="1"/>
  <c r="C97" i="25"/>
  <c r="E98" i="13"/>
  <c r="F98" i="13" s="1"/>
  <c r="E90" i="13"/>
  <c r="F90" i="13" s="1"/>
  <c r="C89" i="25"/>
  <c r="C81" i="25"/>
  <c r="E82" i="13"/>
  <c r="F82" i="13" s="1"/>
  <c r="C73" i="25"/>
  <c r="E74" i="13"/>
  <c r="F74" i="13" s="1"/>
  <c r="C65" i="25"/>
  <c r="E66" i="13"/>
  <c r="F66" i="13" s="1"/>
  <c r="C57" i="25"/>
  <c r="E58" i="13"/>
  <c r="F58" i="13" s="1"/>
  <c r="C49" i="25"/>
  <c r="E50" i="13"/>
  <c r="F50" i="13" s="1"/>
  <c r="E42" i="13"/>
  <c r="F42" i="13" s="1"/>
  <c r="C41" i="25"/>
  <c r="E34" i="13"/>
  <c r="F34" i="13" s="1"/>
  <c r="C33" i="25"/>
  <c r="E26" i="13"/>
  <c r="F26" i="13" s="1"/>
  <c r="C25" i="25"/>
  <c r="C18" i="25"/>
  <c r="E19" i="13"/>
  <c r="F19" i="13" s="1"/>
  <c r="C10" i="25"/>
  <c r="E11" i="13"/>
  <c r="F11" i="13" s="1"/>
  <c r="C125" i="25"/>
  <c r="E126" i="13"/>
  <c r="F126" i="13" s="1"/>
  <c r="C303" i="25"/>
  <c r="E304" i="13"/>
  <c r="F304" i="13" s="1"/>
  <c r="C298" i="25"/>
  <c r="E299" i="13"/>
  <c r="F299" i="13" s="1"/>
  <c r="C290" i="25"/>
  <c r="E291" i="13"/>
  <c r="F291" i="13" s="1"/>
  <c r="C282" i="25"/>
  <c r="E283" i="13"/>
  <c r="F283" i="13" s="1"/>
  <c r="C274" i="25"/>
  <c r="E275" i="13"/>
  <c r="F275" i="13" s="1"/>
  <c r="C267" i="25"/>
  <c r="E268" i="13"/>
  <c r="F268" i="13" s="1"/>
  <c r="C252" i="25"/>
  <c r="E253" i="13"/>
  <c r="F253" i="13" s="1"/>
  <c r="C244" i="25"/>
  <c r="E245" i="13"/>
  <c r="F245" i="13" s="1"/>
  <c r="C236" i="25"/>
  <c r="E237" i="13"/>
  <c r="F237" i="13" s="1"/>
  <c r="C228" i="25"/>
  <c r="E229" i="13"/>
  <c r="F229" i="13" s="1"/>
  <c r="C221" i="25"/>
  <c r="E222" i="13"/>
  <c r="F222" i="13" s="1"/>
  <c r="C213" i="25"/>
  <c r="E214" i="13"/>
  <c r="F214" i="13" s="1"/>
  <c r="C205" i="25"/>
  <c r="E206" i="13"/>
  <c r="F206" i="13" s="1"/>
  <c r="C197" i="25"/>
  <c r="E198" i="13"/>
  <c r="F198" i="13" s="1"/>
  <c r="C189" i="25"/>
  <c r="E190" i="13"/>
  <c r="F190" i="13" s="1"/>
  <c r="C181" i="25"/>
  <c r="E182" i="13"/>
  <c r="F182" i="13" s="1"/>
  <c r="C166" i="25"/>
  <c r="E167" i="13"/>
  <c r="F167" i="13" s="1"/>
  <c r="C158" i="25"/>
  <c r="E159" i="13"/>
  <c r="F159" i="13" s="1"/>
  <c r="C150" i="25"/>
  <c r="E151" i="13"/>
  <c r="F151" i="13" s="1"/>
  <c r="C142" i="25"/>
  <c r="E143" i="13"/>
  <c r="F143" i="13" s="1"/>
  <c r="C128" i="25"/>
  <c r="E129" i="13"/>
  <c r="F129" i="13" s="1"/>
  <c r="C120" i="25"/>
  <c r="E121" i="13"/>
  <c r="F121" i="13" s="1"/>
  <c r="C113" i="25"/>
  <c r="E114" i="13"/>
  <c r="F114" i="13" s="1"/>
  <c r="C106" i="25"/>
  <c r="E107" i="13"/>
  <c r="F107" i="13" s="1"/>
  <c r="C98" i="25"/>
  <c r="E99" i="13"/>
  <c r="F99" i="13" s="1"/>
  <c r="C90" i="25"/>
  <c r="E91" i="13"/>
  <c r="F91" i="13" s="1"/>
  <c r="C82" i="25"/>
  <c r="E83" i="13"/>
  <c r="F83" i="13" s="1"/>
  <c r="C74" i="25"/>
  <c r="E75" i="13"/>
  <c r="F75" i="13" s="1"/>
  <c r="C66" i="25"/>
  <c r="E67" i="13"/>
  <c r="F67" i="13" s="1"/>
  <c r="C58" i="25"/>
  <c r="E59" i="13"/>
  <c r="F59" i="13" s="1"/>
  <c r="C50" i="25"/>
  <c r="E51" i="13"/>
  <c r="F51" i="13" s="1"/>
  <c r="C42" i="25"/>
  <c r="E43" i="13"/>
  <c r="F43" i="13" s="1"/>
  <c r="C34" i="25"/>
  <c r="E35" i="13"/>
  <c r="F35" i="13" s="1"/>
  <c r="E27" i="13"/>
  <c r="F27" i="13" s="1"/>
  <c r="C26" i="25"/>
  <c r="C19" i="25"/>
  <c r="E20" i="13"/>
  <c r="F20" i="13" s="1"/>
  <c r="E12" i="13"/>
  <c r="F12" i="13" s="1"/>
  <c r="C11" i="25"/>
  <c r="C271" i="25"/>
  <c r="E272" i="13"/>
  <c r="F272" i="13" s="1"/>
  <c r="C249" i="25"/>
  <c r="E250" i="13"/>
  <c r="F250" i="13" s="1"/>
  <c r="C226" i="25"/>
  <c r="E227" i="13"/>
  <c r="F227" i="13" s="1"/>
  <c r="C218" i="25"/>
  <c r="E219" i="13"/>
  <c r="F219" i="13" s="1"/>
  <c r="C202" i="25"/>
  <c r="E203" i="13"/>
  <c r="F203" i="13" s="1"/>
  <c r="C16" i="25"/>
  <c r="E17" i="13"/>
  <c r="F17" i="13" s="1"/>
  <c r="C291" i="25"/>
  <c r="E292" i="13"/>
  <c r="F292" i="13" s="1"/>
  <c r="C283" i="25"/>
  <c r="E284" i="13"/>
  <c r="F284" i="13" s="1"/>
  <c r="C275" i="25"/>
  <c r="E276" i="13"/>
  <c r="F276" i="13" s="1"/>
  <c r="C268" i="25"/>
  <c r="E269" i="13"/>
  <c r="F269" i="13" s="1"/>
  <c r="C260" i="25"/>
  <c r="E261" i="13"/>
  <c r="F261" i="13" s="1"/>
  <c r="C253" i="25"/>
  <c r="E254" i="13"/>
  <c r="F254" i="13" s="1"/>
  <c r="C245" i="25"/>
  <c r="E246" i="13"/>
  <c r="F246" i="13" s="1"/>
  <c r="C237" i="25"/>
  <c r="E238" i="13"/>
  <c r="F238" i="13" s="1"/>
  <c r="C229" i="25"/>
  <c r="E230" i="13"/>
  <c r="F230" i="13" s="1"/>
  <c r="C222" i="25"/>
  <c r="E223" i="13"/>
  <c r="F223" i="13" s="1"/>
  <c r="C214" i="25"/>
  <c r="E215" i="13"/>
  <c r="F215" i="13" s="1"/>
  <c r="C206" i="25"/>
  <c r="E207" i="13"/>
  <c r="F207" i="13" s="1"/>
  <c r="C198" i="25"/>
  <c r="E199" i="13"/>
  <c r="F199" i="13" s="1"/>
  <c r="C190" i="25"/>
  <c r="E191" i="13"/>
  <c r="F191" i="13" s="1"/>
  <c r="C182" i="25"/>
  <c r="E183" i="13"/>
  <c r="F183" i="13" s="1"/>
  <c r="C174" i="25"/>
  <c r="E175" i="13"/>
  <c r="F175" i="13" s="1"/>
  <c r="C167" i="25"/>
  <c r="E168" i="13"/>
  <c r="F168" i="13" s="1"/>
  <c r="C159" i="25"/>
  <c r="E160" i="13"/>
  <c r="F160" i="13" s="1"/>
  <c r="C151" i="25"/>
  <c r="E152" i="13"/>
  <c r="F152" i="13" s="1"/>
  <c r="C143" i="25"/>
  <c r="E144" i="13"/>
  <c r="F144" i="13" s="1"/>
  <c r="C136" i="25"/>
  <c r="E137" i="13"/>
  <c r="F137" i="13" s="1"/>
  <c r="C129" i="25"/>
  <c r="E130" i="13"/>
  <c r="F130" i="13" s="1"/>
  <c r="C121" i="25"/>
  <c r="E122" i="13"/>
  <c r="F122" i="13" s="1"/>
  <c r="C114" i="25"/>
  <c r="E115" i="13"/>
  <c r="F115" i="13" s="1"/>
  <c r="C107" i="25"/>
  <c r="E108" i="13"/>
  <c r="F108" i="13" s="1"/>
  <c r="C99" i="25"/>
  <c r="E100" i="13"/>
  <c r="F100" i="13" s="1"/>
  <c r="E92" i="13"/>
  <c r="F92" i="13" s="1"/>
  <c r="C91" i="25"/>
  <c r="C83" i="25"/>
  <c r="E84" i="13"/>
  <c r="F84" i="13" s="1"/>
  <c r="C75" i="25"/>
  <c r="E76" i="13"/>
  <c r="F76" i="13" s="1"/>
  <c r="E68" i="13"/>
  <c r="F68" i="13" s="1"/>
  <c r="C67" i="25"/>
  <c r="C59" i="25"/>
  <c r="E60" i="13"/>
  <c r="F60" i="13" s="1"/>
  <c r="E52" i="13"/>
  <c r="F52" i="13" s="1"/>
  <c r="C51" i="25"/>
  <c r="C43" i="25"/>
  <c r="E44" i="13"/>
  <c r="F44" i="13" s="1"/>
  <c r="E36" i="13"/>
  <c r="F36" i="13" s="1"/>
  <c r="C35" i="25"/>
  <c r="E28" i="13"/>
  <c r="F28" i="13" s="1"/>
  <c r="C27" i="25"/>
  <c r="E13" i="13"/>
  <c r="F13" i="13" s="1"/>
  <c r="C12" i="25"/>
  <c r="C241" i="25"/>
  <c r="E242" i="13"/>
  <c r="F242" i="13" s="1"/>
  <c r="C133" i="25"/>
  <c r="E134" i="13"/>
  <c r="F134" i="13" s="1"/>
  <c r="C118" i="25"/>
  <c r="E119" i="13"/>
  <c r="F119" i="13" s="1"/>
  <c r="C95" i="25"/>
  <c r="E96" i="13"/>
  <c r="F96" i="13" s="1"/>
  <c r="C79" i="25"/>
  <c r="E80" i="13"/>
  <c r="F80" i="13" s="1"/>
  <c r="C47" i="25"/>
  <c r="E48" i="13"/>
  <c r="F48" i="13" s="1"/>
  <c r="C299" i="25"/>
  <c r="E300" i="13"/>
  <c r="F300" i="13" s="1"/>
  <c r="C292" i="25"/>
  <c r="E293" i="13"/>
  <c r="F293" i="13" s="1"/>
  <c r="C284" i="25"/>
  <c r="E285" i="13"/>
  <c r="F285" i="13" s="1"/>
  <c r="C276" i="25"/>
  <c r="E277" i="13"/>
  <c r="F277" i="13" s="1"/>
  <c r="C269" i="25"/>
  <c r="E270" i="13"/>
  <c r="F270" i="13" s="1"/>
  <c r="C261" i="25"/>
  <c r="E262" i="13"/>
  <c r="F262" i="13" s="1"/>
  <c r="C254" i="25"/>
  <c r="E255" i="13"/>
  <c r="F255" i="13" s="1"/>
  <c r="C246" i="25"/>
  <c r="E247" i="13"/>
  <c r="F247" i="13" s="1"/>
  <c r="C238" i="25"/>
  <c r="E239" i="13"/>
  <c r="F239" i="13" s="1"/>
  <c r="C230" i="25"/>
  <c r="E231" i="13"/>
  <c r="F231" i="13" s="1"/>
  <c r="C223" i="25"/>
  <c r="E224" i="13"/>
  <c r="F224" i="13" s="1"/>
  <c r="C215" i="25"/>
  <c r="E216" i="13"/>
  <c r="F216" i="13" s="1"/>
  <c r="C207" i="25"/>
  <c r="E208" i="13"/>
  <c r="F208" i="13" s="1"/>
  <c r="C199" i="25"/>
  <c r="E200" i="13"/>
  <c r="F200" i="13" s="1"/>
  <c r="C191" i="25"/>
  <c r="E192" i="13"/>
  <c r="F192" i="13" s="1"/>
  <c r="C183" i="25"/>
  <c r="E184" i="13"/>
  <c r="F184" i="13" s="1"/>
  <c r="C175" i="25"/>
  <c r="E176" i="13"/>
  <c r="F176" i="13" s="1"/>
  <c r="C168" i="25"/>
  <c r="E169" i="13"/>
  <c r="F169" i="13" s="1"/>
  <c r="C160" i="25"/>
  <c r="E161" i="13"/>
  <c r="F161" i="13" s="1"/>
  <c r="C152" i="25"/>
  <c r="E153" i="13"/>
  <c r="F153" i="13" s="1"/>
  <c r="C144" i="25"/>
  <c r="E145" i="13"/>
  <c r="F145" i="13" s="1"/>
  <c r="C137" i="25"/>
  <c r="E138" i="13"/>
  <c r="F138" i="13" s="1"/>
  <c r="C130" i="25"/>
  <c r="E131" i="13"/>
  <c r="F131" i="13" s="1"/>
  <c r="C122" i="25"/>
  <c r="E123" i="13"/>
  <c r="F123" i="13" s="1"/>
  <c r="C115" i="25"/>
  <c r="E116" i="13"/>
  <c r="F116" i="13" s="1"/>
  <c r="C108" i="25"/>
  <c r="E109" i="13"/>
  <c r="F109" i="13" s="1"/>
  <c r="C100" i="25"/>
  <c r="E101" i="13"/>
  <c r="F101" i="13" s="1"/>
  <c r="E93" i="13"/>
  <c r="F93" i="13" s="1"/>
  <c r="C92" i="25"/>
  <c r="C84" i="25"/>
  <c r="E85" i="13"/>
  <c r="F85" i="13" s="1"/>
  <c r="C76" i="25"/>
  <c r="E77" i="13"/>
  <c r="F77" i="13" s="1"/>
  <c r="C68" i="25"/>
  <c r="E69" i="13"/>
  <c r="F69" i="13" s="1"/>
  <c r="C60" i="25"/>
  <c r="E61" i="13"/>
  <c r="F61" i="13" s="1"/>
  <c r="C52" i="25"/>
  <c r="E53" i="13"/>
  <c r="F53" i="13" s="1"/>
  <c r="C44" i="25"/>
  <c r="E45" i="13"/>
  <c r="F45" i="13" s="1"/>
  <c r="C36" i="25"/>
  <c r="E37" i="13"/>
  <c r="F37" i="13" s="1"/>
  <c r="C28" i="25"/>
  <c r="E29" i="13"/>
  <c r="F29" i="13" s="1"/>
  <c r="C20" i="25"/>
  <c r="E21" i="13"/>
  <c r="F21" i="13" s="1"/>
  <c r="C13" i="25"/>
  <c r="E14" i="13"/>
  <c r="F14" i="13" s="1"/>
  <c r="C233" i="25"/>
  <c r="E234" i="13"/>
  <c r="F234" i="13" s="1"/>
  <c r="C163" i="25"/>
  <c r="E164" i="13"/>
  <c r="F164" i="13" s="1"/>
  <c r="C140" i="25"/>
  <c r="E141" i="13"/>
  <c r="F141" i="13" s="1"/>
  <c r="C103" i="25"/>
  <c r="E104" i="13"/>
  <c r="F104" i="13" s="1"/>
  <c r="C71" i="25"/>
  <c r="E72" i="13"/>
  <c r="F72" i="13" s="1"/>
  <c r="E24" i="13"/>
  <c r="F24" i="13" s="1"/>
  <c r="C23" i="25"/>
  <c r="C8" i="25"/>
  <c r="E9" i="13"/>
  <c r="F9" i="13" s="1"/>
  <c r="C293" i="25"/>
  <c r="E294" i="13"/>
  <c r="F294" i="13" s="1"/>
  <c r="C285" i="25"/>
  <c r="E286" i="13"/>
  <c r="F286" i="13" s="1"/>
  <c r="C277" i="25"/>
  <c r="E278" i="13"/>
  <c r="F278" i="13" s="1"/>
  <c r="C262" i="25"/>
  <c r="E263" i="13"/>
  <c r="F263" i="13" s="1"/>
  <c r="C255" i="25"/>
  <c r="E256" i="13"/>
  <c r="F256" i="13" s="1"/>
  <c r="C247" i="25"/>
  <c r="E248" i="13"/>
  <c r="F248" i="13" s="1"/>
  <c r="C239" i="25"/>
  <c r="E240" i="13"/>
  <c r="F240" i="13" s="1"/>
  <c r="C231" i="25"/>
  <c r="E232" i="13"/>
  <c r="F232" i="13" s="1"/>
  <c r="C224" i="25"/>
  <c r="E225" i="13"/>
  <c r="F225" i="13" s="1"/>
  <c r="C216" i="25"/>
  <c r="E217" i="13"/>
  <c r="F217" i="13" s="1"/>
  <c r="C208" i="25"/>
  <c r="E209" i="13"/>
  <c r="F209" i="13" s="1"/>
  <c r="C200" i="25"/>
  <c r="E201" i="13"/>
  <c r="F201" i="13" s="1"/>
  <c r="C192" i="25"/>
  <c r="E193" i="13"/>
  <c r="F193" i="13" s="1"/>
  <c r="C184" i="25"/>
  <c r="E185" i="13"/>
  <c r="F185" i="13" s="1"/>
  <c r="E177" i="13"/>
  <c r="F177" i="13" s="1"/>
  <c r="C176" i="25"/>
  <c r="C169" i="25"/>
  <c r="E170" i="13"/>
  <c r="F170" i="13" s="1"/>
  <c r="C161" i="25"/>
  <c r="E162" i="13"/>
  <c r="F162" i="13" s="1"/>
  <c r="C153" i="25"/>
  <c r="E154" i="13"/>
  <c r="F154" i="13" s="1"/>
  <c r="C145" i="25"/>
  <c r="E146" i="13"/>
  <c r="F146" i="13" s="1"/>
  <c r="C138" i="25"/>
  <c r="E139" i="13"/>
  <c r="F139" i="13" s="1"/>
  <c r="C131" i="25"/>
  <c r="E132" i="13"/>
  <c r="F132" i="13" s="1"/>
  <c r="C123" i="25"/>
  <c r="E124" i="13"/>
  <c r="F124" i="13" s="1"/>
  <c r="C116" i="25"/>
  <c r="E117" i="13"/>
  <c r="F117" i="13" s="1"/>
  <c r="C109" i="25"/>
  <c r="E110" i="13"/>
  <c r="F110" i="13" s="1"/>
  <c r="C101" i="25"/>
  <c r="E102" i="13"/>
  <c r="F102" i="13" s="1"/>
  <c r="E94" i="13"/>
  <c r="F94" i="13" s="1"/>
  <c r="C93" i="25"/>
  <c r="E86" i="13"/>
  <c r="F86" i="13" s="1"/>
  <c r="C85" i="25"/>
  <c r="E78" i="13"/>
  <c r="F78" i="13" s="1"/>
  <c r="C77" i="25"/>
  <c r="E70" i="13"/>
  <c r="F70" i="13" s="1"/>
  <c r="C69" i="25"/>
  <c r="C61" i="25"/>
  <c r="E62" i="13"/>
  <c r="F62" i="13" s="1"/>
  <c r="E54" i="13"/>
  <c r="F54" i="13" s="1"/>
  <c r="C53" i="25"/>
  <c r="C45" i="25"/>
  <c r="E46" i="13"/>
  <c r="F46" i="13" s="1"/>
  <c r="E38" i="13"/>
  <c r="F38" i="13" s="1"/>
  <c r="C37" i="25"/>
  <c r="C29" i="25"/>
  <c r="E30" i="13"/>
  <c r="F30" i="13" s="1"/>
  <c r="C21" i="25"/>
  <c r="E22" i="13"/>
  <c r="F22" i="13" s="1"/>
  <c r="C14" i="25"/>
  <c r="E15" i="13"/>
  <c r="F15" i="13" s="1"/>
  <c r="C6" i="25"/>
  <c r="E7" i="13"/>
  <c r="F7" i="13" s="1"/>
  <c r="L161" i="19"/>
  <c r="L133" i="19"/>
  <c r="F133" i="49" s="1"/>
  <c r="G133" i="49" s="1"/>
  <c r="L191" i="19"/>
  <c r="F191" i="49" s="1"/>
  <c r="G191" i="49" s="1"/>
  <c r="L294" i="19"/>
  <c r="F294" i="49" s="1"/>
  <c r="G294" i="49" s="1"/>
  <c r="L193" i="19"/>
  <c r="F193" i="49" s="1"/>
  <c r="G193" i="49" s="1"/>
  <c r="L205" i="19"/>
  <c r="F205" i="49" s="1"/>
  <c r="G205" i="49" s="1"/>
  <c r="L203" i="19"/>
  <c r="F203" i="49" s="1"/>
  <c r="G203" i="49" s="1"/>
  <c r="L197" i="19"/>
  <c r="F197" i="49" s="1"/>
  <c r="G197" i="49" s="1"/>
  <c r="L189" i="19"/>
  <c r="F189" i="49" s="1"/>
  <c r="G189" i="49" s="1"/>
  <c r="L292" i="19"/>
  <c r="L201" i="19"/>
  <c r="F201" i="49" s="1"/>
  <c r="G201" i="49" s="1"/>
  <c r="L102" i="19"/>
  <c r="L59" i="19"/>
  <c r="L51" i="19"/>
  <c r="L43" i="19"/>
  <c r="F43" i="49" s="1"/>
  <c r="G43" i="49" s="1"/>
  <c r="L207" i="19"/>
  <c r="L199" i="19"/>
  <c r="F199" i="49" s="1"/>
  <c r="G199" i="49" s="1"/>
  <c r="L183" i="19"/>
  <c r="F183" i="49" s="1"/>
  <c r="G183" i="49" s="1"/>
  <c r="L115" i="19"/>
  <c r="F115" i="49" s="1"/>
  <c r="G115" i="49" s="1"/>
  <c r="L13" i="19"/>
  <c r="L250" i="19"/>
  <c r="F250" i="49" s="1"/>
  <c r="G250" i="49" s="1"/>
  <c r="L234" i="19"/>
  <c r="F234" i="49" s="1"/>
  <c r="G234" i="49" s="1"/>
  <c r="L211" i="19"/>
  <c r="F211" i="49" s="1"/>
  <c r="G211" i="49" s="1"/>
  <c r="L163" i="19"/>
  <c r="L135" i="19"/>
  <c r="F135" i="49" s="1"/>
  <c r="G135" i="49" s="1"/>
  <c r="L127" i="19"/>
  <c r="F127" i="49" s="1"/>
  <c r="G127" i="49" s="1"/>
  <c r="L15" i="19"/>
  <c r="F15" i="49" s="1"/>
  <c r="G15" i="49" s="1"/>
  <c r="L200" i="19"/>
  <c r="F200" i="49" s="1"/>
  <c r="G200" i="49" s="1"/>
  <c r="L177" i="19"/>
  <c r="F177" i="49" s="1"/>
  <c r="G177" i="49" s="1"/>
  <c r="L165" i="19"/>
  <c r="F165" i="49" s="1"/>
  <c r="G165" i="49" s="1"/>
  <c r="L157" i="19"/>
  <c r="F157" i="49" s="1"/>
  <c r="G157" i="49" s="1"/>
  <c r="L129" i="19"/>
  <c r="F129" i="49" s="1"/>
  <c r="G129" i="49" s="1"/>
  <c r="L291" i="19"/>
  <c r="L284" i="19"/>
  <c r="F284" i="49" s="1"/>
  <c r="G284" i="49" s="1"/>
  <c r="L283" i="19"/>
  <c r="L276" i="19"/>
  <c r="L181" i="19"/>
  <c r="L179" i="19"/>
  <c r="F179" i="49" s="1"/>
  <c r="G179" i="49" s="1"/>
  <c r="L153" i="19"/>
  <c r="F153" i="49" s="1"/>
  <c r="G153" i="49" s="1"/>
  <c r="L57" i="19"/>
  <c r="F57" i="49" s="1"/>
  <c r="G57" i="49" s="1"/>
  <c r="L49" i="19"/>
  <c r="F49" i="49" s="1"/>
  <c r="G49" i="49" s="1"/>
  <c r="L41" i="19"/>
  <c r="F41" i="49" s="1"/>
  <c r="G41" i="49" s="1"/>
  <c r="L33" i="19"/>
  <c r="F33" i="49" s="1"/>
  <c r="G33" i="49" s="1"/>
  <c r="L25" i="19"/>
  <c r="F25" i="49" s="1"/>
  <c r="G25" i="49" s="1"/>
  <c r="L145" i="19"/>
  <c r="L131" i="19"/>
  <c r="F131" i="49" s="1"/>
  <c r="G131" i="49" s="1"/>
  <c r="L19" i="19"/>
  <c r="F19" i="49" s="1"/>
  <c r="G19" i="49" s="1"/>
  <c r="L11" i="19"/>
  <c r="F11" i="49" s="1"/>
  <c r="G11" i="49" s="1"/>
  <c r="L195" i="19"/>
  <c r="F195" i="49" s="1"/>
  <c r="G195" i="49" s="1"/>
  <c r="L171" i="19"/>
  <c r="F171" i="49" s="1"/>
  <c r="G171" i="49" s="1"/>
  <c r="L139" i="19"/>
  <c r="L35" i="19"/>
  <c r="L27" i="19"/>
  <c r="F27" i="49" s="1"/>
  <c r="G27" i="49" s="1"/>
  <c r="L125" i="19"/>
  <c r="L296" i="19"/>
  <c r="L185" i="19"/>
  <c r="F185" i="49" s="1"/>
  <c r="G185" i="49" s="1"/>
  <c r="L173" i="19"/>
  <c r="F173" i="49" s="1"/>
  <c r="G173" i="49" s="1"/>
  <c r="L149" i="19"/>
  <c r="F149" i="49" s="1"/>
  <c r="G149" i="49" s="1"/>
  <c r="L141" i="19"/>
  <c r="F141" i="49" s="1"/>
  <c r="G141" i="49" s="1"/>
  <c r="L110" i="19"/>
  <c r="L226" i="19"/>
  <c r="F226" i="49" s="1"/>
  <c r="G226" i="49" s="1"/>
  <c r="L218" i="19"/>
  <c r="F218" i="49" s="1"/>
  <c r="G218" i="49" s="1"/>
  <c r="L196" i="19"/>
  <c r="F196" i="49" s="1"/>
  <c r="G196" i="49" s="1"/>
  <c r="L117" i="19"/>
  <c r="F117" i="49" s="1"/>
  <c r="G117" i="49" s="1"/>
  <c r="L7" i="19"/>
  <c r="F7" i="49" s="1"/>
  <c r="G7" i="49" s="1"/>
  <c r="L298" i="19"/>
  <c r="F298" i="49" s="1"/>
  <c r="G298" i="49" s="1"/>
  <c r="L167" i="19"/>
  <c r="F167" i="49" s="1"/>
  <c r="G167" i="49" s="1"/>
  <c r="L151" i="19"/>
  <c r="F151" i="49" s="1"/>
  <c r="G151" i="49" s="1"/>
  <c r="L119" i="19"/>
  <c r="F119" i="49" s="1"/>
  <c r="G119" i="49" s="1"/>
  <c r="L64" i="19"/>
  <c r="F64" i="49" s="1"/>
  <c r="G64" i="49" s="1"/>
  <c r="L61" i="19"/>
  <c r="F61" i="49" s="1"/>
  <c r="G61" i="49" s="1"/>
  <c r="L53" i="19"/>
  <c r="F53" i="49" s="1"/>
  <c r="G53" i="49" s="1"/>
  <c r="L45" i="19"/>
  <c r="F45" i="49" s="1"/>
  <c r="G45" i="49" s="1"/>
  <c r="L37" i="19"/>
  <c r="F37" i="49" s="1"/>
  <c r="G37" i="49" s="1"/>
  <c r="L29" i="19"/>
  <c r="F29" i="49" s="1"/>
  <c r="G29" i="49" s="1"/>
  <c r="L275" i="19"/>
  <c r="F275" i="49" s="1"/>
  <c r="G275" i="49" s="1"/>
  <c r="L204" i="19"/>
  <c r="F204" i="49" s="1"/>
  <c r="G204" i="49" s="1"/>
  <c r="L188" i="19"/>
  <c r="F188" i="49" s="1"/>
  <c r="G188" i="49" s="1"/>
  <c r="L169" i="19"/>
  <c r="F169" i="49" s="1"/>
  <c r="G169" i="49" s="1"/>
  <c r="L63" i="19"/>
  <c r="F63" i="49" s="1"/>
  <c r="G63" i="49" s="1"/>
  <c r="L55" i="19"/>
  <c r="F55" i="49" s="1"/>
  <c r="G55" i="49" s="1"/>
  <c r="L47" i="19"/>
  <c r="F47" i="49" s="1"/>
  <c r="G47" i="49" s="1"/>
  <c r="L39" i="19"/>
  <c r="F39" i="49" s="1"/>
  <c r="G39" i="49" s="1"/>
  <c r="L31" i="19"/>
  <c r="F31" i="49" s="1"/>
  <c r="G31" i="49" s="1"/>
  <c r="L23" i="19"/>
  <c r="F23" i="49" s="1"/>
  <c r="G23" i="49" s="1"/>
  <c r="L300" i="19"/>
  <c r="F300" i="49" s="1"/>
  <c r="G300" i="49" s="1"/>
  <c r="L302" i="19"/>
  <c r="F302" i="49" s="1"/>
  <c r="G302" i="49" s="1"/>
  <c r="L192" i="19"/>
  <c r="F192" i="49" s="1"/>
  <c r="G192" i="49" s="1"/>
  <c r="L159" i="19"/>
  <c r="F159" i="49" s="1"/>
  <c r="G159" i="49" s="1"/>
  <c r="L121" i="19"/>
  <c r="F121" i="49" s="1"/>
  <c r="G121" i="49" s="1"/>
  <c r="L17" i="19"/>
  <c r="F17" i="49" s="1"/>
  <c r="G17" i="49" s="1"/>
  <c r="L9" i="19"/>
  <c r="F9" i="49" s="1"/>
  <c r="G9" i="49" s="1"/>
  <c r="L267" i="19"/>
  <c r="F267" i="49" s="1"/>
  <c r="G267" i="49" s="1"/>
  <c r="L259" i="19"/>
  <c r="F259" i="49" s="1"/>
  <c r="G259" i="49" s="1"/>
  <c r="L213" i="19"/>
  <c r="F213" i="49" s="1"/>
  <c r="G213" i="49" s="1"/>
  <c r="L147" i="19"/>
  <c r="F147" i="49" s="1"/>
  <c r="G147" i="49" s="1"/>
  <c r="L144" i="19"/>
  <c r="F144" i="49" s="1"/>
  <c r="G144" i="49" s="1"/>
  <c r="L140" i="19"/>
  <c r="F140" i="49" s="1"/>
  <c r="G140" i="49" s="1"/>
  <c r="L136" i="19"/>
  <c r="F136" i="49" s="1"/>
  <c r="G136" i="49" s="1"/>
  <c r="L132" i="19"/>
  <c r="F132" i="49" s="1"/>
  <c r="G132" i="49" s="1"/>
  <c r="L128" i="19"/>
  <c r="F128" i="49" s="1"/>
  <c r="G128" i="49" s="1"/>
  <c r="L124" i="19"/>
  <c r="F124" i="49" s="1"/>
  <c r="G124" i="49" s="1"/>
  <c r="L108" i="19"/>
  <c r="F108" i="49" s="1"/>
  <c r="G108" i="49" s="1"/>
  <c r="L293" i="19"/>
  <c r="F293" i="49" s="1"/>
  <c r="G293" i="49" s="1"/>
  <c r="L286" i="19"/>
  <c r="F286" i="49" s="1"/>
  <c r="G286" i="49" s="1"/>
  <c r="L285" i="19"/>
  <c r="F285" i="49" s="1"/>
  <c r="G285" i="49" s="1"/>
  <c r="L282" i="19"/>
  <c r="F282" i="49" s="1"/>
  <c r="G282" i="49" s="1"/>
  <c r="L278" i="19"/>
  <c r="F278" i="49" s="1"/>
  <c r="G278" i="49" s="1"/>
  <c r="L277" i="19"/>
  <c r="F277" i="49" s="1"/>
  <c r="G277" i="49" s="1"/>
  <c r="L269" i="19"/>
  <c r="F269" i="49" s="1"/>
  <c r="G269" i="49" s="1"/>
  <c r="L253" i="19"/>
  <c r="F253" i="49" s="1"/>
  <c r="G253" i="49" s="1"/>
  <c r="L297" i="19"/>
  <c r="F297" i="49" s="1"/>
  <c r="G297" i="49" s="1"/>
  <c r="L229" i="19"/>
  <c r="F229" i="49" s="1"/>
  <c r="G229" i="49" s="1"/>
  <c r="L221" i="19"/>
  <c r="F221" i="49" s="1"/>
  <c r="G221" i="49" s="1"/>
  <c r="L215" i="19"/>
  <c r="F215" i="49" s="1"/>
  <c r="G215" i="49" s="1"/>
  <c r="L155" i="19"/>
  <c r="F155" i="49" s="1"/>
  <c r="G155" i="49" s="1"/>
  <c r="L152" i="19"/>
  <c r="F152" i="49" s="1"/>
  <c r="G152" i="49" s="1"/>
  <c r="L148" i="19"/>
  <c r="F148" i="49" s="1"/>
  <c r="G148" i="49" s="1"/>
  <c r="L106" i="19"/>
  <c r="F106" i="49" s="1"/>
  <c r="G106" i="49" s="1"/>
  <c r="L295" i="19"/>
  <c r="F295" i="49" s="1"/>
  <c r="G295" i="49" s="1"/>
  <c r="L301" i="19"/>
  <c r="F301" i="49" s="1"/>
  <c r="G301" i="49" s="1"/>
  <c r="L299" i="19"/>
  <c r="F299" i="49" s="1"/>
  <c r="G299" i="49" s="1"/>
  <c r="L288" i="19"/>
  <c r="F288" i="49" s="1"/>
  <c r="G288" i="49" s="1"/>
  <c r="L287" i="19"/>
  <c r="F287" i="49" s="1"/>
  <c r="G287" i="49" s="1"/>
  <c r="L280" i="19"/>
  <c r="F280" i="49" s="1"/>
  <c r="G280" i="49" s="1"/>
  <c r="L279" i="19"/>
  <c r="F279" i="49" s="1"/>
  <c r="G279" i="49" s="1"/>
  <c r="L263" i="19"/>
  <c r="F263" i="49" s="1"/>
  <c r="G263" i="49" s="1"/>
  <c r="L255" i="19"/>
  <c r="F255" i="49" s="1"/>
  <c r="G255" i="49" s="1"/>
  <c r="L246" i="19"/>
  <c r="F246" i="49" s="1"/>
  <c r="G246" i="49" s="1"/>
  <c r="L238" i="19"/>
  <c r="F238" i="49" s="1"/>
  <c r="G238" i="49" s="1"/>
  <c r="L230" i="19"/>
  <c r="F230" i="49" s="1"/>
  <c r="G230" i="49" s="1"/>
  <c r="L214" i="19"/>
  <c r="F214" i="49" s="1"/>
  <c r="G214" i="49" s="1"/>
  <c r="L304" i="19"/>
  <c r="F304" i="49" s="1"/>
  <c r="G304" i="49" s="1"/>
  <c r="L176" i="19"/>
  <c r="F176" i="49" s="1"/>
  <c r="G176" i="49" s="1"/>
  <c r="L172" i="19"/>
  <c r="F172" i="49" s="1"/>
  <c r="G172" i="49" s="1"/>
  <c r="L168" i="19"/>
  <c r="F168" i="49" s="1"/>
  <c r="G168" i="49" s="1"/>
  <c r="L164" i="19"/>
  <c r="F164" i="49" s="1"/>
  <c r="G164" i="49" s="1"/>
  <c r="L160" i="19"/>
  <c r="F160" i="49" s="1"/>
  <c r="G160" i="49" s="1"/>
  <c r="L156" i="19"/>
  <c r="F156" i="49" s="1"/>
  <c r="G156" i="49" s="1"/>
  <c r="L303" i="19"/>
  <c r="F303" i="49" s="1"/>
  <c r="G303" i="49" s="1"/>
  <c r="L290" i="19"/>
  <c r="F290" i="49" s="1"/>
  <c r="G290" i="49" s="1"/>
  <c r="L289" i="19"/>
  <c r="F289" i="49" s="1"/>
  <c r="G289" i="49" s="1"/>
  <c r="L281" i="19"/>
  <c r="F281" i="49" s="1"/>
  <c r="G281" i="49" s="1"/>
  <c r="L273" i="19"/>
  <c r="F273" i="49" s="1"/>
  <c r="G273" i="49" s="1"/>
  <c r="L256" i="19"/>
  <c r="F256" i="49" s="1"/>
  <c r="G256" i="49" s="1"/>
  <c r="L216" i="19"/>
  <c r="F216" i="49" s="1"/>
  <c r="G216" i="49" s="1"/>
  <c r="L187" i="19"/>
  <c r="F187" i="49" s="1"/>
  <c r="G187" i="49" s="1"/>
  <c r="L184" i="19"/>
  <c r="F184" i="49" s="1"/>
  <c r="G184" i="49" s="1"/>
  <c r="L180" i="19"/>
  <c r="F180" i="49" s="1"/>
  <c r="G180" i="49" s="1"/>
  <c r="L305" i="19"/>
  <c r="F305" i="49" s="1"/>
  <c r="G305" i="49" s="1"/>
  <c r="L265" i="19"/>
  <c r="F265" i="49" s="1"/>
  <c r="G265" i="49" s="1"/>
  <c r="L257" i="19"/>
  <c r="F257" i="49" s="1"/>
  <c r="G257" i="49" s="1"/>
  <c r="L225" i="19"/>
  <c r="F225" i="49" s="1"/>
  <c r="G225" i="49" s="1"/>
  <c r="L209" i="19"/>
  <c r="F209" i="49" s="1"/>
  <c r="G209" i="49" s="1"/>
  <c r="L123" i="19"/>
  <c r="F123" i="49" s="1"/>
  <c r="G123" i="49" s="1"/>
  <c r="L116" i="19"/>
  <c r="F116" i="49" s="1"/>
  <c r="G116" i="49" s="1"/>
  <c r="L112" i="19"/>
  <c r="F112" i="49" s="1"/>
  <c r="G112" i="49" s="1"/>
  <c r="L100" i="19"/>
  <c r="F100" i="49" s="1"/>
  <c r="G100" i="49" s="1"/>
  <c r="L272" i="19"/>
  <c r="F272" i="49" s="1"/>
  <c r="G272" i="49" s="1"/>
  <c r="L249" i="19"/>
  <c r="F249" i="49" s="1"/>
  <c r="G249" i="49" s="1"/>
  <c r="L245" i="19"/>
  <c r="F245" i="49" s="1"/>
  <c r="G245" i="49" s="1"/>
  <c r="L237" i="19"/>
  <c r="F237" i="49" s="1"/>
  <c r="G237" i="49" s="1"/>
  <c r="L233" i="19"/>
  <c r="F233" i="49" s="1"/>
  <c r="G233" i="49" s="1"/>
  <c r="L270" i="19"/>
  <c r="F270" i="49" s="1"/>
  <c r="G270" i="49" s="1"/>
  <c r="L242" i="19"/>
  <c r="F242" i="49" s="1"/>
  <c r="G242" i="49" s="1"/>
  <c r="L50" i="19"/>
  <c r="F50" i="49" s="1"/>
  <c r="G50" i="49" s="1"/>
  <c r="L222" i="19"/>
  <c r="F222" i="49" s="1"/>
  <c r="G222" i="49" s="1"/>
  <c r="L268" i="19"/>
  <c r="F268" i="49" s="1"/>
  <c r="G268" i="49" s="1"/>
  <c r="L260" i="19"/>
  <c r="F260" i="49" s="1"/>
  <c r="G260" i="49" s="1"/>
  <c r="L252" i="19"/>
  <c r="F252" i="49" s="1"/>
  <c r="G252" i="49" s="1"/>
  <c r="L251" i="19"/>
  <c r="F251" i="49" s="1"/>
  <c r="G251" i="49" s="1"/>
  <c r="L247" i="19"/>
  <c r="F247" i="49" s="1"/>
  <c r="G247" i="49" s="1"/>
  <c r="L243" i="19"/>
  <c r="F243" i="49" s="1"/>
  <c r="G243" i="49" s="1"/>
  <c r="L239" i="19"/>
  <c r="F239" i="49" s="1"/>
  <c r="G239" i="49" s="1"/>
  <c r="L235" i="19"/>
  <c r="F235" i="49" s="1"/>
  <c r="G235" i="49" s="1"/>
  <c r="L231" i="19"/>
  <c r="F231" i="49" s="1"/>
  <c r="G231" i="49" s="1"/>
  <c r="L227" i="19"/>
  <c r="F227" i="49" s="1"/>
  <c r="G227" i="49" s="1"/>
  <c r="L223" i="19"/>
  <c r="F223" i="49" s="1"/>
  <c r="G223" i="49" s="1"/>
  <c r="L219" i="19"/>
  <c r="F219" i="49" s="1"/>
  <c r="G219" i="49" s="1"/>
  <c r="L217" i="19"/>
  <c r="F217" i="49" s="1"/>
  <c r="G217" i="49" s="1"/>
  <c r="L264" i="19"/>
  <c r="F264" i="49" s="1"/>
  <c r="G264" i="49" s="1"/>
  <c r="L241" i="19"/>
  <c r="F241" i="49" s="1"/>
  <c r="G241" i="49" s="1"/>
  <c r="L262" i="19"/>
  <c r="F262" i="49" s="1"/>
  <c r="G262" i="49" s="1"/>
  <c r="L254" i="19"/>
  <c r="F254" i="49" s="1"/>
  <c r="G254" i="49" s="1"/>
  <c r="L274" i="19"/>
  <c r="F274" i="49" s="1"/>
  <c r="G274" i="49" s="1"/>
  <c r="L266" i="19"/>
  <c r="F266" i="49" s="1"/>
  <c r="G266" i="49" s="1"/>
  <c r="L258" i="19"/>
  <c r="F258" i="49" s="1"/>
  <c r="G258" i="49" s="1"/>
  <c r="L248" i="19"/>
  <c r="F248" i="49" s="1"/>
  <c r="G248" i="49" s="1"/>
  <c r="L244" i="19"/>
  <c r="F244" i="49" s="1"/>
  <c r="G244" i="49" s="1"/>
  <c r="L240" i="19"/>
  <c r="F240" i="49" s="1"/>
  <c r="G240" i="49" s="1"/>
  <c r="L236" i="19"/>
  <c r="F236" i="49" s="1"/>
  <c r="G236" i="49" s="1"/>
  <c r="L232" i="19"/>
  <c r="F232" i="49" s="1"/>
  <c r="G232" i="49" s="1"/>
  <c r="L224" i="19"/>
  <c r="F224" i="49" s="1"/>
  <c r="G224" i="49" s="1"/>
  <c r="L220" i="19"/>
  <c r="F220" i="49" s="1"/>
  <c r="G220" i="49" s="1"/>
  <c r="L212" i="19"/>
  <c r="F212" i="49" s="1"/>
  <c r="G212" i="49" s="1"/>
  <c r="L210" i="19"/>
  <c r="F210" i="49" s="1"/>
  <c r="G210" i="49" s="1"/>
  <c r="L202" i="19"/>
  <c r="F202" i="49" s="1"/>
  <c r="G202" i="49" s="1"/>
  <c r="L194" i="19"/>
  <c r="F194" i="49" s="1"/>
  <c r="G194" i="49" s="1"/>
  <c r="L186" i="19"/>
  <c r="F186" i="49" s="1"/>
  <c r="G186" i="49" s="1"/>
  <c r="L178" i="19"/>
  <c r="F178" i="49" s="1"/>
  <c r="G178" i="49" s="1"/>
  <c r="L170" i="19"/>
  <c r="F170" i="49" s="1"/>
  <c r="G170" i="49" s="1"/>
  <c r="L162" i="19"/>
  <c r="F162" i="49" s="1"/>
  <c r="G162" i="49" s="1"/>
  <c r="L154" i="19"/>
  <c r="F154" i="49" s="1"/>
  <c r="G154" i="49" s="1"/>
  <c r="L146" i="19"/>
  <c r="F146" i="49" s="1"/>
  <c r="G146" i="49" s="1"/>
  <c r="L138" i="19"/>
  <c r="F138" i="49" s="1"/>
  <c r="G138" i="49" s="1"/>
  <c r="L130" i="19"/>
  <c r="F130" i="49" s="1"/>
  <c r="G130" i="49" s="1"/>
  <c r="L122" i="19"/>
  <c r="F122" i="49" s="1"/>
  <c r="G122" i="49" s="1"/>
  <c r="L114" i="19"/>
  <c r="F114" i="49" s="1"/>
  <c r="G114" i="49" s="1"/>
  <c r="L18" i="19"/>
  <c r="F18" i="49" s="1"/>
  <c r="G18" i="49" s="1"/>
  <c r="L208" i="19"/>
  <c r="F208" i="49" s="1"/>
  <c r="G208" i="49" s="1"/>
  <c r="L104" i="19"/>
  <c r="F104" i="49" s="1"/>
  <c r="G104" i="49" s="1"/>
  <c r="L99" i="19"/>
  <c r="F99" i="49" s="1"/>
  <c r="G99" i="49" s="1"/>
  <c r="L95" i="19"/>
  <c r="F95" i="49" s="1"/>
  <c r="G95" i="49" s="1"/>
  <c r="L91" i="19"/>
  <c r="F91" i="49" s="1"/>
  <c r="G91" i="49" s="1"/>
  <c r="L87" i="19"/>
  <c r="F87" i="49" s="1"/>
  <c r="G87" i="49" s="1"/>
  <c r="L83" i="19"/>
  <c r="F83" i="49" s="1"/>
  <c r="G83" i="49" s="1"/>
  <c r="L79" i="19"/>
  <c r="F79" i="49" s="1"/>
  <c r="G79" i="49" s="1"/>
  <c r="L75" i="19"/>
  <c r="F75" i="49" s="1"/>
  <c r="G75" i="49" s="1"/>
  <c r="L71" i="19"/>
  <c r="F71" i="49" s="1"/>
  <c r="G71" i="49" s="1"/>
  <c r="L67" i="19"/>
  <c r="F67" i="49" s="1"/>
  <c r="G67" i="49" s="1"/>
  <c r="L206" i="19"/>
  <c r="F206" i="49" s="1"/>
  <c r="G206" i="49" s="1"/>
  <c r="L198" i="19"/>
  <c r="F198" i="49" s="1"/>
  <c r="G198" i="49" s="1"/>
  <c r="L190" i="19"/>
  <c r="F190" i="49" s="1"/>
  <c r="G190" i="49" s="1"/>
  <c r="L182" i="19"/>
  <c r="F182" i="49" s="1"/>
  <c r="G182" i="49" s="1"/>
  <c r="L174" i="19"/>
  <c r="F174" i="49" s="1"/>
  <c r="G174" i="49" s="1"/>
  <c r="L166" i="19"/>
  <c r="F166" i="49" s="1"/>
  <c r="G166" i="49" s="1"/>
  <c r="L158" i="19"/>
  <c r="F158" i="49" s="1"/>
  <c r="G158" i="49" s="1"/>
  <c r="L150" i="19"/>
  <c r="F150" i="49" s="1"/>
  <c r="G150" i="49" s="1"/>
  <c r="L142" i="19"/>
  <c r="F142" i="49" s="1"/>
  <c r="G142" i="49" s="1"/>
  <c r="L134" i="19"/>
  <c r="F134" i="49" s="1"/>
  <c r="G134" i="49" s="1"/>
  <c r="L126" i="19"/>
  <c r="F126" i="49" s="1"/>
  <c r="G126" i="49" s="1"/>
  <c r="L118" i="19"/>
  <c r="F118" i="49" s="1"/>
  <c r="G118" i="49" s="1"/>
  <c r="L107" i="19"/>
  <c r="F107" i="49" s="1"/>
  <c r="G107" i="49" s="1"/>
  <c r="L105" i="19"/>
  <c r="F105" i="49" s="1"/>
  <c r="G105" i="49" s="1"/>
  <c r="L98" i="19"/>
  <c r="F98" i="49" s="1"/>
  <c r="G98" i="49" s="1"/>
  <c r="L94" i="19"/>
  <c r="F94" i="49" s="1"/>
  <c r="G94" i="49" s="1"/>
  <c r="L90" i="19"/>
  <c r="F90" i="49" s="1"/>
  <c r="G90" i="49" s="1"/>
  <c r="L86" i="19"/>
  <c r="F86" i="49" s="1"/>
  <c r="G86" i="49" s="1"/>
  <c r="L82" i="19"/>
  <c r="F82" i="49" s="1"/>
  <c r="G82" i="49" s="1"/>
  <c r="L78" i="19"/>
  <c r="F78" i="49" s="1"/>
  <c r="G78" i="49" s="1"/>
  <c r="L74" i="19"/>
  <c r="F74" i="49" s="1"/>
  <c r="G74" i="49" s="1"/>
  <c r="L70" i="19"/>
  <c r="F70" i="49" s="1"/>
  <c r="G70" i="49" s="1"/>
  <c r="L66" i="19"/>
  <c r="F66" i="49" s="1"/>
  <c r="G66" i="49" s="1"/>
  <c r="L42" i="19"/>
  <c r="F42" i="49" s="1"/>
  <c r="G42" i="49" s="1"/>
  <c r="L10" i="19"/>
  <c r="F10" i="49" s="1"/>
  <c r="G10" i="49" s="1"/>
  <c r="L111" i="19"/>
  <c r="F111" i="49" s="1"/>
  <c r="G111" i="49" s="1"/>
  <c r="L103" i="19"/>
  <c r="F103" i="49" s="1"/>
  <c r="G103" i="49" s="1"/>
  <c r="L97" i="19"/>
  <c r="F97" i="49" s="1"/>
  <c r="G97" i="49" s="1"/>
  <c r="L93" i="19"/>
  <c r="F93" i="49" s="1"/>
  <c r="G93" i="49" s="1"/>
  <c r="L89" i="19"/>
  <c r="F89" i="49" s="1"/>
  <c r="G89" i="49" s="1"/>
  <c r="L85" i="19"/>
  <c r="F85" i="49" s="1"/>
  <c r="G85" i="49" s="1"/>
  <c r="L81" i="19"/>
  <c r="F81" i="49" s="1"/>
  <c r="G81" i="49" s="1"/>
  <c r="L77" i="19"/>
  <c r="F77" i="49" s="1"/>
  <c r="G77" i="49" s="1"/>
  <c r="L73" i="19"/>
  <c r="F73" i="49" s="1"/>
  <c r="G73" i="49" s="1"/>
  <c r="L69" i="19"/>
  <c r="F69" i="49" s="1"/>
  <c r="G69" i="49" s="1"/>
  <c r="L65" i="19"/>
  <c r="F65" i="49" s="1"/>
  <c r="G65" i="49" s="1"/>
  <c r="L34" i="19"/>
  <c r="F34" i="49" s="1"/>
  <c r="G34" i="49" s="1"/>
  <c r="L109" i="19"/>
  <c r="F109" i="49" s="1"/>
  <c r="G109" i="49" s="1"/>
  <c r="L101" i="19"/>
  <c r="F101" i="49" s="1"/>
  <c r="G101" i="49" s="1"/>
  <c r="L96" i="19"/>
  <c r="F96" i="49" s="1"/>
  <c r="G96" i="49" s="1"/>
  <c r="L92" i="19"/>
  <c r="F92" i="49" s="1"/>
  <c r="G92" i="49" s="1"/>
  <c r="L88" i="19"/>
  <c r="F88" i="49" s="1"/>
  <c r="G88" i="49" s="1"/>
  <c r="L84" i="19"/>
  <c r="F84" i="49" s="1"/>
  <c r="G84" i="49" s="1"/>
  <c r="L80" i="19"/>
  <c r="F80" i="49" s="1"/>
  <c r="G80" i="49" s="1"/>
  <c r="L76" i="19"/>
  <c r="F76" i="49" s="1"/>
  <c r="G76" i="49" s="1"/>
  <c r="L72" i="19"/>
  <c r="F72" i="49" s="1"/>
  <c r="G72" i="49" s="1"/>
  <c r="L68" i="19"/>
  <c r="F68" i="49" s="1"/>
  <c r="G68" i="49" s="1"/>
  <c r="L58" i="19"/>
  <c r="F58" i="49" s="1"/>
  <c r="G58" i="49" s="1"/>
  <c r="L26" i="19"/>
  <c r="F26" i="49" s="1"/>
  <c r="G26" i="49" s="1"/>
  <c r="L56" i="19"/>
  <c r="F56" i="49" s="1"/>
  <c r="G56" i="49" s="1"/>
  <c r="L48" i="19"/>
  <c r="F48" i="49" s="1"/>
  <c r="G48" i="49" s="1"/>
  <c r="L40" i="19"/>
  <c r="F40" i="49" s="1"/>
  <c r="G40" i="49" s="1"/>
  <c r="L32" i="19"/>
  <c r="F32" i="49" s="1"/>
  <c r="G32" i="49" s="1"/>
  <c r="L24" i="19"/>
  <c r="F24" i="49" s="1"/>
  <c r="G24" i="49" s="1"/>
  <c r="L16" i="19"/>
  <c r="F16" i="49" s="1"/>
  <c r="G16" i="49" s="1"/>
  <c r="L8" i="19"/>
  <c r="F8" i="49" s="1"/>
  <c r="G8" i="49" s="1"/>
  <c r="L62" i="19"/>
  <c r="F62" i="49" s="1"/>
  <c r="G62" i="49" s="1"/>
  <c r="L54" i="19"/>
  <c r="F54" i="49" s="1"/>
  <c r="G54" i="49" s="1"/>
  <c r="L46" i="19"/>
  <c r="F46" i="49" s="1"/>
  <c r="G46" i="49" s="1"/>
  <c r="L38" i="19"/>
  <c r="F38" i="49" s="1"/>
  <c r="G38" i="49" s="1"/>
  <c r="L30" i="19"/>
  <c r="F30" i="49" s="1"/>
  <c r="G30" i="49" s="1"/>
  <c r="L22" i="19"/>
  <c r="F22" i="49" s="1"/>
  <c r="G22" i="49" s="1"/>
  <c r="L14" i="19"/>
  <c r="F14" i="49" s="1"/>
  <c r="G14" i="49" s="1"/>
  <c r="L60" i="19"/>
  <c r="F60" i="49" s="1"/>
  <c r="G60" i="49" s="1"/>
  <c r="L52" i="19"/>
  <c r="F52" i="49" s="1"/>
  <c r="G52" i="49" s="1"/>
  <c r="L44" i="19"/>
  <c r="F44" i="49" s="1"/>
  <c r="G44" i="49" s="1"/>
  <c r="L36" i="19"/>
  <c r="F36" i="49" s="1"/>
  <c r="G36" i="49" s="1"/>
  <c r="L28" i="19"/>
  <c r="F28" i="49" s="1"/>
  <c r="G28" i="49" s="1"/>
  <c r="L20" i="19"/>
  <c r="F20" i="49" s="1"/>
  <c r="G20" i="49" s="1"/>
  <c r="L12" i="19"/>
  <c r="F12" i="49" s="1"/>
  <c r="G12" i="49" s="1"/>
  <c r="P163" i="19" l="1"/>
  <c r="R163" i="19" s="1"/>
  <c r="F163" i="49"/>
  <c r="G163" i="49" s="1"/>
  <c r="P207" i="19"/>
  <c r="R207" i="19" s="1"/>
  <c r="F207" i="49"/>
  <c r="G207" i="49" s="1"/>
  <c r="P296" i="19"/>
  <c r="R296" i="19" s="1"/>
  <c r="F296" i="49"/>
  <c r="G296" i="49" s="1"/>
  <c r="P125" i="19"/>
  <c r="R125" i="19" s="1"/>
  <c r="F125" i="49"/>
  <c r="G125" i="49" s="1"/>
  <c r="P51" i="19"/>
  <c r="R51" i="19" s="1"/>
  <c r="F51" i="49"/>
  <c r="G51" i="49" s="1"/>
  <c r="P145" i="19"/>
  <c r="R145" i="19" s="1"/>
  <c r="F145" i="49"/>
  <c r="G145" i="49" s="1"/>
  <c r="P181" i="19"/>
  <c r="R181" i="19" s="1"/>
  <c r="F181" i="49"/>
  <c r="G181" i="49" s="1"/>
  <c r="P59" i="19"/>
  <c r="R59" i="19" s="1"/>
  <c r="F59" i="49"/>
  <c r="G59" i="49" s="1"/>
  <c r="P110" i="19"/>
  <c r="R110" i="19" s="1"/>
  <c r="F110" i="49"/>
  <c r="G110" i="49" s="1"/>
  <c r="P35" i="19"/>
  <c r="R35" i="19" s="1"/>
  <c r="F35" i="49"/>
  <c r="G35" i="49" s="1"/>
  <c r="P276" i="19"/>
  <c r="R276" i="19" s="1"/>
  <c r="F276" i="49"/>
  <c r="G276" i="49" s="1"/>
  <c r="P13" i="19"/>
  <c r="R13" i="19" s="1"/>
  <c r="F13" i="49"/>
  <c r="G13" i="49" s="1"/>
  <c r="P102" i="19"/>
  <c r="R102" i="19" s="1"/>
  <c r="F102" i="49"/>
  <c r="G102" i="49" s="1"/>
  <c r="P139" i="19"/>
  <c r="R139" i="19" s="1"/>
  <c r="F139" i="49"/>
  <c r="G139" i="49" s="1"/>
  <c r="P283" i="19"/>
  <c r="R283" i="19" s="1"/>
  <c r="F283" i="49"/>
  <c r="G283" i="49" s="1"/>
  <c r="P292" i="19"/>
  <c r="R292" i="19" s="1"/>
  <c r="F292" i="49"/>
  <c r="G292" i="49" s="1"/>
  <c r="P291" i="19"/>
  <c r="R291" i="19" s="1"/>
  <c r="F291" i="49"/>
  <c r="G291" i="49" s="1"/>
  <c r="P161" i="19"/>
  <c r="R161" i="19" s="1"/>
  <c r="F161" i="49"/>
  <c r="G161" i="49" s="1"/>
  <c r="P176" i="19"/>
  <c r="R176" i="19" s="1"/>
  <c r="P144" i="19"/>
  <c r="R144" i="19" s="1"/>
  <c r="P234" i="19"/>
  <c r="R234" i="19" s="1"/>
  <c r="P250" i="19"/>
  <c r="R250" i="19" s="1"/>
  <c r="P191" i="19"/>
  <c r="R191" i="19" s="1"/>
  <c r="P183" i="19"/>
  <c r="R183" i="19" s="1"/>
  <c r="P136" i="19"/>
  <c r="R136" i="19" s="1"/>
  <c r="P205" i="19"/>
  <c r="R205" i="19" s="1"/>
  <c r="P218" i="19"/>
  <c r="R218" i="19" s="1"/>
  <c r="P185" i="19"/>
  <c r="R185" i="19" s="1"/>
  <c r="P152" i="19"/>
  <c r="R152" i="19" s="1"/>
  <c r="P160" i="19"/>
  <c r="R160" i="19" s="1"/>
  <c r="P11" i="19"/>
  <c r="R11" i="19" s="1"/>
  <c r="P192" i="19"/>
  <c r="R192" i="19" s="1"/>
  <c r="P230" i="19"/>
  <c r="R230" i="19" s="1"/>
  <c r="P57" i="19"/>
  <c r="R57" i="19" s="1"/>
  <c r="P128" i="19"/>
  <c r="R128" i="19" s="1"/>
  <c r="P294" i="19"/>
  <c r="R294" i="19" s="1"/>
  <c r="P238" i="19"/>
  <c r="R238" i="19" s="1"/>
  <c r="P199" i="19"/>
  <c r="R199" i="19" s="1"/>
  <c r="P133" i="19"/>
  <c r="R133" i="19" s="1"/>
  <c r="P200" i="19"/>
  <c r="R200" i="19" s="1"/>
  <c r="P179" i="19"/>
  <c r="R179" i="19" s="1"/>
  <c r="P197" i="19"/>
  <c r="R197" i="19" s="1"/>
  <c r="P27" i="19"/>
  <c r="R27" i="19" s="1"/>
  <c r="P153" i="19"/>
  <c r="R153" i="19" s="1"/>
  <c r="P43" i="19"/>
  <c r="R43" i="19" s="1"/>
  <c r="P211" i="19"/>
  <c r="R211" i="19" s="1"/>
  <c r="P184" i="19"/>
  <c r="R184" i="19" s="1"/>
  <c r="P193" i="19"/>
  <c r="R193" i="19" s="1"/>
  <c r="P19" i="19"/>
  <c r="R19" i="19" s="1"/>
  <c r="P157" i="19"/>
  <c r="R157" i="19" s="1"/>
  <c r="P203" i="19"/>
  <c r="R203" i="19" s="1"/>
  <c r="P141" i="19"/>
  <c r="R141" i="19" s="1"/>
  <c r="P129" i="19"/>
  <c r="R129" i="19" s="1"/>
  <c r="P177" i="19"/>
  <c r="R177" i="19" s="1"/>
  <c r="P131" i="19"/>
  <c r="R131" i="19" s="1"/>
  <c r="P165" i="19"/>
  <c r="R165" i="19" s="1"/>
  <c r="P284" i="19"/>
  <c r="R284" i="19" s="1"/>
  <c r="P171" i="19"/>
  <c r="R171" i="19" s="1"/>
  <c r="P41" i="19"/>
  <c r="R41" i="19" s="1"/>
  <c r="P246" i="19"/>
  <c r="R246" i="19" s="1"/>
  <c r="P127" i="19"/>
  <c r="R127" i="19" s="1"/>
  <c r="P149" i="19"/>
  <c r="R149" i="19" s="1"/>
  <c r="P135" i="19"/>
  <c r="R135" i="19" s="1"/>
  <c r="P112" i="19"/>
  <c r="R112" i="19" s="1"/>
  <c r="P173" i="19"/>
  <c r="R173" i="19" s="1"/>
  <c r="P115" i="19"/>
  <c r="R115" i="19" s="1"/>
  <c r="P189" i="19"/>
  <c r="R189" i="19" s="1"/>
  <c r="P15" i="19"/>
  <c r="R15" i="19" s="1"/>
  <c r="P201" i="19"/>
  <c r="R201" i="19" s="1"/>
  <c r="P168" i="19"/>
  <c r="R168" i="19" s="1"/>
  <c r="P226" i="19"/>
  <c r="R226" i="19" s="1"/>
  <c r="P25" i="19"/>
  <c r="R25" i="19" s="1"/>
  <c r="P33" i="19"/>
  <c r="R33" i="19" s="1"/>
  <c r="P49" i="19"/>
  <c r="R49" i="19" s="1"/>
  <c r="P195" i="19"/>
  <c r="R195" i="19" s="1"/>
  <c r="P109" i="19"/>
  <c r="R109" i="19" s="1"/>
  <c r="P28" i="19"/>
  <c r="R28" i="19" s="1"/>
  <c r="P38" i="19"/>
  <c r="R38" i="19" s="1"/>
  <c r="P40" i="19"/>
  <c r="R40" i="19" s="1"/>
  <c r="P80" i="19"/>
  <c r="R80" i="19" s="1"/>
  <c r="P65" i="19"/>
  <c r="R65" i="19" s="1"/>
  <c r="P97" i="19"/>
  <c r="R97" i="19" s="1"/>
  <c r="P78" i="19"/>
  <c r="R78" i="19" s="1"/>
  <c r="P118" i="19"/>
  <c r="R118" i="19" s="1"/>
  <c r="P182" i="19"/>
  <c r="R182" i="19" s="1"/>
  <c r="P83" i="19"/>
  <c r="R83" i="19" s="1"/>
  <c r="P146" i="19"/>
  <c r="R146" i="19" s="1"/>
  <c r="P210" i="19"/>
  <c r="R210" i="19" s="1"/>
  <c r="P244" i="19"/>
  <c r="R244" i="19" s="1"/>
  <c r="P227" i="19"/>
  <c r="R227" i="19" s="1"/>
  <c r="P260" i="19"/>
  <c r="R260" i="19" s="1"/>
  <c r="P270" i="19"/>
  <c r="R270" i="19" s="1"/>
  <c r="P116" i="19"/>
  <c r="R116" i="19" s="1"/>
  <c r="P225" i="19"/>
  <c r="R225" i="19" s="1"/>
  <c r="P280" i="19"/>
  <c r="R280" i="19" s="1"/>
  <c r="P301" i="19"/>
  <c r="R301" i="19" s="1"/>
  <c r="P253" i="19"/>
  <c r="R253" i="19" s="1"/>
  <c r="P277" i="19"/>
  <c r="R277" i="19" s="1"/>
  <c r="P108" i="19"/>
  <c r="R108" i="19" s="1"/>
  <c r="P169" i="19"/>
  <c r="R169" i="19" s="1"/>
  <c r="P167" i="19"/>
  <c r="R167" i="19" s="1"/>
  <c r="P117" i="19"/>
  <c r="R117" i="19" s="1"/>
  <c r="P12" i="19"/>
  <c r="R12" i="19" s="1"/>
  <c r="P48" i="19"/>
  <c r="R48" i="19" s="1"/>
  <c r="P69" i="19"/>
  <c r="R69" i="19" s="1"/>
  <c r="P103" i="19"/>
  <c r="R103" i="19" s="1"/>
  <c r="P82" i="19"/>
  <c r="R82" i="19" s="1"/>
  <c r="P126" i="19"/>
  <c r="R126" i="19" s="1"/>
  <c r="P190" i="19"/>
  <c r="R190" i="19" s="1"/>
  <c r="P87" i="19"/>
  <c r="R87" i="19" s="1"/>
  <c r="P154" i="19"/>
  <c r="R154" i="19" s="1"/>
  <c r="P212" i="19"/>
  <c r="R212" i="19" s="1"/>
  <c r="P248" i="19"/>
  <c r="R248" i="19" s="1"/>
  <c r="P254" i="19"/>
  <c r="R254" i="19" s="1"/>
  <c r="P231" i="19"/>
  <c r="R231" i="19" s="1"/>
  <c r="P268" i="19"/>
  <c r="R268" i="19" s="1"/>
  <c r="P233" i="19"/>
  <c r="R233" i="19" s="1"/>
  <c r="P257" i="19"/>
  <c r="R257" i="19" s="1"/>
  <c r="P289" i="19"/>
  <c r="R289" i="19" s="1"/>
  <c r="P172" i="19"/>
  <c r="R172" i="19" s="1"/>
  <c r="P304" i="19"/>
  <c r="R304" i="19" s="1"/>
  <c r="P214" i="19"/>
  <c r="R214" i="19" s="1"/>
  <c r="P297" i="19"/>
  <c r="R297" i="19" s="1"/>
  <c r="P278" i="19"/>
  <c r="R278" i="19" s="1"/>
  <c r="P293" i="19"/>
  <c r="R293" i="19" s="1"/>
  <c r="P140" i="19"/>
  <c r="R140" i="19" s="1"/>
  <c r="P31" i="19"/>
  <c r="R31" i="19" s="1"/>
  <c r="P37" i="19"/>
  <c r="R37" i="19" s="1"/>
  <c r="P7" i="19"/>
  <c r="R7" i="19" s="1"/>
  <c r="P72" i="19"/>
  <c r="R72" i="19" s="1"/>
  <c r="P46" i="19"/>
  <c r="R46" i="19" s="1"/>
  <c r="P56" i="19"/>
  <c r="R56" i="19" s="1"/>
  <c r="P73" i="19"/>
  <c r="R73" i="19" s="1"/>
  <c r="P86" i="19"/>
  <c r="R86" i="19" s="1"/>
  <c r="P198" i="19"/>
  <c r="R198" i="19" s="1"/>
  <c r="P162" i="19"/>
  <c r="R162" i="19" s="1"/>
  <c r="P220" i="19"/>
  <c r="R220" i="19" s="1"/>
  <c r="P258" i="19"/>
  <c r="R258" i="19" s="1"/>
  <c r="P262" i="19"/>
  <c r="R262" i="19" s="1"/>
  <c r="P235" i="19"/>
  <c r="R235" i="19" s="1"/>
  <c r="P237" i="19"/>
  <c r="R237" i="19" s="1"/>
  <c r="P123" i="19"/>
  <c r="R123" i="19" s="1"/>
  <c r="P290" i="19"/>
  <c r="R290" i="19" s="1"/>
  <c r="P263" i="19"/>
  <c r="R263" i="19" s="1"/>
  <c r="P229" i="19"/>
  <c r="R229" i="19" s="1"/>
  <c r="P213" i="19"/>
  <c r="R213" i="19" s="1"/>
  <c r="P267" i="19"/>
  <c r="R267" i="19" s="1"/>
  <c r="P55" i="19"/>
  <c r="R55" i="19" s="1"/>
  <c r="P61" i="19"/>
  <c r="R61" i="19" s="1"/>
  <c r="P22" i="19"/>
  <c r="R22" i="19" s="1"/>
  <c r="P84" i="19"/>
  <c r="R84" i="19" s="1"/>
  <c r="P44" i="19"/>
  <c r="R44" i="19" s="1"/>
  <c r="P54" i="19"/>
  <c r="R54" i="19" s="1"/>
  <c r="P88" i="19"/>
  <c r="R88" i="19" s="1"/>
  <c r="P111" i="19"/>
  <c r="R111" i="19" s="1"/>
  <c r="P134" i="19"/>
  <c r="R134" i="19" s="1"/>
  <c r="P91" i="19"/>
  <c r="R91" i="19" s="1"/>
  <c r="P208" i="19"/>
  <c r="R208" i="19" s="1"/>
  <c r="P52" i="19"/>
  <c r="R52" i="19" s="1"/>
  <c r="P62" i="19"/>
  <c r="R62" i="19" s="1"/>
  <c r="P26" i="19"/>
  <c r="R26" i="19" s="1"/>
  <c r="P92" i="19"/>
  <c r="R92" i="19" s="1"/>
  <c r="P77" i="19"/>
  <c r="R77" i="19" s="1"/>
  <c r="P10" i="19"/>
  <c r="R10" i="19" s="1"/>
  <c r="P90" i="19"/>
  <c r="R90" i="19" s="1"/>
  <c r="P142" i="19"/>
  <c r="R142" i="19" s="1"/>
  <c r="P206" i="19"/>
  <c r="R206" i="19" s="1"/>
  <c r="P95" i="19"/>
  <c r="R95" i="19" s="1"/>
  <c r="P18" i="19"/>
  <c r="R18" i="19" s="1"/>
  <c r="P170" i="19"/>
  <c r="R170" i="19" s="1"/>
  <c r="P224" i="19"/>
  <c r="R224" i="19" s="1"/>
  <c r="P266" i="19"/>
  <c r="R266" i="19" s="1"/>
  <c r="P241" i="19"/>
  <c r="R241" i="19" s="1"/>
  <c r="P239" i="19"/>
  <c r="R239" i="19" s="1"/>
  <c r="P222" i="19"/>
  <c r="R222" i="19" s="1"/>
  <c r="P245" i="19"/>
  <c r="R245" i="19" s="1"/>
  <c r="P209" i="19"/>
  <c r="R209" i="19" s="1"/>
  <c r="P305" i="19"/>
  <c r="R305" i="19" s="1"/>
  <c r="P216" i="19"/>
  <c r="R216" i="19" s="1"/>
  <c r="P273" i="19"/>
  <c r="R273" i="19" s="1"/>
  <c r="P303" i="19"/>
  <c r="R303" i="19" s="1"/>
  <c r="P287" i="19"/>
  <c r="R287" i="19" s="1"/>
  <c r="P295" i="19"/>
  <c r="R295" i="19" s="1"/>
  <c r="P148" i="19"/>
  <c r="R148" i="19" s="1"/>
  <c r="P147" i="19"/>
  <c r="R147" i="19" s="1"/>
  <c r="P9" i="19"/>
  <c r="R9" i="19" s="1"/>
  <c r="P188" i="19"/>
  <c r="R188" i="19" s="1"/>
  <c r="P275" i="19"/>
  <c r="R275" i="19" s="1"/>
  <c r="P64" i="19"/>
  <c r="R64" i="19" s="1"/>
  <c r="P196" i="19"/>
  <c r="R196" i="19" s="1"/>
  <c r="P36" i="19"/>
  <c r="R36" i="19" s="1"/>
  <c r="P60" i="19"/>
  <c r="R60" i="19" s="1"/>
  <c r="P8" i="19"/>
  <c r="R8" i="19" s="1"/>
  <c r="P58" i="19"/>
  <c r="R58" i="19" s="1"/>
  <c r="P96" i="19"/>
  <c r="R96" i="19" s="1"/>
  <c r="P81" i="19"/>
  <c r="R81" i="19" s="1"/>
  <c r="P42" i="19"/>
  <c r="R42" i="19" s="1"/>
  <c r="P94" i="19"/>
  <c r="R94" i="19" s="1"/>
  <c r="P150" i="19"/>
  <c r="R150" i="19" s="1"/>
  <c r="P67" i="19"/>
  <c r="R67" i="19" s="1"/>
  <c r="P99" i="19"/>
  <c r="R99" i="19" s="1"/>
  <c r="P114" i="19"/>
  <c r="R114" i="19" s="1"/>
  <c r="P178" i="19"/>
  <c r="R178" i="19" s="1"/>
  <c r="P274" i="19"/>
  <c r="R274" i="19" s="1"/>
  <c r="P264" i="19"/>
  <c r="R264" i="19" s="1"/>
  <c r="P243" i="19"/>
  <c r="R243" i="19" s="1"/>
  <c r="P249" i="19"/>
  <c r="R249" i="19" s="1"/>
  <c r="P100" i="19"/>
  <c r="R100" i="19" s="1"/>
  <c r="P265" i="19"/>
  <c r="R265" i="19" s="1"/>
  <c r="P180" i="19"/>
  <c r="R180" i="19" s="1"/>
  <c r="P288" i="19"/>
  <c r="R288" i="19" s="1"/>
  <c r="P215" i="19"/>
  <c r="R215" i="19" s="1"/>
  <c r="P282" i="19"/>
  <c r="R282" i="19" s="1"/>
  <c r="P39" i="19"/>
  <c r="R39" i="19" s="1"/>
  <c r="P45" i="19"/>
  <c r="R45" i="19" s="1"/>
  <c r="P14" i="19"/>
  <c r="R14" i="19" s="1"/>
  <c r="P16" i="19"/>
  <c r="R16" i="19" s="1"/>
  <c r="P68" i="19"/>
  <c r="R68" i="19" s="1"/>
  <c r="P101" i="19"/>
  <c r="R101" i="19" s="1"/>
  <c r="P85" i="19"/>
  <c r="R85" i="19" s="1"/>
  <c r="P66" i="19"/>
  <c r="R66" i="19" s="1"/>
  <c r="P98" i="19"/>
  <c r="R98" i="19" s="1"/>
  <c r="P158" i="19"/>
  <c r="R158" i="19" s="1"/>
  <c r="P71" i="19"/>
  <c r="R71" i="19" s="1"/>
  <c r="P104" i="19"/>
  <c r="R104" i="19" s="1"/>
  <c r="P122" i="19"/>
  <c r="R122" i="19" s="1"/>
  <c r="P186" i="19"/>
  <c r="R186" i="19" s="1"/>
  <c r="P232" i="19"/>
  <c r="R232" i="19" s="1"/>
  <c r="P217" i="19"/>
  <c r="R217" i="19" s="1"/>
  <c r="P247" i="19"/>
  <c r="R247" i="19" s="1"/>
  <c r="P50" i="19"/>
  <c r="R50" i="19" s="1"/>
  <c r="P272" i="19"/>
  <c r="R272" i="19" s="1"/>
  <c r="P156" i="19"/>
  <c r="R156" i="19" s="1"/>
  <c r="P155" i="19"/>
  <c r="R155" i="19" s="1"/>
  <c r="P269" i="19"/>
  <c r="R269" i="19" s="1"/>
  <c r="P285" i="19"/>
  <c r="R285" i="19" s="1"/>
  <c r="P124" i="19"/>
  <c r="R124" i="19" s="1"/>
  <c r="P63" i="19"/>
  <c r="R63" i="19" s="1"/>
  <c r="P219" i="19"/>
  <c r="R219" i="19" s="1"/>
  <c r="P251" i="19"/>
  <c r="R251" i="19" s="1"/>
  <c r="P187" i="19"/>
  <c r="R187" i="19" s="1"/>
  <c r="P256" i="19"/>
  <c r="R256" i="19" s="1"/>
  <c r="P281" i="19"/>
  <c r="R281" i="19" s="1"/>
  <c r="P106" i="19"/>
  <c r="R106" i="19" s="1"/>
  <c r="P286" i="19"/>
  <c r="R286" i="19" s="1"/>
  <c r="P17" i="19"/>
  <c r="R17" i="19" s="1"/>
  <c r="P159" i="19"/>
  <c r="R159" i="19" s="1"/>
  <c r="P302" i="19"/>
  <c r="R302" i="19" s="1"/>
  <c r="P23" i="19"/>
  <c r="R23" i="19" s="1"/>
  <c r="P204" i="19"/>
  <c r="R204" i="19" s="1"/>
  <c r="P29" i="19"/>
  <c r="R29" i="19" s="1"/>
  <c r="P119" i="19"/>
  <c r="R119" i="19" s="1"/>
  <c r="P24" i="19"/>
  <c r="R24" i="19" s="1"/>
  <c r="P89" i="19"/>
  <c r="R89" i="19" s="1"/>
  <c r="P70" i="19"/>
  <c r="R70" i="19" s="1"/>
  <c r="P105" i="19"/>
  <c r="R105" i="19" s="1"/>
  <c r="P166" i="19"/>
  <c r="R166" i="19" s="1"/>
  <c r="P75" i="19"/>
  <c r="R75" i="19" s="1"/>
  <c r="P130" i="19"/>
  <c r="R130" i="19" s="1"/>
  <c r="P194" i="19"/>
  <c r="R194" i="19" s="1"/>
  <c r="P236" i="19"/>
  <c r="R236" i="19" s="1"/>
  <c r="P20" i="19"/>
  <c r="R20" i="19" s="1"/>
  <c r="P30" i="19"/>
  <c r="R30" i="19" s="1"/>
  <c r="P32" i="19"/>
  <c r="R32" i="19" s="1"/>
  <c r="P76" i="19"/>
  <c r="R76" i="19" s="1"/>
  <c r="P34" i="19"/>
  <c r="R34" i="19" s="1"/>
  <c r="P93" i="19"/>
  <c r="R93" i="19" s="1"/>
  <c r="P74" i="19"/>
  <c r="R74" i="19" s="1"/>
  <c r="P107" i="19"/>
  <c r="R107" i="19" s="1"/>
  <c r="P174" i="19"/>
  <c r="R174" i="19" s="1"/>
  <c r="P79" i="19"/>
  <c r="R79" i="19" s="1"/>
  <c r="P138" i="19"/>
  <c r="R138" i="19" s="1"/>
  <c r="P202" i="19"/>
  <c r="R202" i="19" s="1"/>
  <c r="P240" i="19"/>
  <c r="R240" i="19" s="1"/>
  <c r="P223" i="19"/>
  <c r="R223" i="19" s="1"/>
  <c r="P252" i="19"/>
  <c r="R252" i="19" s="1"/>
  <c r="P242" i="19"/>
  <c r="R242" i="19" s="1"/>
  <c r="P164" i="19"/>
  <c r="R164" i="19" s="1"/>
  <c r="P255" i="19"/>
  <c r="R255" i="19" s="1"/>
  <c r="P279" i="19"/>
  <c r="R279" i="19" s="1"/>
  <c r="P299" i="19"/>
  <c r="R299" i="19" s="1"/>
  <c r="P221" i="19"/>
  <c r="R221" i="19" s="1"/>
  <c r="P132" i="19"/>
  <c r="R132" i="19" s="1"/>
  <c r="P259" i="19"/>
  <c r="R259" i="19" s="1"/>
  <c r="P121" i="19"/>
  <c r="R121" i="19" s="1"/>
  <c r="P300" i="19"/>
  <c r="R300" i="19" s="1"/>
  <c r="P47" i="19"/>
  <c r="R47" i="19" s="1"/>
  <c r="P53" i="19"/>
  <c r="R53" i="19" s="1"/>
  <c r="P151" i="19"/>
  <c r="R151" i="19" s="1"/>
  <c r="P298" i="19"/>
  <c r="R298" i="19" s="1"/>
  <c r="C17" i="39" l="1"/>
  <c r="C17" i="12"/>
  <c r="E17" i="12" s="1"/>
  <c r="C17" i="33"/>
  <c r="C23" i="9"/>
  <c r="C63" i="39"/>
  <c r="C63" i="12"/>
  <c r="E63" i="12" s="1"/>
  <c r="C63" i="33"/>
  <c r="C69" i="9"/>
  <c r="C247" i="39"/>
  <c r="C247" i="12"/>
  <c r="E247" i="12" s="1"/>
  <c r="C247" i="33"/>
  <c r="C253" i="9"/>
  <c r="C98" i="39"/>
  <c r="C98" i="12"/>
  <c r="E98" i="12" s="1"/>
  <c r="C98" i="33"/>
  <c r="C104" i="9"/>
  <c r="C39" i="39"/>
  <c r="C39" i="12"/>
  <c r="E39" i="12" s="1"/>
  <c r="C39" i="33"/>
  <c r="C45" i="9"/>
  <c r="C243" i="39"/>
  <c r="C243" i="12"/>
  <c r="E243" i="12" s="1"/>
  <c r="C243" i="33"/>
  <c r="C249" i="9"/>
  <c r="C94" i="12"/>
  <c r="E94" i="12" s="1"/>
  <c r="C94" i="39"/>
  <c r="C94" i="33"/>
  <c r="C100" i="9"/>
  <c r="C196" i="39"/>
  <c r="C196" i="12"/>
  <c r="E196" i="12" s="1"/>
  <c r="C196" i="33"/>
  <c r="C202" i="9"/>
  <c r="C287" i="39"/>
  <c r="C287" i="12"/>
  <c r="E287" i="12" s="1"/>
  <c r="C293" i="9"/>
  <c r="C287" i="33"/>
  <c r="C239" i="39"/>
  <c r="C239" i="12"/>
  <c r="E239" i="12" s="1"/>
  <c r="C239" i="33"/>
  <c r="C245" i="9"/>
  <c r="C142" i="39"/>
  <c r="C142" i="12"/>
  <c r="E142" i="12" s="1"/>
  <c r="C142" i="33"/>
  <c r="C148" i="9"/>
  <c r="C208" i="12"/>
  <c r="E208" i="12" s="1"/>
  <c r="C208" i="39"/>
  <c r="C208" i="33"/>
  <c r="C214" i="9"/>
  <c r="C22" i="12"/>
  <c r="E22" i="12" s="1"/>
  <c r="C22" i="39"/>
  <c r="C22" i="33"/>
  <c r="C28" i="9"/>
  <c r="C123" i="12"/>
  <c r="E123" i="12" s="1"/>
  <c r="C123" i="39"/>
  <c r="C123" i="33"/>
  <c r="C129" i="9"/>
  <c r="C86" i="12"/>
  <c r="E86" i="12" s="1"/>
  <c r="C86" i="39"/>
  <c r="C86" i="33"/>
  <c r="C92" i="9"/>
  <c r="C140" i="39"/>
  <c r="C140" i="12"/>
  <c r="E140" i="12" s="1"/>
  <c r="C140" i="33"/>
  <c r="C146" i="9"/>
  <c r="C257" i="39"/>
  <c r="C257" i="12"/>
  <c r="E257" i="12" s="1"/>
  <c r="C257" i="33"/>
  <c r="C263" i="9"/>
  <c r="C87" i="39"/>
  <c r="C87" i="12"/>
  <c r="E87" i="12" s="1"/>
  <c r="C93" i="9"/>
  <c r="C87" i="33"/>
  <c r="C117" i="12"/>
  <c r="E117" i="12" s="1"/>
  <c r="C117" i="39"/>
  <c r="C117" i="33"/>
  <c r="C123" i="9"/>
  <c r="C225" i="39"/>
  <c r="C225" i="12"/>
  <c r="E225" i="12" s="1"/>
  <c r="C225" i="33"/>
  <c r="C231" i="9"/>
  <c r="C83" i="39"/>
  <c r="C83" i="12"/>
  <c r="E83" i="12" s="1"/>
  <c r="C89" i="9"/>
  <c r="C83" i="33"/>
  <c r="C38" i="12"/>
  <c r="E38" i="12" s="1"/>
  <c r="C38" i="39"/>
  <c r="C44" i="9"/>
  <c r="C38" i="33"/>
  <c r="C168" i="12"/>
  <c r="E168" i="12" s="1"/>
  <c r="C168" i="39"/>
  <c r="C168" i="33"/>
  <c r="C174" i="9"/>
  <c r="C149" i="12"/>
  <c r="E149" i="12" s="1"/>
  <c r="C149" i="39"/>
  <c r="C149" i="33"/>
  <c r="C155" i="9"/>
  <c r="C177" i="39"/>
  <c r="C177" i="12"/>
  <c r="E177" i="12" s="1"/>
  <c r="C177" i="33"/>
  <c r="C183" i="9"/>
  <c r="C211" i="12"/>
  <c r="E211" i="12" s="1"/>
  <c r="C211" i="39"/>
  <c r="C211" i="33"/>
  <c r="C217" i="9"/>
  <c r="C199" i="39"/>
  <c r="C199" i="12"/>
  <c r="E199" i="12" s="1"/>
  <c r="C199" i="33"/>
  <c r="C205" i="9"/>
  <c r="C160" i="39"/>
  <c r="C160" i="12"/>
  <c r="E160" i="12" s="1"/>
  <c r="C160" i="33"/>
  <c r="C166" i="9"/>
  <c r="C250" i="39"/>
  <c r="C250" i="12"/>
  <c r="E250" i="12" s="1"/>
  <c r="C250" i="33"/>
  <c r="C256" i="9"/>
  <c r="C242" i="12"/>
  <c r="E242" i="12" s="1"/>
  <c r="C242" i="39"/>
  <c r="C242" i="33"/>
  <c r="C248" i="9"/>
  <c r="C217" i="39"/>
  <c r="C217" i="12"/>
  <c r="E217" i="12" s="1"/>
  <c r="C217" i="33"/>
  <c r="C223" i="9"/>
  <c r="C66" i="39"/>
  <c r="C66" i="12"/>
  <c r="E66" i="12" s="1"/>
  <c r="C66" i="33"/>
  <c r="C72" i="9"/>
  <c r="C282" i="39"/>
  <c r="C282" i="12"/>
  <c r="E282" i="12" s="1"/>
  <c r="C282" i="33"/>
  <c r="C288" i="9"/>
  <c r="C264" i="39"/>
  <c r="C264" i="12"/>
  <c r="E264" i="12" s="1"/>
  <c r="C264" i="33"/>
  <c r="C270" i="9"/>
  <c r="C42" i="39"/>
  <c r="C42" i="12"/>
  <c r="E42" i="12" s="1"/>
  <c r="C42" i="33"/>
  <c r="C48" i="9"/>
  <c r="C64" i="39"/>
  <c r="C64" i="12"/>
  <c r="E64" i="12" s="1"/>
  <c r="C70" i="9"/>
  <c r="C64" i="33"/>
  <c r="C303" i="39"/>
  <c r="C303" i="12"/>
  <c r="E303" i="12" s="1"/>
  <c r="C303" i="33"/>
  <c r="C309" i="9"/>
  <c r="C241" i="12"/>
  <c r="E241" i="12" s="1"/>
  <c r="C241" i="39"/>
  <c r="C241" i="33"/>
  <c r="C247" i="9"/>
  <c r="C90" i="39"/>
  <c r="C90" i="12"/>
  <c r="E90" i="12" s="1"/>
  <c r="C96" i="9"/>
  <c r="C90" i="33"/>
  <c r="C91" i="12"/>
  <c r="E91" i="12" s="1"/>
  <c r="C91" i="39"/>
  <c r="C91" i="33"/>
  <c r="C97" i="9"/>
  <c r="C61" i="39"/>
  <c r="C61" i="12"/>
  <c r="E61" i="12" s="1"/>
  <c r="C61" i="33"/>
  <c r="C67" i="9"/>
  <c r="C237" i="39"/>
  <c r="C237" i="12"/>
  <c r="E237" i="12" s="1"/>
  <c r="C237" i="33"/>
  <c r="C243" i="9"/>
  <c r="C73" i="39"/>
  <c r="C73" i="12"/>
  <c r="E73" i="12" s="1"/>
  <c r="C79" i="9"/>
  <c r="C73" i="33"/>
  <c r="C293" i="39"/>
  <c r="C293" i="12"/>
  <c r="E293" i="12" s="1"/>
  <c r="C293" i="33"/>
  <c r="C299" i="9"/>
  <c r="C233" i="12"/>
  <c r="E233" i="12" s="1"/>
  <c r="C233" i="39"/>
  <c r="C233" i="33"/>
  <c r="C239" i="9"/>
  <c r="C190" i="39"/>
  <c r="C190" i="12"/>
  <c r="E190" i="12" s="1"/>
  <c r="C190" i="33"/>
  <c r="C196" i="9"/>
  <c r="C167" i="39"/>
  <c r="C167" i="12"/>
  <c r="E167" i="12" s="1"/>
  <c r="C167" i="33"/>
  <c r="C173" i="9"/>
  <c r="C116" i="39"/>
  <c r="C116" i="12"/>
  <c r="E116" i="12" s="1"/>
  <c r="C116" i="33"/>
  <c r="C122" i="9"/>
  <c r="C182" i="12"/>
  <c r="E182" i="12" s="1"/>
  <c r="C182" i="39"/>
  <c r="C182" i="33"/>
  <c r="C188" i="9"/>
  <c r="C28" i="39"/>
  <c r="C28" i="12"/>
  <c r="E28" i="12" s="1"/>
  <c r="C28" i="33"/>
  <c r="C34" i="9"/>
  <c r="C201" i="39"/>
  <c r="C201" i="12"/>
  <c r="E201" i="12" s="1"/>
  <c r="C201" i="33"/>
  <c r="C207" i="9"/>
  <c r="C127" i="39"/>
  <c r="C127" i="12"/>
  <c r="E127" i="12" s="1"/>
  <c r="C127" i="33"/>
  <c r="C133" i="9"/>
  <c r="C129" i="39"/>
  <c r="C129" i="12"/>
  <c r="E129" i="12" s="1"/>
  <c r="C129" i="33"/>
  <c r="C135" i="9"/>
  <c r="C43" i="12"/>
  <c r="E43" i="12" s="1"/>
  <c r="C43" i="39"/>
  <c r="C43" i="33"/>
  <c r="C49" i="9"/>
  <c r="C238" i="12"/>
  <c r="E238" i="12" s="1"/>
  <c r="C238" i="39"/>
  <c r="C238" i="33"/>
  <c r="C244" i="9"/>
  <c r="C152" i="12"/>
  <c r="E152" i="12" s="1"/>
  <c r="C152" i="39"/>
  <c r="C152" i="33"/>
  <c r="C158" i="9"/>
  <c r="C234" i="39"/>
  <c r="C234" i="12"/>
  <c r="E234" i="12" s="1"/>
  <c r="C234" i="33"/>
  <c r="C240" i="9"/>
  <c r="C292" i="39"/>
  <c r="C292" i="12"/>
  <c r="E292" i="12" s="1"/>
  <c r="C292" i="33"/>
  <c r="C298" i="9"/>
  <c r="C13" i="39"/>
  <c r="C13" i="12"/>
  <c r="E13" i="12" s="1"/>
  <c r="C13" i="33"/>
  <c r="C19" i="9"/>
  <c r="C59" i="39"/>
  <c r="C59" i="12"/>
  <c r="E59" i="12" s="1"/>
  <c r="C59" i="33"/>
  <c r="C65" i="9"/>
  <c r="C125" i="39"/>
  <c r="C125" i="12"/>
  <c r="E125" i="12" s="1"/>
  <c r="C131" i="9"/>
  <c r="C125" i="33"/>
  <c r="C89" i="39"/>
  <c r="C89" i="12"/>
  <c r="E89" i="12" s="1"/>
  <c r="C95" i="9"/>
  <c r="C89" i="33"/>
  <c r="C259" i="39"/>
  <c r="C259" i="12"/>
  <c r="E259" i="12" s="1"/>
  <c r="C259" i="33"/>
  <c r="C265" i="9"/>
  <c r="C106" i="12"/>
  <c r="E106" i="12" s="1"/>
  <c r="C106" i="39"/>
  <c r="C106" i="33"/>
  <c r="C112" i="9"/>
  <c r="C285" i="39"/>
  <c r="C285" i="12"/>
  <c r="E285" i="12" s="1"/>
  <c r="C285" i="33"/>
  <c r="C291" i="9"/>
  <c r="C232" i="39"/>
  <c r="C232" i="12"/>
  <c r="E232" i="12" s="1"/>
  <c r="C232" i="33"/>
  <c r="C238" i="9"/>
  <c r="C85" i="39"/>
  <c r="C85" i="12"/>
  <c r="E85" i="12" s="1"/>
  <c r="C85" i="33"/>
  <c r="C91" i="9"/>
  <c r="C215" i="39"/>
  <c r="C215" i="12"/>
  <c r="E215" i="12" s="1"/>
  <c r="C215" i="33"/>
  <c r="C221" i="9"/>
  <c r="C274" i="39"/>
  <c r="C274" i="12"/>
  <c r="E274" i="12" s="1"/>
  <c r="C274" i="33"/>
  <c r="C280" i="9"/>
  <c r="C81" i="39"/>
  <c r="C81" i="12"/>
  <c r="E81" i="12" s="1"/>
  <c r="C81" i="33"/>
  <c r="C87" i="9"/>
  <c r="C275" i="39"/>
  <c r="C275" i="12"/>
  <c r="E275" i="12" s="1"/>
  <c r="C275" i="33"/>
  <c r="C281" i="9"/>
  <c r="C273" i="39"/>
  <c r="C273" i="12"/>
  <c r="E273" i="12" s="1"/>
  <c r="C273" i="33"/>
  <c r="C279" i="9"/>
  <c r="C266" i="39"/>
  <c r="C266" i="12"/>
  <c r="E266" i="12" s="1"/>
  <c r="C266" i="33"/>
  <c r="C272" i="9"/>
  <c r="C10" i="39"/>
  <c r="C10" i="12"/>
  <c r="E10" i="12" s="1"/>
  <c r="C10" i="33"/>
  <c r="C16" i="9"/>
  <c r="C134" i="12"/>
  <c r="E134" i="12" s="1"/>
  <c r="C134" i="39"/>
  <c r="C134" i="33"/>
  <c r="C140" i="9"/>
  <c r="C55" i="12"/>
  <c r="E55" i="12" s="1"/>
  <c r="C55" i="39"/>
  <c r="C61" i="9"/>
  <c r="C55" i="33"/>
  <c r="C235" i="12"/>
  <c r="E235" i="12" s="1"/>
  <c r="C235" i="39"/>
  <c r="C235" i="33"/>
  <c r="C241" i="9"/>
  <c r="C56" i="12"/>
  <c r="E56" i="12" s="1"/>
  <c r="C56" i="39"/>
  <c r="C56" i="33"/>
  <c r="C62" i="9"/>
  <c r="C278" i="39"/>
  <c r="C278" i="12"/>
  <c r="E278" i="12" s="1"/>
  <c r="C278" i="33"/>
  <c r="C284" i="9"/>
  <c r="C268" i="39"/>
  <c r="C268" i="12"/>
  <c r="E268" i="12" s="1"/>
  <c r="C268" i="33"/>
  <c r="C274" i="9"/>
  <c r="C126" i="39"/>
  <c r="C126" i="12"/>
  <c r="E126" i="12" s="1"/>
  <c r="C126" i="33"/>
  <c r="C132" i="9"/>
  <c r="C169" i="39"/>
  <c r="C169" i="12"/>
  <c r="E169" i="12" s="1"/>
  <c r="C169" i="33"/>
  <c r="C175" i="9"/>
  <c r="C270" i="39"/>
  <c r="C270" i="12"/>
  <c r="E270" i="12" s="1"/>
  <c r="C270" i="33"/>
  <c r="C276" i="9"/>
  <c r="C118" i="12"/>
  <c r="E118" i="12" s="1"/>
  <c r="C118" i="39"/>
  <c r="C118" i="33"/>
  <c r="C124" i="9"/>
  <c r="C109" i="39"/>
  <c r="C109" i="12"/>
  <c r="E109" i="12" s="1"/>
  <c r="C109" i="33"/>
  <c r="C115" i="9"/>
  <c r="C15" i="39"/>
  <c r="C15" i="12"/>
  <c r="E15" i="12" s="1"/>
  <c r="C15" i="33"/>
  <c r="C21" i="9"/>
  <c r="C246" i="12"/>
  <c r="E246" i="12" s="1"/>
  <c r="C246" i="39"/>
  <c r="C246" i="33"/>
  <c r="C252" i="9"/>
  <c r="C141" i="39"/>
  <c r="C141" i="12"/>
  <c r="E141" i="12" s="1"/>
  <c r="C141" i="33"/>
  <c r="C147" i="9"/>
  <c r="C153" i="39"/>
  <c r="C153" i="12"/>
  <c r="E153" i="12" s="1"/>
  <c r="C153" i="33"/>
  <c r="C159" i="9"/>
  <c r="C294" i="12"/>
  <c r="E294" i="12" s="1"/>
  <c r="C294" i="39"/>
  <c r="C294" i="33"/>
  <c r="C300" i="9"/>
  <c r="C185" i="39"/>
  <c r="C185" i="12"/>
  <c r="E185" i="12" s="1"/>
  <c r="C185" i="33"/>
  <c r="C191" i="9"/>
  <c r="C144" i="39"/>
  <c r="C144" i="12"/>
  <c r="E144" i="12" s="1"/>
  <c r="C144" i="33"/>
  <c r="C150" i="9"/>
  <c r="C121" i="39"/>
  <c r="C121" i="12"/>
  <c r="E121" i="12" s="1"/>
  <c r="C121" i="33"/>
  <c r="C127" i="9"/>
  <c r="C124" i="39"/>
  <c r="C124" i="12"/>
  <c r="E124" i="12" s="1"/>
  <c r="C124" i="33"/>
  <c r="C130" i="9"/>
  <c r="C29" i="12"/>
  <c r="E29" i="12" s="1"/>
  <c r="C29" i="39"/>
  <c r="C35" i="9"/>
  <c r="C29" i="33"/>
  <c r="C288" i="39"/>
  <c r="C288" i="12"/>
  <c r="E288" i="12" s="1"/>
  <c r="C288" i="33"/>
  <c r="C294" i="9"/>
  <c r="C178" i="39"/>
  <c r="C178" i="12"/>
  <c r="E178" i="12" s="1"/>
  <c r="C178" i="33"/>
  <c r="C184" i="9"/>
  <c r="C96" i="12"/>
  <c r="E96" i="12" s="1"/>
  <c r="C96" i="39"/>
  <c r="C102" i="9"/>
  <c r="C96" i="33"/>
  <c r="C188" i="39"/>
  <c r="C188" i="12"/>
  <c r="E188" i="12" s="1"/>
  <c r="C188" i="33"/>
  <c r="C194" i="9"/>
  <c r="C216" i="12"/>
  <c r="E216" i="12" s="1"/>
  <c r="C216" i="39"/>
  <c r="C216" i="33"/>
  <c r="C222" i="9"/>
  <c r="C224" i="12"/>
  <c r="E224" i="12" s="1"/>
  <c r="C224" i="39"/>
  <c r="C224" i="33"/>
  <c r="C230" i="9"/>
  <c r="C77" i="12"/>
  <c r="E77" i="12" s="1"/>
  <c r="C77" i="39"/>
  <c r="C77" i="33"/>
  <c r="C83" i="9"/>
  <c r="C111" i="39"/>
  <c r="C111" i="12"/>
  <c r="E111" i="12" s="1"/>
  <c r="C111" i="33"/>
  <c r="C117" i="9"/>
  <c r="C267" i="39"/>
  <c r="C267" i="12"/>
  <c r="E267" i="12" s="1"/>
  <c r="C267" i="33"/>
  <c r="C273" i="9"/>
  <c r="C262" i="39"/>
  <c r="C262" i="12"/>
  <c r="E262" i="12" s="1"/>
  <c r="C262" i="33"/>
  <c r="C268" i="9"/>
  <c r="C46" i="12"/>
  <c r="E46" i="12" s="1"/>
  <c r="C46" i="39"/>
  <c r="C46" i="33"/>
  <c r="C52" i="9"/>
  <c r="C297" i="39"/>
  <c r="C297" i="12"/>
  <c r="E297" i="12" s="1"/>
  <c r="C297" i="33"/>
  <c r="C303" i="9"/>
  <c r="C231" i="39"/>
  <c r="C231" i="12"/>
  <c r="E231" i="12" s="1"/>
  <c r="C231" i="33"/>
  <c r="C237" i="9"/>
  <c r="C82" i="39"/>
  <c r="C82" i="12"/>
  <c r="E82" i="12" s="1"/>
  <c r="C82" i="33"/>
  <c r="C88" i="9"/>
  <c r="C108" i="39"/>
  <c r="C108" i="12"/>
  <c r="E108" i="12" s="1"/>
  <c r="C114" i="9"/>
  <c r="C108" i="33"/>
  <c r="C260" i="39"/>
  <c r="C260" i="12"/>
  <c r="E260" i="12" s="1"/>
  <c r="C260" i="33"/>
  <c r="C266" i="9"/>
  <c r="C78" i="12"/>
  <c r="E78" i="12" s="1"/>
  <c r="C78" i="39"/>
  <c r="C78" i="33"/>
  <c r="C84" i="9"/>
  <c r="C195" i="12"/>
  <c r="E195" i="12" s="1"/>
  <c r="C195" i="39"/>
  <c r="C195" i="33"/>
  <c r="C201" i="9"/>
  <c r="C189" i="12"/>
  <c r="E189" i="12" s="1"/>
  <c r="C189" i="39"/>
  <c r="C189" i="33"/>
  <c r="C195" i="9"/>
  <c r="C41" i="39"/>
  <c r="C41" i="12"/>
  <c r="E41" i="12" s="1"/>
  <c r="C41" i="33"/>
  <c r="C47" i="9"/>
  <c r="C203" i="12"/>
  <c r="E203" i="12" s="1"/>
  <c r="C203" i="39"/>
  <c r="C203" i="33"/>
  <c r="C209" i="9"/>
  <c r="C27" i="12"/>
  <c r="E27" i="12" s="1"/>
  <c r="C27" i="39"/>
  <c r="C33" i="9"/>
  <c r="C27" i="33"/>
  <c r="C128" i="39"/>
  <c r="C128" i="12"/>
  <c r="E128" i="12" s="1"/>
  <c r="C128" i="33"/>
  <c r="C134" i="9"/>
  <c r="C218" i="39"/>
  <c r="C218" i="12"/>
  <c r="E218" i="12" s="1"/>
  <c r="C218" i="33"/>
  <c r="C224" i="9"/>
  <c r="C176" i="39"/>
  <c r="C176" i="12"/>
  <c r="E176" i="12" s="1"/>
  <c r="C176" i="33"/>
  <c r="C182" i="9"/>
  <c r="C283" i="39"/>
  <c r="C283" i="12"/>
  <c r="E283" i="12" s="1"/>
  <c r="C283" i="33"/>
  <c r="C289" i="9"/>
  <c r="C276" i="39"/>
  <c r="C276" i="12"/>
  <c r="E276" i="12" s="1"/>
  <c r="C282" i="9"/>
  <c r="C276" i="33"/>
  <c r="C181" i="39"/>
  <c r="C181" i="12"/>
  <c r="E181" i="12" s="1"/>
  <c r="C181" i="33"/>
  <c r="C187" i="9"/>
  <c r="C296" i="39"/>
  <c r="C296" i="12"/>
  <c r="E296" i="12" s="1"/>
  <c r="C296" i="33"/>
  <c r="C302" i="9"/>
  <c r="C20" i="39"/>
  <c r="C20" i="12"/>
  <c r="E20" i="12" s="1"/>
  <c r="C20" i="33"/>
  <c r="C26" i="9"/>
  <c r="C107" i="12"/>
  <c r="E107" i="12" s="1"/>
  <c r="C107" i="39"/>
  <c r="C107" i="33"/>
  <c r="C113" i="9"/>
  <c r="C194" i="39"/>
  <c r="C194" i="12"/>
  <c r="E194" i="12" s="1"/>
  <c r="C194" i="33"/>
  <c r="C200" i="9"/>
  <c r="C93" i="39"/>
  <c r="C93" i="12"/>
  <c r="E93" i="12" s="1"/>
  <c r="C93" i="33"/>
  <c r="C99" i="9"/>
  <c r="C281" i="39"/>
  <c r="C281" i="12"/>
  <c r="E281" i="12" s="1"/>
  <c r="C281" i="33"/>
  <c r="C287" i="9"/>
  <c r="C298" i="39"/>
  <c r="C298" i="12"/>
  <c r="E298" i="12" s="1"/>
  <c r="C298" i="33"/>
  <c r="C304" i="9"/>
  <c r="C34" i="39"/>
  <c r="C34" i="12"/>
  <c r="E34" i="12" s="1"/>
  <c r="C34" i="33"/>
  <c r="C40" i="9"/>
  <c r="C75" i="12"/>
  <c r="E75" i="12" s="1"/>
  <c r="C75" i="39"/>
  <c r="C75" i="33"/>
  <c r="C81" i="9"/>
  <c r="C204" i="39"/>
  <c r="C204" i="12"/>
  <c r="E204" i="12" s="1"/>
  <c r="C204" i="33"/>
  <c r="C210" i="9"/>
  <c r="C256" i="39"/>
  <c r="C256" i="12"/>
  <c r="E256" i="12" s="1"/>
  <c r="C256" i="33"/>
  <c r="C262" i="9"/>
  <c r="C155" i="12"/>
  <c r="E155" i="12" s="1"/>
  <c r="C155" i="39"/>
  <c r="C155" i="33"/>
  <c r="C161" i="9"/>
  <c r="C122" i="12"/>
  <c r="E122" i="12" s="1"/>
  <c r="C122" i="39"/>
  <c r="C128" i="9"/>
  <c r="C122" i="33"/>
  <c r="C68" i="39"/>
  <c r="C68" i="12"/>
  <c r="E68" i="12" s="1"/>
  <c r="C68" i="33"/>
  <c r="C74" i="9"/>
  <c r="C180" i="39"/>
  <c r="C180" i="12"/>
  <c r="E180" i="12" s="1"/>
  <c r="C180" i="33"/>
  <c r="C186" i="9"/>
  <c r="C114" i="39"/>
  <c r="C114" i="12"/>
  <c r="E114" i="12" s="1"/>
  <c r="C114" i="33"/>
  <c r="C120" i="9"/>
  <c r="C58" i="12"/>
  <c r="E58" i="12" s="1"/>
  <c r="C58" i="39"/>
  <c r="C58" i="33"/>
  <c r="C64" i="9"/>
  <c r="C9" i="39"/>
  <c r="C9" i="12"/>
  <c r="E9" i="12" s="1"/>
  <c r="C15" i="9"/>
  <c r="C9" i="33"/>
  <c r="C305" i="39"/>
  <c r="C305" i="12"/>
  <c r="E305" i="12" s="1"/>
  <c r="C305" i="33"/>
  <c r="C311" i="9"/>
  <c r="C170" i="12"/>
  <c r="E170" i="12" s="1"/>
  <c r="C170" i="39"/>
  <c r="C170" i="33"/>
  <c r="C176" i="9"/>
  <c r="C92" i="39"/>
  <c r="C92" i="12"/>
  <c r="E92" i="12" s="1"/>
  <c r="C98" i="9"/>
  <c r="C92" i="33"/>
  <c r="C88" i="39"/>
  <c r="C88" i="12"/>
  <c r="E88" i="12" s="1"/>
  <c r="C88" i="33"/>
  <c r="C94" i="9"/>
  <c r="C213" i="39"/>
  <c r="C213" i="12"/>
  <c r="E213" i="12" s="1"/>
  <c r="C213" i="33"/>
  <c r="C219" i="9"/>
  <c r="C258" i="39"/>
  <c r="C258" i="12"/>
  <c r="E258" i="12" s="1"/>
  <c r="C258" i="33"/>
  <c r="C264" i="9"/>
  <c r="C72" i="12"/>
  <c r="E72" i="12" s="1"/>
  <c r="C72" i="39"/>
  <c r="C72" i="33"/>
  <c r="C78" i="9"/>
  <c r="C214" i="12"/>
  <c r="E214" i="12" s="1"/>
  <c r="C214" i="39"/>
  <c r="C214" i="33"/>
  <c r="C220" i="9"/>
  <c r="C254" i="12"/>
  <c r="E254" i="12" s="1"/>
  <c r="C254" i="39"/>
  <c r="C254" i="33"/>
  <c r="C260" i="9"/>
  <c r="C103" i="39"/>
  <c r="C103" i="12"/>
  <c r="E103" i="12" s="1"/>
  <c r="C103" i="33"/>
  <c r="C109" i="9"/>
  <c r="C277" i="39"/>
  <c r="C277" i="12"/>
  <c r="E277" i="12" s="1"/>
  <c r="C277" i="33"/>
  <c r="C283" i="9"/>
  <c r="C227" i="39"/>
  <c r="C227" i="12"/>
  <c r="E227" i="12" s="1"/>
  <c r="C227" i="33"/>
  <c r="C233" i="9"/>
  <c r="C97" i="39"/>
  <c r="C97" i="12"/>
  <c r="E97" i="12" s="1"/>
  <c r="C97" i="33"/>
  <c r="C103" i="9"/>
  <c r="C49" i="39"/>
  <c r="C49" i="12"/>
  <c r="E49" i="12" s="1"/>
  <c r="C49" i="33"/>
  <c r="C55" i="9"/>
  <c r="C115" i="12"/>
  <c r="E115" i="12" s="1"/>
  <c r="C115" i="39"/>
  <c r="C121" i="9"/>
  <c r="C115" i="33"/>
  <c r="C171" i="12"/>
  <c r="E171" i="12" s="1"/>
  <c r="C171" i="39"/>
  <c r="C171" i="33"/>
  <c r="C177" i="9"/>
  <c r="C157" i="39"/>
  <c r="C157" i="12"/>
  <c r="E157" i="12" s="1"/>
  <c r="C157" i="33"/>
  <c r="C163" i="9"/>
  <c r="C197" i="39"/>
  <c r="C197" i="12"/>
  <c r="E197" i="12" s="1"/>
  <c r="C197" i="33"/>
  <c r="C203" i="9"/>
  <c r="C57" i="39"/>
  <c r="C57" i="12"/>
  <c r="E57" i="12" s="1"/>
  <c r="C63" i="9"/>
  <c r="C57" i="33"/>
  <c r="C205" i="12"/>
  <c r="E205" i="12" s="1"/>
  <c r="C205" i="39"/>
  <c r="C205" i="33"/>
  <c r="C211" i="9"/>
  <c r="C164" i="39"/>
  <c r="C164" i="12"/>
  <c r="E164" i="12" s="1"/>
  <c r="C164" i="33"/>
  <c r="C170" i="9"/>
  <c r="C236" i="39"/>
  <c r="C236" i="12"/>
  <c r="E236" i="12" s="1"/>
  <c r="C236" i="33"/>
  <c r="C242" i="9"/>
  <c r="C74" i="12"/>
  <c r="E74" i="12" s="1"/>
  <c r="C74" i="39"/>
  <c r="C80" i="9"/>
  <c r="C74" i="33"/>
  <c r="C132" i="39"/>
  <c r="C132" i="12"/>
  <c r="E132" i="12" s="1"/>
  <c r="C132" i="33"/>
  <c r="C138" i="9"/>
  <c r="C130" i="39"/>
  <c r="C130" i="12"/>
  <c r="E130" i="12" s="1"/>
  <c r="C130" i="33"/>
  <c r="C136" i="9"/>
  <c r="C101" i="12"/>
  <c r="E101" i="12" s="1"/>
  <c r="C101" i="39"/>
  <c r="C101" i="33"/>
  <c r="C107" i="9"/>
  <c r="C151" i="39"/>
  <c r="C151" i="12"/>
  <c r="E151" i="12" s="1"/>
  <c r="C151" i="33"/>
  <c r="C157" i="9"/>
  <c r="C76" i="39"/>
  <c r="C76" i="12"/>
  <c r="E76" i="12" s="1"/>
  <c r="C82" i="9"/>
  <c r="C76" i="33"/>
  <c r="C187" i="12"/>
  <c r="E187" i="12" s="1"/>
  <c r="C187" i="39"/>
  <c r="C187" i="33"/>
  <c r="C193" i="9"/>
  <c r="C156" i="39"/>
  <c r="C156" i="12"/>
  <c r="E156" i="12" s="1"/>
  <c r="C156" i="33"/>
  <c r="C162" i="9"/>
  <c r="C104" i="12"/>
  <c r="E104" i="12" s="1"/>
  <c r="C104" i="39"/>
  <c r="C104" i="33"/>
  <c r="C110" i="9"/>
  <c r="C16" i="39"/>
  <c r="C16" i="12"/>
  <c r="E16" i="12" s="1"/>
  <c r="C16" i="33"/>
  <c r="C22" i="9"/>
  <c r="C265" i="39"/>
  <c r="C265" i="12"/>
  <c r="E265" i="12" s="1"/>
  <c r="C265" i="33"/>
  <c r="C271" i="9"/>
  <c r="C99" i="12"/>
  <c r="E99" i="12" s="1"/>
  <c r="C99" i="39"/>
  <c r="C105" i="9"/>
  <c r="C99" i="33"/>
  <c r="C8" i="39"/>
  <c r="C8" i="12"/>
  <c r="E8" i="12" s="1"/>
  <c r="C8" i="33"/>
  <c r="C14" i="9"/>
  <c r="C147" i="12"/>
  <c r="E147" i="12" s="1"/>
  <c r="C147" i="39"/>
  <c r="C147" i="33"/>
  <c r="C153" i="9"/>
  <c r="C209" i="39"/>
  <c r="C209" i="12"/>
  <c r="E209" i="12" s="1"/>
  <c r="C209" i="33"/>
  <c r="C215" i="9"/>
  <c r="C18" i="39"/>
  <c r="C18" i="12"/>
  <c r="E18" i="12" s="1"/>
  <c r="C18" i="33"/>
  <c r="C24" i="9"/>
  <c r="C26" i="12"/>
  <c r="E26" i="12" s="1"/>
  <c r="C26" i="39"/>
  <c r="C26" i="33"/>
  <c r="C32" i="9"/>
  <c r="C54" i="12"/>
  <c r="E54" i="12" s="1"/>
  <c r="C54" i="39"/>
  <c r="C54" i="33"/>
  <c r="C60" i="9"/>
  <c r="C229" i="39"/>
  <c r="C229" i="12"/>
  <c r="E229" i="12" s="1"/>
  <c r="C229" i="33"/>
  <c r="C235" i="9"/>
  <c r="C220" i="39"/>
  <c r="C220" i="12"/>
  <c r="E220" i="12" s="1"/>
  <c r="C220" i="33"/>
  <c r="C226" i="9"/>
  <c r="C7" i="39"/>
  <c r="C7" i="12"/>
  <c r="E7" i="12" s="1"/>
  <c r="C13" i="9"/>
  <c r="C7" i="33"/>
  <c r="C304" i="39"/>
  <c r="C304" i="12"/>
  <c r="E304" i="12" s="1"/>
  <c r="C304" i="33"/>
  <c r="C310" i="9"/>
  <c r="C248" i="39"/>
  <c r="C248" i="12"/>
  <c r="E248" i="12" s="1"/>
  <c r="C248" i="33"/>
  <c r="C254" i="9"/>
  <c r="C69" i="39"/>
  <c r="C69" i="12"/>
  <c r="E69" i="12" s="1"/>
  <c r="C69" i="33"/>
  <c r="C75" i="9"/>
  <c r="C253" i="39"/>
  <c r="C253" i="12"/>
  <c r="E253" i="12" s="1"/>
  <c r="C259" i="9"/>
  <c r="C253" i="33"/>
  <c r="C244" i="39"/>
  <c r="C244" i="12"/>
  <c r="E244" i="12" s="1"/>
  <c r="C244" i="33"/>
  <c r="C250" i="9"/>
  <c r="C65" i="39"/>
  <c r="C65" i="12"/>
  <c r="E65" i="12" s="1"/>
  <c r="C65" i="33"/>
  <c r="C71" i="9"/>
  <c r="C33" i="39"/>
  <c r="C33" i="12"/>
  <c r="E33" i="12" s="1"/>
  <c r="C33" i="33"/>
  <c r="C39" i="9"/>
  <c r="C173" i="12"/>
  <c r="E173" i="12" s="1"/>
  <c r="C173" i="39"/>
  <c r="C173" i="33"/>
  <c r="C179" i="9"/>
  <c r="C284" i="39"/>
  <c r="C284" i="12"/>
  <c r="E284" i="12" s="1"/>
  <c r="C284" i="33"/>
  <c r="C290" i="9"/>
  <c r="C19" i="12"/>
  <c r="E19" i="12" s="1"/>
  <c r="C19" i="39"/>
  <c r="C19" i="33"/>
  <c r="C25" i="9"/>
  <c r="C179" i="12"/>
  <c r="E179" i="12" s="1"/>
  <c r="C179" i="39"/>
  <c r="C179" i="33"/>
  <c r="C185" i="9"/>
  <c r="C230" i="12"/>
  <c r="E230" i="12" s="1"/>
  <c r="C230" i="39"/>
  <c r="C230" i="33"/>
  <c r="C236" i="9"/>
  <c r="C136" i="12"/>
  <c r="E136" i="12" s="1"/>
  <c r="C136" i="39"/>
  <c r="C136" i="33"/>
  <c r="C142" i="9"/>
  <c r="C161" i="39"/>
  <c r="C161" i="12"/>
  <c r="E161" i="12" s="1"/>
  <c r="C161" i="33"/>
  <c r="C167" i="9"/>
  <c r="C139" i="12"/>
  <c r="E139" i="12" s="1"/>
  <c r="C139" i="39"/>
  <c r="C139" i="33"/>
  <c r="C145" i="9"/>
  <c r="C35" i="12"/>
  <c r="E35" i="12" s="1"/>
  <c r="C35" i="39"/>
  <c r="C35" i="33"/>
  <c r="C41" i="9"/>
  <c r="C145" i="39"/>
  <c r="C145" i="12"/>
  <c r="E145" i="12" s="1"/>
  <c r="C145" i="33"/>
  <c r="C151" i="9"/>
  <c r="C207" i="12"/>
  <c r="E207" i="12" s="1"/>
  <c r="C207" i="39"/>
  <c r="C207" i="33"/>
  <c r="C213" i="9"/>
  <c r="C300" i="39"/>
  <c r="C300" i="12"/>
  <c r="E300" i="12" s="1"/>
  <c r="C300" i="33"/>
  <c r="C306" i="9"/>
  <c r="C24" i="12"/>
  <c r="E24" i="12" s="1"/>
  <c r="C24" i="39"/>
  <c r="C24" i="33"/>
  <c r="C30" i="9"/>
  <c r="C252" i="39"/>
  <c r="C252" i="12"/>
  <c r="E252" i="12" s="1"/>
  <c r="C252" i="33"/>
  <c r="C258" i="9"/>
  <c r="C223" i="39"/>
  <c r="C223" i="12"/>
  <c r="E223" i="12" s="1"/>
  <c r="C223" i="33"/>
  <c r="C229" i="9"/>
  <c r="C269" i="39"/>
  <c r="C269" i="12"/>
  <c r="E269" i="12" s="1"/>
  <c r="C269" i="33"/>
  <c r="C275" i="9"/>
  <c r="C221" i="12"/>
  <c r="E221" i="12" s="1"/>
  <c r="C221" i="39"/>
  <c r="C221" i="33"/>
  <c r="C227" i="9"/>
  <c r="C202" i="39"/>
  <c r="C202" i="12"/>
  <c r="E202" i="12" s="1"/>
  <c r="C202" i="33"/>
  <c r="C208" i="9"/>
  <c r="C23" i="39"/>
  <c r="C23" i="12"/>
  <c r="E23" i="12" s="1"/>
  <c r="C23" i="33"/>
  <c r="C29" i="9"/>
  <c r="C279" i="39"/>
  <c r="C279" i="12"/>
  <c r="E279" i="12" s="1"/>
  <c r="C279" i="33"/>
  <c r="C285" i="9"/>
  <c r="C138" i="12"/>
  <c r="E138" i="12" s="1"/>
  <c r="C138" i="39"/>
  <c r="C138" i="33"/>
  <c r="C144" i="9"/>
  <c r="C32" i="12"/>
  <c r="E32" i="12" s="1"/>
  <c r="C32" i="39"/>
  <c r="C38" i="9"/>
  <c r="C32" i="33"/>
  <c r="C105" i="39"/>
  <c r="C105" i="12"/>
  <c r="E105" i="12" s="1"/>
  <c r="C105" i="33"/>
  <c r="C111" i="9"/>
  <c r="C302" i="12"/>
  <c r="E302" i="12" s="1"/>
  <c r="C302" i="39"/>
  <c r="C302" i="33"/>
  <c r="C308" i="9"/>
  <c r="C251" i="39"/>
  <c r="C251" i="12"/>
  <c r="E251" i="12" s="1"/>
  <c r="C251" i="33"/>
  <c r="C257" i="9"/>
  <c r="C272" i="39"/>
  <c r="C272" i="12"/>
  <c r="E272" i="12" s="1"/>
  <c r="C272" i="33"/>
  <c r="C278" i="9"/>
  <c r="C71" i="39"/>
  <c r="C71" i="12"/>
  <c r="E71" i="12" s="1"/>
  <c r="C71" i="33"/>
  <c r="C77" i="9"/>
  <c r="C14" i="12"/>
  <c r="E14" i="12" s="1"/>
  <c r="C14" i="39"/>
  <c r="C14" i="33"/>
  <c r="C20" i="9"/>
  <c r="C100" i="39"/>
  <c r="C100" i="12"/>
  <c r="E100" i="12" s="1"/>
  <c r="C100" i="33"/>
  <c r="C106" i="9"/>
  <c r="C67" i="12"/>
  <c r="E67" i="12" s="1"/>
  <c r="C67" i="39"/>
  <c r="C73" i="9"/>
  <c r="C67" i="33"/>
  <c r="C60" i="39"/>
  <c r="C60" i="12"/>
  <c r="E60" i="12" s="1"/>
  <c r="C60" i="33"/>
  <c r="C66" i="9"/>
  <c r="C148" i="39"/>
  <c r="C148" i="12"/>
  <c r="E148" i="12" s="1"/>
  <c r="C148" i="33"/>
  <c r="C154" i="9"/>
  <c r="C245" i="39"/>
  <c r="C245" i="12"/>
  <c r="E245" i="12" s="1"/>
  <c r="C245" i="33"/>
  <c r="C251" i="9"/>
  <c r="C95" i="39"/>
  <c r="C95" i="12"/>
  <c r="E95" i="12" s="1"/>
  <c r="C95" i="33"/>
  <c r="C101" i="9"/>
  <c r="C62" i="12"/>
  <c r="E62" i="12" s="1"/>
  <c r="C62" i="39"/>
  <c r="C62" i="33"/>
  <c r="C68" i="9"/>
  <c r="C44" i="39"/>
  <c r="C44" i="12"/>
  <c r="E44" i="12" s="1"/>
  <c r="C44" i="33"/>
  <c r="C50" i="9"/>
  <c r="C263" i="39"/>
  <c r="C263" i="12"/>
  <c r="E263" i="12" s="1"/>
  <c r="C263" i="33"/>
  <c r="C269" i="9"/>
  <c r="C162" i="39"/>
  <c r="C162" i="12"/>
  <c r="E162" i="12" s="1"/>
  <c r="C162" i="33"/>
  <c r="C168" i="9"/>
  <c r="C37" i="39"/>
  <c r="C37" i="12"/>
  <c r="E37" i="12" s="1"/>
  <c r="C37" i="33"/>
  <c r="C43" i="9"/>
  <c r="C172" i="39"/>
  <c r="C172" i="12"/>
  <c r="E172" i="12" s="1"/>
  <c r="C172" i="33"/>
  <c r="C178" i="9"/>
  <c r="C212" i="39"/>
  <c r="C212" i="12"/>
  <c r="E212" i="12" s="1"/>
  <c r="C212" i="33"/>
  <c r="C218" i="9"/>
  <c r="C48" i="12"/>
  <c r="E48" i="12" s="1"/>
  <c r="C48" i="39"/>
  <c r="C54" i="9"/>
  <c r="C48" i="33"/>
  <c r="C301" i="39"/>
  <c r="C301" i="12"/>
  <c r="E301" i="12" s="1"/>
  <c r="C301" i="33"/>
  <c r="C307" i="9"/>
  <c r="C210" i="39"/>
  <c r="C210" i="12"/>
  <c r="E210" i="12" s="1"/>
  <c r="C210" i="33"/>
  <c r="C216" i="9"/>
  <c r="C80" i="12"/>
  <c r="E80" i="12" s="1"/>
  <c r="C80" i="39"/>
  <c r="C80" i="33"/>
  <c r="C86" i="9"/>
  <c r="C25" i="39"/>
  <c r="C25" i="12"/>
  <c r="E25" i="12" s="1"/>
  <c r="C25" i="33"/>
  <c r="C31" i="9"/>
  <c r="C112" i="39"/>
  <c r="C112" i="12"/>
  <c r="E112" i="12" s="1"/>
  <c r="C118" i="9"/>
  <c r="C112" i="33"/>
  <c r="C165" i="39"/>
  <c r="C165" i="12"/>
  <c r="E165" i="12" s="1"/>
  <c r="C165" i="33"/>
  <c r="C171" i="9"/>
  <c r="C193" i="39"/>
  <c r="C193" i="12"/>
  <c r="E193" i="12" s="1"/>
  <c r="C193" i="33"/>
  <c r="C199" i="9"/>
  <c r="C200" i="12"/>
  <c r="E200" i="12" s="1"/>
  <c r="C200" i="39"/>
  <c r="C200" i="33"/>
  <c r="C206" i="9"/>
  <c r="C192" i="39"/>
  <c r="C192" i="12"/>
  <c r="E192" i="12" s="1"/>
  <c r="C192" i="33"/>
  <c r="C198" i="9"/>
  <c r="C183" i="39"/>
  <c r="C183" i="12"/>
  <c r="E183" i="12" s="1"/>
  <c r="C183" i="33"/>
  <c r="C189" i="9"/>
  <c r="C174" i="12"/>
  <c r="E174" i="12" s="1"/>
  <c r="C174" i="39"/>
  <c r="C174" i="33"/>
  <c r="C180" i="9"/>
  <c r="C286" i="39"/>
  <c r="C286" i="12"/>
  <c r="E286" i="12" s="1"/>
  <c r="C286" i="33"/>
  <c r="C292" i="9"/>
  <c r="C119" i="39"/>
  <c r="C119" i="12"/>
  <c r="E119" i="12" s="1"/>
  <c r="C125" i="9"/>
  <c r="C119" i="33"/>
  <c r="C186" i="39"/>
  <c r="C186" i="12"/>
  <c r="E186" i="12" s="1"/>
  <c r="C186" i="33"/>
  <c r="C192" i="9"/>
  <c r="C240" i="12"/>
  <c r="E240" i="12" s="1"/>
  <c r="C240" i="39"/>
  <c r="C240" i="33"/>
  <c r="C246" i="9"/>
  <c r="C299" i="39"/>
  <c r="C299" i="12"/>
  <c r="E299" i="12" s="1"/>
  <c r="C299" i="33"/>
  <c r="C305" i="9"/>
  <c r="C166" i="12"/>
  <c r="E166" i="12" s="1"/>
  <c r="C166" i="39"/>
  <c r="C166" i="33"/>
  <c r="C172" i="9"/>
  <c r="C53" i="12"/>
  <c r="E53" i="12" s="1"/>
  <c r="C53" i="39"/>
  <c r="C53" i="33"/>
  <c r="C59" i="9"/>
  <c r="C47" i="39"/>
  <c r="C47" i="12"/>
  <c r="E47" i="12" s="1"/>
  <c r="C47" i="33"/>
  <c r="C53" i="9"/>
  <c r="C255" i="39"/>
  <c r="C255" i="12"/>
  <c r="E255" i="12" s="1"/>
  <c r="C255" i="33"/>
  <c r="C261" i="9"/>
  <c r="C79" i="12"/>
  <c r="E79" i="12" s="1"/>
  <c r="C79" i="39"/>
  <c r="C79" i="33"/>
  <c r="C85" i="9"/>
  <c r="C30" i="12"/>
  <c r="E30" i="12" s="1"/>
  <c r="C30" i="39"/>
  <c r="C30" i="33"/>
  <c r="C36" i="9"/>
  <c r="C70" i="12"/>
  <c r="E70" i="12" s="1"/>
  <c r="C70" i="39"/>
  <c r="C76" i="9"/>
  <c r="C70" i="33"/>
  <c r="C159" i="39"/>
  <c r="C159" i="12"/>
  <c r="E159" i="12" s="1"/>
  <c r="C159" i="33"/>
  <c r="C165" i="9"/>
  <c r="C50" i="12"/>
  <c r="E50" i="12" s="1"/>
  <c r="C50" i="39"/>
  <c r="C50" i="33"/>
  <c r="C56" i="9"/>
  <c r="C158" i="39"/>
  <c r="C158" i="12"/>
  <c r="E158" i="12" s="1"/>
  <c r="C158" i="33"/>
  <c r="C164" i="9"/>
  <c r="C45" i="39"/>
  <c r="C45" i="12"/>
  <c r="E45" i="12" s="1"/>
  <c r="C45" i="33"/>
  <c r="C51" i="9"/>
  <c r="C249" i="39"/>
  <c r="C249" i="12"/>
  <c r="E249" i="12" s="1"/>
  <c r="C249" i="33"/>
  <c r="C255" i="9"/>
  <c r="C150" i="12"/>
  <c r="E150" i="12" s="1"/>
  <c r="C150" i="39"/>
  <c r="C150" i="33"/>
  <c r="C156" i="9"/>
  <c r="C36" i="39"/>
  <c r="C36" i="12"/>
  <c r="E36" i="12" s="1"/>
  <c r="C36" i="33"/>
  <c r="C42" i="9"/>
  <c r="C295" i="39"/>
  <c r="C295" i="12"/>
  <c r="E295" i="12" s="1"/>
  <c r="C295" i="33"/>
  <c r="C301" i="9"/>
  <c r="C222" i="12"/>
  <c r="E222" i="12" s="1"/>
  <c r="C222" i="39"/>
  <c r="C222" i="33"/>
  <c r="C228" i="9"/>
  <c r="C206" i="12"/>
  <c r="E206" i="12" s="1"/>
  <c r="C206" i="39"/>
  <c r="C206" i="33"/>
  <c r="C212" i="9"/>
  <c r="C52" i="39"/>
  <c r="C52" i="12"/>
  <c r="E52" i="12" s="1"/>
  <c r="C52" i="33"/>
  <c r="C58" i="9"/>
  <c r="C84" i="39"/>
  <c r="C84" i="12"/>
  <c r="E84" i="12" s="1"/>
  <c r="C84" i="33"/>
  <c r="C90" i="9"/>
  <c r="C290" i="39"/>
  <c r="C290" i="12"/>
  <c r="E290" i="12" s="1"/>
  <c r="C290" i="33"/>
  <c r="C296" i="9"/>
  <c r="C198" i="12"/>
  <c r="E198" i="12" s="1"/>
  <c r="C198" i="39"/>
  <c r="C198" i="33"/>
  <c r="C204" i="9"/>
  <c r="C31" i="12"/>
  <c r="E31" i="12" s="1"/>
  <c r="C31" i="39"/>
  <c r="C31" i="33"/>
  <c r="C37" i="9"/>
  <c r="C289" i="39"/>
  <c r="C289" i="12"/>
  <c r="E289" i="12" s="1"/>
  <c r="C289" i="33"/>
  <c r="C295" i="9"/>
  <c r="C154" i="12"/>
  <c r="E154" i="12" s="1"/>
  <c r="C154" i="39"/>
  <c r="C154" i="33"/>
  <c r="C160" i="9"/>
  <c r="C12" i="39"/>
  <c r="C12" i="12"/>
  <c r="E12" i="12" s="1"/>
  <c r="C12" i="33"/>
  <c r="C18" i="9"/>
  <c r="C280" i="39"/>
  <c r="C280" i="12"/>
  <c r="E280" i="12" s="1"/>
  <c r="C280" i="33"/>
  <c r="C286" i="9"/>
  <c r="C146" i="39"/>
  <c r="C146" i="12"/>
  <c r="E146" i="12" s="1"/>
  <c r="C146" i="33"/>
  <c r="C152" i="9"/>
  <c r="C40" i="39"/>
  <c r="C40" i="12"/>
  <c r="E40" i="12" s="1"/>
  <c r="C40" i="33"/>
  <c r="C46" i="9"/>
  <c r="C226" i="39"/>
  <c r="C226" i="12"/>
  <c r="E226" i="12" s="1"/>
  <c r="C226" i="33"/>
  <c r="C232" i="9"/>
  <c r="C135" i="39"/>
  <c r="C135" i="12"/>
  <c r="E135" i="12" s="1"/>
  <c r="C135" i="33"/>
  <c r="C141" i="9"/>
  <c r="C131" i="12"/>
  <c r="E131" i="12" s="1"/>
  <c r="C131" i="39"/>
  <c r="C131" i="33"/>
  <c r="C137" i="9"/>
  <c r="C184" i="12"/>
  <c r="E184" i="12" s="1"/>
  <c r="C184" i="39"/>
  <c r="C184" i="33"/>
  <c r="C190" i="9"/>
  <c r="C133" i="12"/>
  <c r="E133" i="12" s="1"/>
  <c r="C133" i="39"/>
  <c r="C133" i="33"/>
  <c r="C139" i="9"/>
  <c r="C11" i="39"/>
  <c r="C11" i="12"/>
  <c r="E11" i="12" s="1"/>
  <c r="C11" i="33"/>
  <c r="C17" i="9"/>
  <c r="C191" i="39"/>
  <c r="C191" i="12"/>
  <c r="E191" i="12" s="1"/>
  <c r="C191" i="33"/>
  <c r="C197" i="9"/>
  <c r="C291" i="39"/>
  <c r="C291" i="12"/>
  <c r="E291" i="12" s="1"/>
  <c r="C291" i="33"/>
  <c r="C297" i="9"/>
  <c r="C102" i="12"/>
  <c r="E102" i="12" s="1"/>
  <c r="C102" i="39"/>
  <c r="C108" i="9"/>
  <c r="C102" i="33"/>
  <c r="C110" i="39"/>
  <c r="C110" i="12"/>
  <c r="E110" i="12" s="1"/>
  <c r="C110" i="33"/>
  <c r="C116" i="9"/>
  <c r="C51" i="12"/>
  <c r="E51" i="12" s="1"/>
  <c r="C51" i="39"/>
  <c r="C51" i="33"/>
  <c r="C57" i="9"/>
  <c r="C163" i="12"/>
  <c r="E163" i="12" s="1"/>
  <c r="C163" i="39"/>
  <c r="C163" i="33"/>
  <c r="C169" i="9"/>
  <c r="C219" i="39"/>
  <c r="C219" i="12"/>
  <c r="C219" i="33"/>
  <c r="C225" i="9"/>
  <c r="J174" i="49"/>
  <c r="E173" i="25"/>
  <c r="C174" i="13"/>
  <c r="J17" i="49"/>
  <c r="E16" i="25"/>
  <c r="C17" i="13"/>
  <c r="J63" i="49"/>
  <c r="E62" i="25"/>
  <c r="C63" i="13"/>
  <c r="J247" i="49"/>
  <c r="E246" i="25"/>
  <c r="C247" i="13"/>
  <c r="J98" i="49"/>
  <c r="E97" i="25"/>
  <c r="C98" i="13"/>
  <c r="J39" i="49"/>
  <c r="E38" i="25"/>
  <c r="C39" i="13"/>
  <c r="J243" i="49"/>
  <c r="E242" i="25"/>
  <c r="C243" i="13"/>
  <c r="J94" i="49"/>
  <c r="E93" i="25"/>
  <c r="C94" i="13"/>
  <c r="J196" i="49"/>
  <c r="E195" i="25"/>
  <c r="C196" i="13"/>
  <c r="J287" i="49"/>
  <c r="E286" i="25"/>
  <c r="C287" i="13"/>
  <c r="J239" i="49"/>
  <c r="E238" i="25"/>
  <c r="C239" i="13"/>
  <c r="J142" i="49"/>
  <c r="E141" i="25"/>
  <c r="C142" i="13"/>
  <c r="J208" i="49"/>
  <c r="E207" i="25"/>
  <c r="C208" i="13"/>
  <c r="E21" i="25"/>
  <c r="J22" i="49"/>
  <c r="C22" i="13"/>
  <c r="J123" i="49"/>
  <c r="E122" i="25"/>
  <c r="C123" i="13"/>
  <c r="J86" i="49"/>
  <c r="E85" i="25"/>
  <c r="C86" i="13"/>
  <c r="J140" i="49"/>
  <c r="E139" i="25"/>
  <c r="C140" i="13"/>
  <c r="J257" i="49"/>
  <c r="C257" i="13"/>
  <c r="E256" i="25"/>
  <c r="J87" i="49"/>
  <c r="E86" i="25"/>
  <c r="C87" i="13"/>
  <c r="J117" i="49"/>
  <c r="E116" i="25"/>
  <c r="C117" i="13"/>
  <c r="J225" i="49"/>
  <c r="E224" i="25"/>
  <c r="C225" i="13"/>
  <c r="J83" i="49"/>
  <c r="E82" i="25"/>
  <c r="C83" i="13"/>
  <c r="J38" i="49"/>
  <c r="E37" i="25"/>
  <c r="C38" i="13"/>
  <c r="J168" i="49"/>
  <c r="E167" i="25"/>
  <c r="C168" i="13"/>
  <c r="J149" i="49"/>
  <c r="E148" i="25"/>
  <c r="C149" i="13"/>
  <c r="J177" i="49"/>
  <c r="E176" i="25"/>
  <c r="C177" i="13"/>
  <c r="J211" i="49"/>
  <c r="E210" i="25"/>
  <c r="C211" i="13"/>
  <c r="J199" i="49"/>
  <c r="E198" i="25"/>
  <c r="C199" i="13"/>
  <c r="J160" i="49"/>
  <c r="E159" i="25"/>
  <c r="C160" i="13"/>
  <c r="J250" i="49"/>
  <c r="E249" i="25"/>
  <c r="C250" i="13"/>
  <c r="J286" i="49"/>
  <c r="E285" i="25"/>
  <c r="C286" i="13"/>
  <c r="J66" i="49"/>
  <c r="C66" i="13"/>
  <c r="E65" i="25"/>
  <c r="J282" i="49"/>
  <c r="E281" i="25"/>
  <c r="C282" i="13"/>
  <c r="J264" i="49"/>
  <c r="E263" i="25"/>
  <c r="C264" i="13"/>
  <c r="J42" i="49"/>
  <c r="E41" i="25"/>
  <c r="C42" i="13"/>
  <c r="J64" i="49"/>
  <c r="E63" i="25"/>
  <c r="C64" i="13"/>
  <c r="J303" i="49"/>
  <c r="E302" i="25"/>
  <c r="C303" i="13"/>
  <c r="J241" i="49"/>
  <c r="E240" i="25"/>
  <c r="C241" i="13"/>
  <c r="J90" i="49"/>
  <c r="E89" i="25"/>
  <c r="C90" i="13"/>
  <c r="J91" i="49"/>
  <c r="E90" i="25"/>
  <c r="C91" i="13"/>
  <c r="J61" i="49"/>
  <c r="E60" i="25"/>
  <c r="C61" i="13"/>
  <c r="J237" i="49"/>
  <c r="E236" i="25"/>
  <c r="C237" i="13"/>
  <c r="J73" i="49"/>
  <c r="E72" i="25"/>
  <c r="C73" i="13"/>
  <c r="J293" i="49"/>
  <c r="E292" i="25"/>
  <c r="C293" i="13"/>
  <c r="J233" i="49"/>
  <c r="E232" i="25"/>
  <c r="C233" i="13"/>
  <c r="J190" i="49"/>
  <c r="E189" i="25"/>
  <c r="C190" i="13"/>
  <c r="J167" i="49"/>
  <c r="E166" i="25"/>
  <c r="C167" i="13"/>
  <c r="J116" i="49"/>
  <c r="E115" i="25"/>
  <c r="C116" i="13"/>
  <c r="J182" i="49"/>
  <c r="E181" i="25"/>
  <c r="C182" i="13"/>
  <c r="J28" i="49"/>
  <c r="E27" i="25"/>
  <c r="C28" i="13"/>
  <c r="J201" i="49"/>
  <c r="E200" i="25"/>
  <c r="C201" i="13"/>
  <c r="J127" i="49"/>
  <c r="E126" i="25"/>
  <c r="C127" i="13"/>
  <c r="J129" i="49"/>
  <c r="E128" i="25"/>
  <c r="C129" i="13"/>
  <c r="J43" i="49"/>
  <c r="E42" i="25"/>
  <c r="C43" i="13"/>
  <c r="J238" i="49"/>
  <c r="E237" i="25"/>
  <c r="C238" i="13"/>
  <c r="J152" i="49"/>
  <c r="E151" i="25"/>
  <c r="C152" i="13"/>
  <c r="J234" i="49"/>
  <c r="E233" i="25"/>
  <c r="C234" i="13"/>
  <c r="J292" i="49"/>
  <c r="E291" i="25"/>
  <c r="C292" i="13"/>
  <c r="J13" i="49"/>
  <c r="E12" i="25"/>
  <c r="C13" i="13"/>
  <c r="J59" i="49"/>
  <c r="E58" i="25"/>
  <c r="C59" i="13"/>
  <c r="J125" i="49"/>
  <c r="C125" i="13"/>
  <c r="E124" i="25"/>
  <c r="J164" i="49"/>
  <c r="E163" i="25"/>
  <c r="C164" i="13"/>
  <c r="J242" i="49"/>
  <c r="E241" i="25"/>
  <c r="C242" i="13"/>
  <c r="J252" i="49"/>
  <c r="E251" i="25"/>
  <c r="C252" i="13"/>
  <c r="J285" i="49"/>
  <c r="E284" i="25"/>
  <c r="C285" i="13"/>
  <c r="J85" i="49"/>
  <c r="E84" i="25"/>
  <c r="C85" i="13"/>
  <c r="J215" i="49"/>
  <c r="E214" i="25"/>
  <c r="C215" i="13"/>
  <c r="J274" i="49"/>
  <c r="E273" i="25"/>
  <c r="C274" i="13"/>
  <c r="J81" i="49"/>
  <c r="E80" i="25"/>
  <c r="C81" i="13"/>
  <c r="J275" i="49"/>
  <c r="E274" i="25"/>
  <c r="C275" i="13"/>
  <c r="J273" i="49"/>
  <c r="E272" i="25"/>
  <c r="C273" i="13"/>
  <c r="J266" i="49"/>
  <c r="E265" i="25"/>
  <c r="C266" i="13"/>
  <c r="J10" i="49"/>
  <c r="E9" i="25"/>
  <c r="C10" i="13"/>
  <c r="E133" i="25"/>
  <c r="J134" i="49"/>
  <c r="C134" i="13"/>
  <c r="J55" i="49"/>
  <c r="E54" i="25"/>
  <c r="C55" i="13"/>
  <c r="J235" i="49"/>
  <c r="E234" i="25"/>
  <c r="C235" i="13"/>
  <c r="J56" i="49"/>
  <c r="E55" i="25"/>
  <c r="C56" i="13"/>
  <c r="J278" i="49"/>
  <c r="E277" i="25"/>
  <c r="C278" i="13"/>
  <c r="J268" i="49"/>
  <c r="E267" i="25"/>
  <c r="C268" i="13"/>
  <c r="J126" i="49"/>
  <c r="E125" i="25"/>
  <c r="C126" i="13"/>
  <c r="J169" i="49"/>
  <c r="E168" i="25"/>
  <c r="C169" i="13"/>
  <c r="J270" i="49"/>
  <c r="E269" i="25"/>
  <c r="C270" i="13"/>
  <c r="J118" i="49"/>
  <c r="E117" i="25"/>
  <c r="C118" i="13"/>
  <c r="J109" i="49"/>
  <c r="E108" i="25"/>
  <c r="C109" i="13"/>
  <c r="J15" i="49"/>
  <c r="E14" i="25"/>
  <c r="C15" i="13"/>
  <c r="J246" i="49"/>
  <c r="E245" i="25"/>
  <c r="C246" i="13"/>
  <c r="J141" i="49"/>
  <c r="E140" i="25"/>
  <c r="C141" i="13"/>
  <c r="J153" i="49"/>
  <c r="E152" i="25"/>
  <c r="C153" i="13"/>
  <c r="J294" i="49"/>
  <c r="E293" i="25"/>
  <c r="C294" i="13"/>
  <c r="E184" i="25"/>
  <c r="J185" i="49"/>
  <c r="C185" i="13"/>
  <c r="J144" i="49"/>
  <c r="E143" i="25"/>
  <c r="C144" i="13"/>
  <c r="J124" i="49"/>
  <c r="E123" i="25"/>
  <c r="C124" i="13"/>
  <c r="J194" i="49"/>
  <c r="E193" i="25"/>
  <c r="C194" i="13"/>
  <c r="J223" i="49"/>
  <c r="E222" i="25"/>
  <c r="C223" i="13"/>
  <c r="J93" i="49"/>
  <c r="E92" i="25"/>
  <c r="C93" i="13"/>
  <c r="E129" i="25"/>
  <c r="J130" i="49"/>
  <c r="C130" i="13"/>
  <c r="J29" i="49"/>
  <c r="E28" i="25"/>
  <c r="C29" i="13"/>
  <c r="J281" i="49"/>
  <c r="E280" i="25"/>
  <c r="C281" i="13"/>
  <c r="J269" i="49"/>
  <c r="E268" i="25"/>
  <c r="C269" i="13"/>
  <c r="J186" i="49"/>
  <c r="E185" i="25"/>
  <c r="C186" i="13"/>
  <c r="J101" i="49"/>
  <c r="E100" i="25"/>
  <c r="C101" i="13"/>
  <c r="J288" i="49"/>
  <c r="E287" i="25"/>
  <c r="C288" i="13"/>
  <c r="J178" i="49"/>
  <c r="C178" i="13"/>
  <c r="E177" i="25"/>
  <c r="J96" i="49"/>
  <c r="E95" i="25"/>
  <c r="C96" i="13"/>
  <c r="J188" i="49"/>
  <c r="E187" i="25"/>
  <c r="C188" i="13"/>
  <c r="J216" i="49"/>
  <c r="E215" i="25"/>
  <c r="C216" i="13"/>
  <c r="J224" i="49"/>
  <c r="E223" i="25"/>
  <c r="C224" i="13"/>
  <c r="J77" i="49"/>
  <c r="E76" i="25"/>
  <c r="C77" i="13"/>
  <c r="J111" i="49"/>
  <c r="E110" i="25"/>
  <c r="C111" i="13"/>
  <c r="J267" i="49"/>
  <c r="E266" i="25"/>
  <c r="C267" i="13"/>
  <c r="J262" i="49"/>
  <c r="E261" i="25"/>
  <c r="C262" i="13"/>
  <c r="J46" i="49"/>
  <c r="E45" i="25"/>
  <c r="C46" i="13"/>
  <c r="J297" i="49"/>
  <c r="E296" i="25"/>
  <c r="C297" i="13"/>
  <c r="J231" i="49"/>
  <c r="E230" i="25"/>
  <c r="C231" i="13"/>
  <c r="J82" i="49"/>
  <c r="E81" i="25"/>
  <c r="C82" i="13"/>
  <c r="J108" i="49"/>
  <c r="E107" i="25"/>
  <c r="C108" i="13"/>
  <c r="J260" i="49"/>
  <c r="E259" i="25"/>
  <c r="C260" i="13"/>
  <c r="J78" i="49"/>
  <c r="E77" i="25"/>
  <c r="C78" i="13"/>
  <c r="J195" i="49"/>
  <c r="E194" i="25"/>
  <c r="C195" i="13"/>
  <c r="J189" i="49"/>
  <c r="E188" i="25"/>
  <c r="C189" i="13"/>
  <c r="J41" i="49"/>
  <c r="E40" i="25"/>
  <c r="C41" i="13"/>
  <c r="J203" i="49"/>
  <c r="E202" i="25"/>
  <c r="C203" i="13"/>
  <c r="J27" i="49"/>
  <c r="E26" i="25"/>
  <c r="C27" i="13"/>
  <c r="J128" i="49"/>
  <c r="E127" i="25"/>
  <c r="C128" i="13"/>
  <c r="J218" i="49"/>
  <c r="E217" i="25"/>
  <c r="C218" i="13"/>
  <c r="J176" i="49"/>
  <c r="E175" i="25"/>
  <c r="C176" i="13"/>
  <c r="J283" i="49"/>
  <c r="E282" i="25"/>
  <c r="C283" i="13"/>
  <c r="J276" i="49"/>
  <c r="E275" i="25"/>
  <c r="C276" i="13"/>
  <c r="J181" i="49"/>
  <c r="E180" i="25"/>
  <c r="C181" i="13"/>
  <c r="J296" i="49"/>
  <c r="E295" i="25"/>
  <c r="C296" i="13"/>
  <c r="J121" i="49"/>
  <c r="E120" i="25"/>
  <c r="C121" i="13"/>
  <c r="J217" i="49"/>
  <c r="E216" i="25"/>
  <c r="C217" i="13"/>
  <c r="J119" i="49"/>
  <c r="E118" i="25"/>
  <c r="C119" i="13"/>
  <c r="J75" i="49"/>
  <c r="E74" i="25"/>
  <c r="C75" i="13"/>
  <c r="J122" i="49"/>
  <c r="E121" i="25"/>
  <c r="C122" i="13"/>
  <c r="J68" i="49"/>
  <c r="E67" i="25"/>
  <c r="C68" i="13"/>
  <c r="J180" i="49"/>
  <c r="E179" i="25"/>
  <c r="C180" i="13"/>
  <c r="J114" i="49"/>
  <c r="E113" i="25"/>
  <c r="C114" i="13"/>
  <c r="J58" i="49"/>
  <c r="E57" i="25"/>
  <c r="C58" i="13"/>
  <c r="J9" i="49"/>
  <c r="E8" i="25"/>
  <c r="C9" i="13"/>
  <c r="J305" i="49"/>
  <c r="E304" i="25"/>
  <c r="C305" i="13"/>
  <c r="J170" i="49"/>
  <c r="E169" i="25"/>
  <c r="C170" i="13"/>
  <c r="J92" i="49"/>
  <c r="E91" i="25"/>
  <c r="C92" i="13"/>
  <c r="E87" i="25"/>
  <c r="J88" i="49"/>
  <c r="C88" i="13"/>
  <c r="J213" i="49"/>
  <c r="E212" i="25"/>
  <c r="C213" i="13"/>
  <c r="J258" i="49"/>
  <c r="E257" i="25"/>
  <c r="C258" i="13"/>
  <c r="J72" i="49"/>
  <c r="E71" i="25"/>
  <c r="C72" i="13"/>
  <c r="J214" i="49"/>
  <c r="E213" i="25"/>
  <c r="C214" i="13"/>
  <c r="J254" i="49"/>
  <c r="E253" i="25"/>
  <c r="C254" i="13"/>
  <c r="J103" i="49"/>
  <c r="E102" i="25"/>
  <c r="C103" i="13"/>
  <c r="J277" i="49"/>
  <c r="E276" i="25"/>
  <c r="C277" i="13"/>
  <c r="J227" i="49"/>
  <c r="E226" i="25"/>
  <c r="C227" i="13"/>
  <c r="J97" i="49"/>
  <c r="E96" i="25"/>
  <c r="C97" i="13"/>
  <c r="J49" i="49"/>
  <c r="E48" i="25"/>
  <c r="C49" i="13"/>
  <c r="J115" i="49"/>
  <c r="E114" i="25"/>
  <c r="C115" i="13"/>
  <c r="J171" i="49"/>
  <c r="E170" i="25"/>
  <c r="C171" i="13"/>
  <c r="J157" i="49"/>
  <c r="E156" i="25"/>
  <c r="C157" i="13"/>
  <c r="J197" i="49"/>
  <c r="E196" i="25"/>
  <c r="C197" i="13"/>
  <c r="J57" i="49"/>
  <c r="E56" i="25"/>
  <c r="C57" i="13"/>
  <c r="J205" i="49"/>
  <c r="E204" i="25"/>
  <c r="C205" i="13"/>
  <c r="J300" i="49"/>
  <c r="E299" i="25"/>
  <c r="C300" i="13"/>
  <c r="J24" i="49"/>
  <c r="E23" i="25"/>
  <c r="C24" i="13"/>
  <c r="J232" i="49"/>
  <c r="E231" i="25"/>
  <c r="C232" i="13"/>
  <c r="J221" i="49"/>
  <c r="E220" i="25"/>
  <c r="C221" i="13"/>
  <c r="J204" i="49"/>
  <c r="E203" i="25"/>
  <c r="C204" i="13"/>
  <c r="J299" i="49"/>
  <c r="E298" i="25"/>
  <c r="C299" i="13"/>
  <c r="J76" i="49"/>
  <c r="E75" i="25"/>
  <c r="C76" i="13"/>
  <c r="J166" i="49"/>
  <c r="E165" i="25"/>
  <c r="C166" i="13"/>
  <c r="J23" i="49"/>
  <c r="E22" i="25"/>
  <c r="C23" i="13"/>
  <c r="J187" i="49"/>
  <c r="E186" i="25"/>
  <c r="C187" i="13"/>
  <c r="J156" i="49"/>
  <c r="E155" i="25"/>
  <c r="C156" i="13"/>
  <c r="J104" i="49"/>
  <c r="E103" i="25"/>
  <c r="C104" i="13"/>
  <c r="J16" i="49"/>
  <c r="E15" i="25"/>
  <c r="C16" i="13"/>
  <c r="J265" i="49"/>
  <c r="E264" i="25"/>
  <c r="C265" i="13"/>
  <c r="J99" i="49"/>
  <c r="E98" i="25"/>
  <c r="C99" i="13"/>
  <c r="J8" i="49"/>
  <c r="E7" i="25"/>
  <c r="C8" i="13"/>
  <c r="J147" i="49"/>
  <c r="E146" i="25"/>
  <c r="C147" i="13"/>
  <c r="J209" i="49"/>
  <c r="E208" i="25"/>
  <c r="C209" i="13"/>
  <c r="J18" i="49"/>
  <c r="E17" i="25"/>
  <c r="C18" i="13"/>
  <c r="J26" i="49"/>
  <c r="E25" i="25"/>
  <c r="C26" i="13"/>
  <c r="J54" i="49"/>
  <c r="E53" i="25"/>
  <c r="C54" i="13"/>
  <c r="J229" i="49"/>
  <c r="E228" i="25"/>
  <c r="C229" i="13"/>
  <c r="J220" i="49"/>
  <c r="E219" i="25"/>
  <c r="C220" i="13"/>
  <c r="J7" i="49"/>
  <c r="E6" i="25"/>
  <c r="C7" i="13"/>
  <c r="J304" i="49"/>
  <c r="E303" i="25"/>
  <c r="C304" i="13"/>
  <c r="J248" i="49"/>
  <c r="E247" i="25"/>
  <c r="C248" i="13"/>
  <c r="E68" i="25"/>
  <c r="J69" i="49"/>
  <c r="C69" i="13"/>
  <c r="J253" i="49"/>
  <c r="E252" i="25"/>
  <c r="C253" i="13"/>
  <c r="J244" i="49"/>
  <c r="E243" i="25"/>
  <c r="C244" i="13"/>
  <c r="J65" i="49"/>
  <c r="E64" i="25"/>
  <c r="C65" i="13"/>
  <c r="J33" i="49"/>
  <c r="E32" i="25"/>
  <c r="C33" i="13"/>
  <c r="J173" i="49"/>
  <c r="E172" i="25"/>
  <c r="C173" i="13"/>
  <c r="J284" i="49"/>
  <c r="E283" i="25"/>
  <c r="C284" i="13"/>
  <c r="J19" i="49"/>
  <c r="E18" i="25"/>
  <c r="C19" i="13"/>
  <c r="J179" i="49"/>
  <c r="E178" i="25"/>
  <c r="C179" i="13"/>
  <c r="J230" i="49"/>
  <c r="E229" i="25"/>
  <c r="C230" i="13"/>
  <c r="J136" i="49"/>
  <c r="E135" i="25"/>
  <c r="C136" i="13"/>
  <c r="J161" i="49"/>
  <c r="E160" i="25"/>
  <c r="C161" i="13"/>
  <c r="J139" i="49"/>
  <c r="E138" i="25"/>
  <c r="C139" i="13"/>
  <c r="J35" i="49"/>
  <c r="E34" i="25"/>
  <c r="C35" i="13"/>
  <c r="J145" i="49"/>
  <c r="E144" i="25"/>
  <c r="C145" i="13"/>
  <c r="J207" i="49"/>
  <c r="E206" i="25"/>
  <c r="C207" i="13"/>
  <c r="J20" i="49"/>
  <c r="E19" i="25"/>
  <c r="C20" i="13"/>
  <c r="J236" i="49"/>
  <c r="E235" i="25"/>
  <c r="C236" i="13"/>
  <c r="J74" i="49"/>
  <c r="E73" i="25"/>
  <c r="C74" i="13"/>
  <c r="J132" i="49"/>
  <c r="E131" i="25"/>
  <c r="C132" i="13"/>
  <c r="J240" i="49"/>
  <c r="E239" i="25"/>
  <c r="C240" i="13"/>
  <c r="J256" i="49"/>
  <c r="E255" i="25"/>
  <c r="C256" i="13"/>
  <c r="J151" i="49"/>
  <c r="E150" i="25"/>
  <c r="C151" i="13"/>
  <c r="J279" i="49"/>
  <c r="C279" i="13"/>
  <c r="E278" i="25"/>
  <c r="J32" i="49"/>
  <c r="C32" i="13"/>
  <c r="E31" i="25"/>
  <c r="J105" i="49"/>
  <c r="E104" i="25"/>
  <c r="C105" i="13"/>
  <c r="J302" i="49"/>
  <c r="E301" i="25"/>
  <c r="C302" i="13"/>
  <c r="J251" i="49"/>
  <c r="E250" i="25"/>
  <c r="C251" i="13"/>
  <c r="J272" i="49"/>
  <c r="E271" i="25"/>
  <c r="C272" i="13"/>
  <c r="J71" i="49"/>
  <c r="E70" i="25"/>
  <c r="C71" i="13"/>
  <c r="J14" i="49"/>
  <c r="E13" i="25"/>
  <c r="C14" i="13"/>
  <c r="J100" i="49"/>
  <c r="E99" i="25"/>
  <c r="C100" i="13"/>
  <c r="J67" i="49"/>
  <c r="E66" i="25"/>
  <c r="C67" i="13"/>
  <c r="J60" i="49"/>
  <c r="E59" i="25"/>
  <c r="C60" i="13"/>
  <c r="J148" i="49"/>
  <c r="E147" i="25"/>
  <c r="C148" i="13"/>
  <c r="J245" i="49"/>
  <c r="E244" i="25"/>
  <c r="C245" i="13"/>
  <c r="J95" i="49"/>
  <c r="E94" i="25"/>
  <c r="C95" i="13"/>
  <c r="J62" i="49"/>
  <c r="E61" i="25"/>
  <c r="C62" i="13"/>
  <c r="J44" i="49"/>
  <c r="E43" i="25"/>
  <c r="C44" i="13"/>
  <c r="J263" i="49"/>
  <c r="E262" i="25"/>
  <c r="C263" i="13"/>
  <c r="J162" i="49"/>
  <c r="E161" i="25"/>
  <c r="C162" i="13"/>
  <c r="E36" i="25"/>
  <c r="J37" i="49"/>
  <c r="C37" i="13"/>
  <c r="J172" i="49"/>
  <c r="E171" i="25"/>
  <c r="C172" i="13"/>
  <c r="J212" i="49"/>
  <c r="E211" i="25"/>
  <c r="C212" i="13"/>
  <c r="J48" i="49"/>
  <c r="E47" i="25"/>
  <c r="C48" i="13"/>
  <c r="J301" i="49"/>
  <c r="E300" i="25"/>
  <c r="C301" i="13"/>
  <c r="J210" i="49"/>
  <c r="E209" i="25"/>
  <c r="C210" i="13"/>
  <c r="J80" i="49"/>
  <c r="E79" i="25"/>
  <c r="C80" i="13"/>
  <c r="J25" i="49"/>
  <c r="E24" i="25"/>
  <c r="C25" i="13"/>
  <c r="J112" i="49"/>
  <c r="E111" i="25"/>
  <c r="C112" i="13"/>
  <c r="J165" i="49"/>
  <c r="E164" i="25"/>
  <c r="C165" i="13"/>
  <c r="J193" i="49"/>
  <c r="E192" i="25"/>
  <c r="C193" i="13"/>
  <c r="J200" i="49"/>
  <c r="E199" i="25"/>
  <c r="C200" i="13"/>
  <c r="J192" i="49"/>
  <c r="E191" i="25"/>
  <c r="C192" i="13"/>
  <c r="J183" i="49"/>
  <c r="E182" i="25"/>
  <c r="C183" i="13"/>
  <c r="J89" i="49"/>
  <c r="E88" i="25"/>
  <c r="C89" i="13"/>
  <c r="J107" i="49"/>
  <c r="E106" i="25"/>
  <c r="C107" i="13"/>
  <c r="J259" i="49"/>
  <c r="E258" i="25"/>
  <c r="C259" i="13"/>
  <c r="J106" i="49"/>
  <c r="E105" i="25"/>
  <c r="C106" i="13"/>
  <c r="J298" i="49"/>
  <c r="E297" i="25"/>
  <c r="C298" i="13"/>
  <c r="J34" i="49"/>
  <c r="E33" i="25"/>
  <c r="C34" i="13"/>
  <c r="J155" i="49"/>
  <c r="E154" i="25"/>
  <c r="C155" i="13"/>
  <c r="J202" i="49"/>
  <c r="E201" i="25"/>
  <c r="C202" i="13"/>
  <c r="J53" i="49"/>
  <c r="E52" i="25"/>
  <c r="C53" i="13"/>
  <c r="J138" i="49"/>
  <c r="E137" i="25"/>
  <c r="C138" i="13"/>
  <c r="J47" i="49"/>
  <c r="E46" i="25"/>
  <c r="C47" i="13"/>
  <c r="J255" i="49"/>
  <c r="E254" i="25"/>
  <c r="C255" i="13"/>
  <c r="J79" i="49"/>
  <c r="E78" i="25"/>
  <c r="C79" i="13"/>
  <c r="J30" i="49"/>
  <c r="E29" i="25"/>
  <c r="C30" i="13"/>
  <c r="J70" i="49"/>
  <c r="E69" i="25"/>
  <c r="C70" i="13"/>
  <c r="J159" i="49"/>
  <c r="E158" i="25"/>
  <c r="C159" i="13"/>
  <c r="J219" i="49"/>
  <c r="E218" i="25"/>
  <c r="C219" i="13"/>
  <c r="J50" i="49"/>
  <c r="E49" i="25"/>
  <c r="C50" i="13"/>
  <c r="J158" i="49"/>
  <c r="E157" i="25"/>
  <c r="C158" i="13"/>
  <c r="E44" i="25"/>
  <c r="J45" i="49"/>
  <c r="C45" i="13"/>
  <c r="J249" i="49"/>
  <c r="E248" i="25"/>
  <c r="C249" i="13"/>
  <c r="J150" i="49"/>
  <c r="E149" i="25"/>
  <c r="C150" i="13"/>
  <c r="J36" i="49"/>
  <c r="E35" i="25"/>
  <c r="C36" i="13"/>
  <c r="J295" i="49"/>
  <c r="E294" i="25"/>
  <c r="C295" i="13"/>
  <c r="J222" i="49"/>
  <c r="E221" i="25"/>
  <c r="C222" i="13"/>
  <c r="J206" i="49"/>
  <c r="E205" i="25"/>
  <c r="C206" i="13"/>
  <c r="J52" i="49"/>
  <c r="E51" i="25"/>
  <c r="C52" i="13"/>
  <c r="J84" i="49"/>
  <c r="E83" i="25"/>
  <c r="C84" i="13"/>
  <c r="E289" i="25"/>
  <c r="J290" i="49"/>
  <c r="C290" i="13"/>
  <c r="J198" i="49"/>
  <c r="E197" i="25"/>
  <c r="C198" i="13"/>
  <c r="J31" i="49"/>
  <c r="E30" i="25"/>
  <c r="C31" i="13"/>
  <c r="J289" i="49"/>
  <c r="E288" i="25"/>
  <c r="C289" i="13"/>
  <c r="J154" i="49"/>
  <c r="E153" i="25"/>
  <c r="C154" i="13"/>
  <c r="J12" i="49"/>
  <c r="E11" i="25"/>
  <c r="C12" i="13"/>
  <c r="J280" i="49"/>
  <c r="C280" i="13"/>
  <c r="E279" i="25"/>
  <c r="J146" i="49"/>
  <c r="E145" i="25"/>
  <c r="C146" i="13"/>
  <c r="J40" i="49"/>
  <c r="E39" i="25"/>
  <c r="C40" i="13"/>
  <c r="J226" i="49"/>
  <c r="E225" i="25"/>
  <c r="C226" i="13"/>
  <c r="J135" i="49"/>
  <c r="E134" i="25"/>
  <c r="C135" i="13"/>
  <c r="J131" i="49"/>
  <c r="E130" i="25"/>
  <c r="C131" i="13"/>
  <c r="J184" i="49"/>
  <c r="E183" i="25"/>
  <c r="C184" i="13"/>
  <c r="J133" i="49"/>
  <c r="E132" i="25"/>
  <c r="C133" i="13"/>
  <c r="J11" i="49"/>
  <c r="E10" i="25"/>
  <c r="C11" i="13"/>
  <c r="J191" i="49"/>
  <c r="E190" i="25"/>
  <c r="C191" i="13"/>
  <c r="J291" i="49"/>
  <c r="E290" i="25"/>
  <c r="C291" i="13"/>
  <c r="E101" i="25"/>
  <c r="J102" i="49"/>
  <c r="C102" i="13"/>
  <c r="J110" i="49"/>
  <c r="E109" i="25"/>
  <c r="C110" i="13"/>
  <c r="J51" i="49"/>
  <c r="C51" i="13"/>
  <c r="E50" i="25"/>
  <c r="J163" i="49"/>
  <c r="E162" i="25"/>
  <c r="C163" i="13"/>
  <c r="C271" i="19"/>
  <c r="L271" i="19" s="1"/>
  <c r="F271" i="49" s="1"/>
  <c r="G271" i="49" s="1"/>
  <c r="A7" i="54"/>
  <c r="B7" i="54"/>
  <c r="A8" i="54"/>
  <c r="B8" i="54"/>
  <c r="A9" i="54"/>
  <c r="B9" i="54"/>
  <c r="A10" i="54"/>
  <c r="B10" i="54"/>
  <c r="A11" i="54"/>
  <c r="B11" i="54"/>
  <c r="A12" i="54"/>
  <c r="B12" i="54"/>
  <c r="A13" i="54"/>
  <c r="B13" i="54"/>
  <c r="A14" i="54"/>
  <c r="B14" i="54"/>
  <c r="A15" i="54"/>
  <c r="B15" i="54"/>
  <c r="A16" i="54"/>
  <c r="B16" i="54"/>
  <c r="A17" i="54"/>
  <c r="B17" i="54"/>
  <c r="A18" i="54"/>
  <c r="B18" i="54"/>
  <c r="A19" i="54"/>
  <c r="B19" i="54"/>
  <c r="A20" i="54"/>
  <c r="B20" i="54"/>
  <c r="A21" i="54"/>
  <c r="B21" i="54"/>
  <c r="A22" i="54"/>
  <c r="B22" i="54"/>
  <c r="A23" i="54"/>
  <c r="B23" i="54"/>
  <c r="A24" i="54"/>
  <c r="B24" i="54"/>
  <c r="A25" i="54"/>
  <c r="B25" i="54"/>
  <c r="A26" i="54"/>
  <c r="B26" i="54"/>
  <c r="A27" i="54"/>
  <c r="B27" i="54"/>
  <c r="A28" i="54"/>
  <c r="B28" i="54"/>
  <c r="A29" i="54"/>
  <c r="B29" i="54"/>
  <c r="A30" i="54"/>
  <c r="B30" i="54"/>
  <c r="A31" i="54"/>
  <c r="B31" i="54"/>
  <c r="A32" i="54"/>
  <c r="B32" i="54"/>
  <c r="A33" i="54"/>
  <c r="B33" i="54"/>
  <c r="A34" i="54"/>
  <c r="B34" i="54"/>
  <c r="A35" i="54"/>
  <c r="B35" i="54"/>
  <c r="A36" i="54"/>
  <c r="B36" i="54"/>
  <c r="A37" i="54"/>
  <c r="B37" i="54"/>
  <c r="A38" i="54"/>
  <c r="B38" i="54"/>
  <c r="A39" i="54"/>
  <c r="B39" i="54"/>
  <c r="A40" i="54"/>
  <c r="B40" i="54"/>
  <c r="A41" i="54"/>
  <c r="B41" i="54"/>
  <c r="A42" i="54"/>
  <c r="B42" i="54"/>
  <c r="A43" i="54"/>
  <c r="B43" i="54"/>
  <c r="A44" i="54"/>
  <c r="B44" i="54"/>
  <c r="A45" i="54"/>
  <c r="B45" i="54"/>
  <c r="A46" i="54"/>
  <c r="B46" i="54"/>
  <c r="A47" i="54"/>
  <c r="B47" i="54"/>
  <c r="A48" i="54"/>
  <c r="B48" i="54"/>
  <c r="A49" i="54"/>
  <c r="B49" i="54"/>
  <c r="A50" i="54"/>
  <c r="B50" i="54"/>
  <c r="A51" i="54"/>
  <c r="B51" i="54"/>
  <c r="A52" i="54"/>
  <c r="B52" i="54"/>
  <c r="A53" i="54"/>
  <c r="B53" i="54"/>
  <c r="A54" i="54"/>
  <c r="B54" i="54"/>
  <c r="A55" i="54"/>
  <c r="B55" i="54"/>
  <c r="A56" i="54"/>
  <c r="B56" i="54"/>
  <c r="A57" i="54"/>
  <c r="B57" i="54"/>
  <c r="A58" i="54"/>
  <c r="B58" i="54"/>
  <c r="A59" i="54"/>
  <c r="B59" i="54"/>
  <c r="A60" i="54"/>
  <c r="B60" i="54"/>
  <c r="A61" i="54"/>
  <c r="B61" i="54"/>
  <c r="A62" i="54"/>
  <c r="B62" i="54"/>
  <c r="A63" i="54"/>
  <c r="B63" i="54"/>
  <c r="A64" i="54"/>
  <c r="B64" i="54"/>
  <c r="A65" i="54"/>
  <c r="B65" i="54"/>
  <c r="A66" i="54"/>
  <c r="B66" i="54"/>
  <c r="A67" i="54"/>
  <c r="B67" i="54"/>
  <c r="A68" i="54"/>
  <c r="B68" i="54"/>
  <c r="A69" i="54"/>
  <c r="B69" i="54"/>
  <c r="A70" i="54"/>
  <c r="B70" i="54"/>
  <c r="A71" i="54"/>
  <c r="B71" i="54"/>
  <c r="A72" i="54"/>
  <c r="B72" i="54"/>
  <c r="A73" i="54"/>
  <c r="B73" i="54"/>
  <c r="A74" i="54"/>
  <c r="B74" i="54"/>
  <c r="A75" i="54"/>
  <c r="B75" i="54"/>
  <c r="A76" i="54"/>
  <c r="B76" i="54"/>
  <c r="A77" i="54"/>
  <c r="B77" i="54"/>
  <c r="A78" i="54"/>
  <c r="B78" i="54"/>
  <c r="A79" i="54"/>
  <c r="B79" i="54"/>
  <c r="A80" i="54"/>
  <c r="B80" i="54"/>
  <c r="A81" i="54"/>
  <c r="B81" i="54"/>
  <c r="A82" i="54"/>
  <c r="B82" i="54"/>
  <c r="A83" i="54"/>
  <c r="B83" i="54"/>
  <c r="A84" i="54"/>
  <c r="B84" i="54"/>
  <c r="A85" i="54"/>
  <c r="B85" i="54"/>
  <c r="A86" i="54"/>
  <c r="B86" i="54"/>
  <c r="A87" i="54"/>
  <c r="B87" i="54"/>
  <c r="A88" i="54"/>
  <c r="B88" i="54"/>
  <c r="A89" i="54"/>
  <c r="B89" i="54"/>
  <c r="A90" i="54"/>
  <c r="B90" i="54"/>
  <c r="A91" i="54"/>
  <c r="B91" i="54"/>
  <c r="A92" i="54"/>
  <c r="B92" i="54"/>
  <c r="A93" i="54"/>
  <c r="B93" i="54"/>
  <c r="A94" i="54"/>
  <c r="B94" i="54"/>
  <c r="A95" i="54"/>
  <c r="B95" i="54"/>
  <c r="A96" i="54"/>
  <c r="B96" i="54"/>
  <c r="A97" i="54"/>
  <c r="B97" i="54"/>
  <c r="A98" i="54"/>
  <c r="B98" i="54"/>
  <c r="A99" i="54"/>
  <c r="B99" i="54"/>
  <c r="A100" i="54"/>
  <c r="B100" i="54"/>
  <c r="A101" i="54"/>
  <c r="B101" i="54"/>
  <c r="A102" i="54"/>
  <c r="B102" i="54"/>
  <c r="A103" i="54"/>
  <c r="B103" i="54"/>
  <c r="A104" i="54"/>
  <c r="B104" i="54"/>
  <c r="A105" i="54"/>
  <c r="B105" i="54"/>
  <c r="A106" i="54"/>
  <c r="B106" i="54"/>
  <c r="A107" i="54"/>
  <c r="B107" i="54"/>
  <c r="A108" i="54"/>
  <c r="B108" i="54"/>
  <c r="A109" i="54"/>
  <c r="B109" i="54"/>
  <c r="A110" i="54"/>
  <c r="B110" i="54"/>
  <c r="A111" i="54"/>
  <c r="B111" i="54"/>
  <c r="A112" i="54"/>
  <c r="B112" i="54"/>
  <c r="A113" i="54"/>
  <c r="B113" i="54"/>
  <c r="A114" i="54"/>
  <c r="B114" i="54"/>
  <c r="A115" i="54"/>
  <c r="B115" i="54"/>
  <c r="A116" i="54"/>
  <c r="B116" i="54"/>
  <c r="A117" i="54"/>
  <c r="B117" i="54"/>
  <c r="A118" i="54"/>
  <c r="B118" i="54"/>
  <c r="A119" i="54"/>
  <c r="B119" i="54"/>
  <c r="A120" i="54"/>
  <c r="B120" i="54"/>
  <c r="A121" i="54"/>
  <c r="B121" i="54"/>
  <c r="A122" i="54"/>
  <c r="B122" i="54"/>
  <c r="A123" i="54"/>
  <c r="B123" i="54"/>
  <c r="A124" i="54"/>
  <c r="B124" i="54"/>
  <c r="A125" i="54"/>
  <c r="B125" i="54"/>
  <c r="A126" i="54"/>
  <c r="B126" i="54"/>
  <c r="A127" i="54"/>
  <c r="B127" i="54"/>
  <c r="A128" i="54"/>
  <c r="B128" i="54"/>
  <c r="A129" i="54"/>
  <c r="B129" i="54"/>
  <c r="A130" i="54"/>
  <c r="B130" i="54"/>
  <c r="A131" i="54"/>
  <c r="B131" i="54"/>
  <c r="A132" i="54"/>
  <c r="B132" i="54"/>
  <c r="A133" i="54"/>
  <c r="B133" i="54"/>
  <c r="A134" i="54"/>
  <c r="B134" i="54"/>
  <c r="A135" i="54"/>
  <c r="B135" i="54"/>
  <c r="A136" i="54"/>
  <c r="B136" i="54"/>
  <c r="A137" i="54"/>
  <c r="B137" i="54"/>
  <c r="A138" i="54"/>
  <c r="B138" i="54"/>
  <c r="A139" i="54"/>
  <c r="B139" i="54"/>
  <c r="A140" i="54"/>
  <c r="B140" i="54"/>
  <c r="A141" i="54"/>
  <c r="B141" i="54"/>
  <c r="A142" i="54"/>
  <c r="B142" i="54"/>
  <c r="A143" i="54"/>
  <c r="B143" i="54"/>
  <c r="A144" i="54"/>
  <c r="B144" i="54"/>
  <c r="A145" i="54"/>
  <c r="B145" i="54"/>
  <c r="A146" i="54"/>
  <c r="B146" i="54"/>
  <c r="A147" i="54"/>
  <c r="B147" i="54"/>
  <c r="A148" i="54"/>
  <c r="B148" i="54"/>
  <c r="A149" i="54"/>
  <c r="B149" i="54"/>
  <c r="A150" i="54"/>
  <c r="B150" i="54"/>
  <c r="A151" i="54"/>
  <c r="B151" i="54"/>
  <c r="A152" i="54"/>
  <c r="B152" i="54"/>
  <c r="A153" i="54"/>
  <c r="B153" i="54"/>
  <c r="A154" i="54"/>
  <c r="B154" i="54"/>
  <c r="A155" i="54"/>
  <c r="B155" i="54"/>
  <c r="A156" i="54"/>
  <c r="B156" i="54"/>
  <c r="A157" i="54"/>
  <c r="B157" i="54"/>
  <c r="A158" i="54"/>
  <c r="B158" i="54"/>
  <c r="A159" i="54"/>
  <c r="B159" i="54"/>
  <c r="A160" i="54"/>
  <c r="B160" i="54"/>
  <c r="A161" i="54"/>
  <c r="B161" i="54"/>
  <c r="A162" i="54"/>
  <c r="B162" i="54"/>
  <c r="A163" i="54"/>
  <c r="B163" i="54"/>
  <c r="A164" i="54"/>
  <c r="B164" i="54"/>
  <c r="A165" i="54"/>
  <c r="B165" i="54"/>
  <c r="A166" i="54"/>
  <c r="B166" i="54"/>
  <c r="A167" i="54"/>
  <c r="B167" i="54"/>
  <c r="A168" i="54"/>
  <c r="B168" i="54"/>
  <c r="A169" i="54"/>
  <c r="B169" i="54"/>
  <c r="A170" i="54"/>
  <c r="B170" i="54"/>
  <c r="A171" i="54"/>
  <c r="B171" i="54"/>
  <c r="A172" i="54"/>
  <c r="B172" i="54"/>
  <c r="A173" i="54"/>
  <c r="B173" i="54"/>
  <c r="A174" i="54"/>
  <c r="B174" i="54"/>
  <c r="A175" i="54"/>
  <c r="B175" i="54"/>
  <c r="A176" i="54"/>
  <c r="B176" i="54"/>
  <c r="A177" i="54"/>
  <c r="B177" i="54"/>
  <c r="A178" i="54"/>
  <c r="B178" i="54"/>
  <c r="A179" i="54"/>
  <c r="B179" i="54"/>
  <c r="A180" i="54"/>
  <c r="B180" i="54"/>
  <c r="A181" i="54"/>
  <c r="B181" i="54"/>
  <c r="A182" i="54"/>
  <c r="B182" i="54"/>
  <c r="A183" i="54"/>
  <c r="B183" i="54"/>
  <c r="A184" i="54"/>
  <c r="B184" i="54"/>
  <c r="A185" i="54"/>
  <c r="B185" i="54"/>
  <c r="A186" i="54"/>
  <c r="B186" i="54"/>
  <c r="A187" i="54"/>
  <c r="B187" i="54"/>
  <c r="A188" i="54"/>
  <c r="B188" i="54"/>
  <c r="A189" i="54"/>
  <c r="B189" i="54"/>
  <c r="A190" i="54"/>
  <c r="B190" i="54"/>
  <c r="A191" i="54"/>
  <c r="B191" i="54"/>
  <c r="A192" i="54"/>
  <c r="B192" i="54"/>
  <c r="A193" i="54"/>
  <c r="B193" i="54"/>
  <c r="A194" i="54"/>
  <c r="B194" i="54"/>
  <c r="A195" i="54"/>
  <c r="B195" i="54"/>
  <c r="A196" i="54"/>
  <c r="B196" i="54"/>
  <c r="A197" i="54"/>
  <c r="B197" i="54"/>
  <c r="A198" i="54"/>
  <c r="B198" i="54"/>
  <c r="A199" i="54"/>
  <c r="B199" i="54"/>
  <c r="A200" i="54"/>
  <c r="B200" i="54"/>
  <c r="A201" i="54"/>
  <c r="B201" i="54"/>
  <c r="A202" i="54"/>
  <c r="B202" i="54"/>
  <c r="A203" i="54"/>
  <c r="B203" i="54"/>
  <c r="A204" i="54"/>
  <c r="B204" i="54"/>
  <c r="A205" i="54"/>
  <c r="B205" i="54"/>
  <c r="A206" i="54"/>
  <c r="B206" i="54"/>
  <c r="A207" i="54"/>
  <c r="B207" i="54"/>
  <c r="A208" i="54"/>
  <c r="B208" i="54"/>
  <c r="A209" i="54"/>
  <c r="B209" i="54"/>
  <c r="A210" i="54"/>
  <c r="B210" i="54"/>
  <c r="A211" i="54"/>
  <c r="B211" i="54"/>
  <c r="A212" i="54"/>
  <c r="B212" i="54"/>
  <c r="A213" i="54"/>
  <c r="B213" i="54"/>
  <c r="A214" i="54"/>
  <c r="B214" i="54"/>
  <c r="A215" i="54"/>
  <c r="B215" i="54"/>
  <c r="A216" i="54"/>
  <c r="B216" i="54"/>
  <c r="A217" i="54"/>
  <c r="B217" i="54"/>
  <c r="A218" i="54"/>
  <c r="B218" i="54"/>
  <c r="A219" i="54"/>
  <c r="B219" i="54"/>
  <c r="A220" i="54"/>
  <c r="B220" i="54"/>
  <c r="A221" i="54"/>
  <c r="B221" i="54"/>
  <c r="A222" i="54"/>
  <c r="B222" i="54"/>
  <c r="A223" i="54"/>
  <c r="B223" i="54"/>
  <c r="A224" i="54"/>
  <c r="B224" i="54"/>
  <c r="A225" i="54"/>
  <c r="B225" i="54"/>
  <c r="A226" i="54"/>
  <c r="B226" i="54"/>
  <c r="A227" i="54"/>
  <c r="B227" i="54"/>
  <c r="A228" i="54"/>
  <c r="B228" i="54"/>
  <c r="A229" i="54"/>
  <c r="B229" i="54"/>
  <c r="A230" i="54"/>
  <c r="B230" i="54"/>
  <c r="A231" i="54"/>
  <c r="B231" i="54"/>
  <c r="A232" i="54"/>
  <c r="B232" i="54"/>
  <c r="A233" i="54"/>
  <c r="B233" i="54"/>
  <c r="A234" i="54"/>
  <c r="B234" i="54"/>
  <c r="A235" i="54"/>
  <c r="B235" i="54"/>
  <c r="A236" i="54"/>
  <c r="B236" i="54"/>
  <c r="A237" i="54"/>
  <c r="B237" i="54"/>
  <c r="A238" i="54"/>
  <c r="B238" i="54"/>
  <c r="A239" i="54"/>
  <c r="B239" i="54"/>
  <c r="A240" i="54"/>
  <c r="B240" i="54"/>
  <c r="A241" i="54"/>
  <c r="B241" i="54"/>
  <c r="A242" i="54"/>
  <c r="B242" i="54"/>
  <c r="A243" i="54"/>
  <c r="B243" i="54"/>
  <c r="A244" i="54"/>
  <c r="B244" i="54"/>
  <c r="A245" i="54"/>
  <c r="B245" i="54"/>
  <c r="A246" i="54"/>
  <c r="B246" i="54"/>
  <c r="A247" i="54"/>
  <c r="B247" i="54"/>
  <c r="A248" i="54"/>
  <c r="B248" i="54"/>
  <c r="A249" i="54"/>
  <c r="B249" i="54"/>
  <c r="A250" i="54"/>
  <c r="B250" i="54"/>
  <c r="A251" i="54"/>
  <c r="B251" i="54"/>
  <c r="A252" i="54"/>
  <c r="B252" i="54"/>
  <c r="A253" i="54"/>
  <c r="B253" i="54"/>
  <c r="A254" i="54"/>
  <c r="B254" i="54"/>
  <c r="A255" i="54"/>
  <c r="B255" i="54"/>
  <c r="A256" i="54"/>
  <c r="B256" i="54"/>
  <c r="A257" i="54"/>
  <c r="B257" i="54"/>
  <c r="A258" i="54"/>
  <c r="B258" i="54"/>
  <c r="A259" i="54"/>
  <c r="B259" i="54"/>
  <c r="A260" i="54"/>
  <c r="B260" i="54"/>
  <c r="A261" i="54"/>
  <c r="B261" i="54"/>
  <c r="A262" i="54"/>
  <c r="B262" i="54"/>
  <c r="A263" i="54"/>
  <c r="B263" i="54"/>
  <c r="A264" i="54"/>
  <c r="B264" i="54"/>
  <c r="A265" i="54"/>
  <c r="B265" i="54"/>
  <c r="A266" i="54"/>
  <c r="B266" i="54"/>
  <c r="A267" i="54"/>
  <c r="B267" i="54"/>
  <c r="A268" i="54"/>
  <c r="B268" i="54"/>
  <c r="A269" i="54"/>
  <c r="B269" i="54"/>
  <c r="A270" i="54"/>
  <c r="B270" i="54"/>
  <c r="A271" i="54"/>
  <c r="B271" i="54"/>
  <c r="A272" i="54"/>
  <c r="B272" i="54"/>
  <c r="A273" i="54"/>
  <c r="B273" i="54"/>
  <c r="A274" i="54"/>
  <c r="B274" i="54"/>
  <c r="A275" i="54"/>
  <c r="B275" i="54"/>
  <c r="A276" i="54"/>
  <c r="B276" i="54"/>
  <c r="A277" i="54"/>
  <c r="B277" i="54"/>
  <c r="A278" i="54"/>
  <c r="B278" i="54"/>
  <c r="A279" i="54"/>
  <c r="B279" i="54"/>
  <c r="A280" i="54"/>
  <c r="B280" i="54"/>
  <c r="A281" i="54"/>
  <c r="B281" i="54"/>
  <c r="A282" i="54"/>
  <c r="B282" i="54"/>
  <c r="A283" i="54"/>
  <c r="B283" i="54"/>
  <c r="A284" i="54"/>
  <c r="B284" i="54"/>
  <c r="A285" i="54"/>
  <c r="B285" i="54"/>
  <c r="A286" i="54"/>
  <c r="B286" i="54"/>
  <c r="A287" i="54"/>
  <c r="B287" i="54"/>
  <c r="A288" i="54"/>
  <c r="B288" i="54"/>
  <c r="A289" i="54"/>
  <c r="B289" i="54"/>
  <c r="A290" i="54"/>
  <c r="B290" i="54"/>
  <c r="A291" i="54"/>
  <c r="B291" i="54"/>
  <c r="A292" i="54"/>
  <c r="B292" i="54"/>
  <c r="A293" i="54"/>
  <c r="B293" i="54"/>
  <c r="A294" i="54"/>
  <c r="B294" i="54"/>
  <c r="A295" i="54"/>
  <c r="B295" i="54"/>
  <c r="A296" i="54"/>
  <c r="B296" i="54"/>
  <c r="A297" i="54"/>
  <c r="B297" i="54"/>
  <c r="A298" i="54"/>
  <c r="B298" i="54"/>
  <c r="A299" i="54"/>
  <c r="B299" i="54"/>
  <c r="A300" i="54"/>
  <c r="B300" i="54"/>
  <c r="A301" i="54"/>
  <c r="B301" i="54"/>
  <c r="A302" i="54"/>
  <c r="B302" i="54"/>
  <c r="A303" i="54"/>
  <c r="B303" i="54"/>
  <c r="A304" i="54"/>
  <c r="B304" i="54"/>
  <c r="A305" i="54"/>
  <c r="B305" i="54"/>
  <c r="AD7" i="42"/>
  <c r="AD8" i="42"/>
  <c r="AD9" i="42"/>
  <c r="AD10" i="42"/>
  <c r="AD11" i="42"/>
  <c r="AD12" i="42"/>
  <c r="AD13" i="42"/>
  <c r="AD14" i="42"/>
  <c r="AD15" i="42"/>
  <c r="AD16" i="42"/>
  <c r="AD17" i="42"/>
  <c r="AD18" i="42"/>
  <c r="AD19" i="42"/>
  <c r="AD20" i="42"/>
  <c r="AD21" i="42"/>
  <c r="AD22" i="42"/>
  <c r="AD23" i="42"/>
  <c r="AD24" i="42"/>
  <c r="AD25" i="42"/>
  <c r="AD26" i="42"/>
  <c r="AD27" i="42"/>
  <c r="AD28" i="42"/>
  <c r="AD30" i="42"/>
  <c r="AD31" i="42"/>
  <c r="AD32" i="42"/>
  <c r="AD33" i="42"/>
  <c r="AD34" i="42"/>
  <c r="AD35" i="42"/>
  <c r="AD36" i="42"/>
  <c r="AD37" i="42"/>
  <c r="AD38" i="42"/>
  <c r="AD39" i="42"/>
  <c r="AD40" i="42"/>
  <c r="AD41" i="42"/>
  <c r="AD42" i="42"/>
  <c r="AD43" i="42"/>
  <c r="AD44" i="42"/>
  <c r="AD45" i="42"/>
  <c r="AD46" i="42"/>
  <c r="AD47" i="42"/>
  <c r="AD48" i="42"/>
  <c r="AD49" i="42"/>
  <c r="AD50" i="42"/>
  <c r="AD51" i="42"/>
  <c r="AD52" i="42"/>
  <c r="AD53" i="42"/>
  <c r="AD54" i="42"/>
  <c r="AD55" i="42"/>
  <c r="AD56" i="42"/>
  <c r="AD57" i="42"/>
  <c r="AD58" i="42"/>
  <c r="AD59" i="42"/>
  <c r="AD60" i="42"/>
  <c r="AD61" i="42"/>
  <c r="AD62" i="42"/>
  <c r="AD63" i="42"/>
  <c r="AD64" i="42"/>
  <c r="AD65" i="42"/>
  <c r="AD66" i="42"/>
  <c r="AD67" i="42"/>
  <c r="AD69" i="42"/>
  <c r="AD70" i="42"/>
  <c r="AD71" i="42"/>
  <c r="AD72" i="42"/>
  <c r="AD73" i="42"/>
  <c r="AD74" i="42"/>
  <c r="AD75" i="42"/>
  <c r="AD76" i="42"/>
  <c r="AD77" i="42"/>
  <c r="AD78" i="42"/>
  <c r="AD79" i="42"/>
  <c r="AD80" i="42"/>
  <c r="AD81" i="42"/>
  <c r="AD82" i="42"/>
  <c r="AD83" i="42"/>
  <c r="AD84" i="42"/>
  <c r="AD85" i="42"/>
  <c r="AD86" i="42"/>
  <c r="AD87" i="42"/>
  <c r="AD88" i="42"/>
  <c r="AD89" i="42"/>
  <c r="AD90" i="42"/>
  <c r="AD91" i="42"/>
  <c r="AD92" i="42"/>
  <c r="AD93" i="42"/>
  <c r="AD94" i="42"/>
  <c r="AD95" i="42"/>
  <c r="AD96" i="42"/>
  <c r="AD97" i="42"/>
  <c r="AD98" i="42"/>
  <c r="AD99" i="42"/>
  <c r="AD100" i="42"/>
  <c r="AD101" i="42"/>
  <c r="AD102" i="42"/>
  <c r="AD103" i="42"/>
  <c r="AD104" i="42"/>
  <c r="AD105" i="42"/>
  <c r="AD106" i="42"/>
  <c r="AD107" i="42"/>
  <c r="AD108" i="42"/>
  <c r="AD109" i="42"/>
  <c r="AD110" i="42"/>
  <c r="AD111" i="42"/>
  <c r="AD112" i="42"/>
  <c r="AD113" i="42"/>
  <c r="AD114" i="42"/>
  <c r="AD115" i="42"/>
  <c r="AD116" i="42"/>
  <c r="AD117" i="42"/>
  <c r="AD118" i="42"/>
  <c r="AD119" i="42"/>
  <c r="AD120" i="42"/>
  <c r="AD121" i="42"/>
  <c r="AD122" i="42"/>
  <c r="AD123" i="42"/>
  <c r="AD124" i="42"/>
  <c r="AD125" i="42"/>
  <c r="AD126" i="42"/>
  <c r="AD127" i="42"/>
  <c r="AD128" i="42"/>
  <c r="AD129" i="42"/>
  <c r="AD130" i="42"/>
  <c r="AD131" i="42"/>
  <c r="AD132" i="42"/>
  <c r="AD133" i="42"/>
  <c r="AD134" i="42"/>
  <c r="AD135" i="42"/>
  <c r="AD136" i="42"/>
  <c r="AD137" i="42"/>
  <c r="AD138" i="42"/>
  <c r="AD139" i="42"/>
  <c r="AD140" i="42"/>
  <c r="AD141" i="42"/>
  <c r="AD142" i="42"/>
  <c r="AD143" i="42"/>
  <c r="AD144" i="42"/>
  <c r="AD145" i="42"/>
  <c r="AD146" i="42"/>
  <c r="AD147" i="42"/>
  <c r="AD148" i="42"/>
  <c r="AD149" i="42"/>
  <c r="AD150" i="42"/>
  <c r="AD151" i="42"/>
  <c r="AD152" i="42"/>
  <c r="AD153" i="42"/>
  <c r="AD154" i="42"/>
  <c r="AD156" i="42"/>
  <c r="AD157" i="42"/>
  <c r="AD158" i="42"/>
  <c r="AD159" i="42"/>
  <c r="AD160" i="42"/>
  <c r="AD161" i="42"/>
  <c r="AD162" i="42"/>
  <c r="AD163" i="42"/>
  <c r="AD164" i="42"/>
  <c r="AD165" i="42"/>
  <c r="AD166" i="42"/>
  <c r="AD167" i="42"/>
  <c r="AD168" i="42"/>
  <c r="AD169" i="42"/>
  <c r="AD170" i="42"/>
  <c r="AD171" i="42"/>
  <c r="AD172" i="42"/>
  <c r="AD173" i="42"/>
  <c r="AD174" i="42"/>
  <c r="AD175" i="42"/>
  <c r="AD176" i="42"/>
  <c r="AD177" i="42"/>
  <c r="AD178" i="42"/>
  <c r="AD179" i="42"/>
  <c r="AD180" i="42"/>
  <c r="AD181" i="42"/>
  <c r="AD182" i="42"/>
  <c r="AD183" i="42"/>
  <c r="AD184" i="42"/>
  <c r="AD185" i="42"/>
  <c r="AD186" i="42"/>
  <c r="AD187" i="42"/>
  <c r="AD188" i="42"/>
  <c r="AD189" i="42"/>
  <c r="AD190" i="42"/>
  <c r="AD191" i="42"/>
  <c r="AD192" i="42"/>
  <c r="AD193" i="42"/>
  <c r="AD194" i="42"/>
  <c r="AD195" i="42"/>
  <c r="AD196" i="42"/>
  <c r="AD197" i="42"/>
  <c r="AD198" i="42"/>
  <c r="AD199" i="42"/>
  <c r="AD200" i="42"/>
  <c r="AD201" i="42"/>
  <c r="AD202" i="42"/>
  <c r="AD203" i="42"/>
  <c r="AD204" i="42"/>
  <c r="AD205" i="42"/>
  <c r="AD206" i="42"/>
  <c r="AD207" i="42"/>
  <c r="AD208" i="42"/>
  <c r="AD209" i="42"/>
  <c r="AD210" i="42"/>
  <c r="AD211" i="42"/>
  <c r="AD212" i="42"/>
  <c r="AD213" i="42"/>
  <c r="AD214" i="42"/>
  <c r="AD215" i="42"/>
  <c r="AD216" i="42"/>
  <c r="AD217" i="42"/>
  <c r="AD218" i="42"/>
  <c r="AD219" i="42"/>
  <c r="AD220" i="42"/>
  <c r="AD221" i="42"/>
  <c r="AD222" i="42"/>
  <c r="AD223" i="42"/>
  <c r="AD224" i="42"/>
  <c r="AD225" i="42"/>
  <c r="AD226" i="42"/>
  <c r="AD227" i="42"/>
  <c r="AD228" i="42"/>
  <c r="AD229" i="42"/>
  <c r="AD230" i="42"/>
  <c r="AD231" i="42"/>
  <c r="AD232" i="42"/>
  <c r="AD233" i="42"/>
  <c r="AD234" i="42"/>
  <c r="AD236" i="42"/>
  <c r="AD237" i="42"/>
  <c r="AD238" i="42"/>
  <c r="AD239" i="42"/>
  <c r="AD240" i="42"/>
  <c r="AD241" i="42"/>
  <c r="AD242" i="42"/>
  <c r="AD243" i="42"/>
  <c r="AD244" i="42"/>
  <c r="AD245" i="42"/>
  <c r="AD246" i="42"/>
  <c r="AD247" i="42"/>
  <c r="AD248" i="42"/>
  <c r="AD249" i="42"/>
  <c r="AD250" i="42"/>
  <c r="AD251" i="42"/>
  <c r="AD252" i="42"/>
  <c r="AD253" i="42"/>
  <c r="AD254" i="42"/>
  <c r="AD255" i="42"/>
  <c r="AD256" i="42"/>
  <c r="AD257" i="42"/>
  <c r="AD258" i="42"/>
  <c r="AD259" i="42"/>
  <c r="AD260" i="42"/>
  <c r="AD261" i="42"/>
  <c r="AD262" i="42"/>
  <c r="AD263" i="42"/>
  <c r="AD264" i="42"/>
  <c r="AD265" i="42"/>
  <c r="AD266" i="42"/>
  <c r="AD267" i="42"/>
  <c r="AD268" i="42"/>
  <c r="AD269" i="42"/>
  <c r="AD270" i="42"/>
  <c r="AD271" i="42"/>
  <c r="AD272" i="42"/>
  <c r="AD273" i="42"/>
  <c r="AD274" i="42"/>
  <c r="AD276" i="42"/>
  <c r="AD277" i="42"/>
  <c r="AD278" i="42"/>
  <c r="AD279" i="42"/>
  <c r="AD280" i="42"/>
  <c r="AD281" i="42"/>
  <c r="AD282" i="42"/>
  <c r="AD283" i="42"/>
  <c r="AD284" i="42"/>
  <c r="AD285" i="42"/>
  <c r="AD286" i="42"/>
  <c r="AD287" i="42"/>
  <c r="AD288" i="42"/>
  <c r="AD289" i="42"/>
  <c r="AD290" i="42"/>
  <c r="AD291" i="42"/>
  <c r="AD292" i="42"/>
  <c r="AD293" i="42"/>
  <c r="AD294" i="42"/>
  <c r="AD295" i="42"/>
  <c r="AD296" i="42"/>
  <c r="AD297" i="42"/>
  <c r="AD298" i="42"/>
  <c r="AD299" i="42"/>
  <c r="AD300" i="42"/>
  <c r="AD301" i="42"/>
  <c r="AD302" i="42"/>
  <c r="AD303" i="42"/>
  <c r="AD304" i="42"/>
  <c r="AD305" i="42"/>
  <c r="C102" i="11" l="1"/>
  <c r="C108" i="34"/>
  <c r="E102" i="33"/>
  <c r="D102" i="37" s="1"/>
  <c r="C70" i="11"/>
  <c r="C76" i="34"/>
  <c r="E70" i="33"/>
  <c r="D70" i="37" s="1"/>
  <c r="E119" i="33"/>
  <c r="D119" i="37" s="1"/>
  <c r="C119" i="11"/>
  <c r="C125" i="34"/>
  <c r="C112" i="11"/>
  <c r="C118" i="34"/>
  <c r="E112" i="33"/>
  <c r="D112" i="37" s="1"/>
  <c r="C253" i="11"/>
  <c r="C259" i="34"/>
  <c r="E253" i="33"/>
  <c r="D253" i="37" s="1"/>
  <c r="E7" i="33"/>
  <c r="D7" i="37" s="1"/>
  <c r="C7" i="11"/>
  <c r="C13" i="34"/>
  <c r="C74" i="11"/>
  <c r="E74" i="33"/>
  <c r="D74" i="37" s="1"/>
  <c r="C80" i="34"/>
  <c r="C57" i="11"/>
  <c r="C63" i="34"/>
  <c r="E57" i="33"/>
  <c r="D57" i="37" s="1"/>
  <c r="C115" i="11"/>
  <c r="C121" i="34"/>
  <c r="E115" i="33"/>
  <c r="D115" i="37" s="1"/>
  <c r="E92" i="33"/>
  <c r="D92" i="37" s="1"/>
  <c r="C92" i="11"/>
  <c r="C98" i="34"/>
  <c r="C122" i="11"/>
  <c r="C128" i="34"/>
  <c r="E122" i="33"/>
  <c r="D122" i="37" s="1"/>
  <c r="C276" i="11"/>
  <c r="E276" i="33"/>
  <c r="D276" i="37" s="1"/>
  <c r="C282" i="34"/>
  <c r="E108" i="33"/>
  <c r="D108" i="37" s="1"/>
  <c r="C108" i="11"/>
  <c r="C114" i="34"/>
  <c r="C96" i="11"/>
  <c r="C102" i="34"/>
  <c r="E96" i="33"/>
  <c r="D96" i="37" s="1"/>
  <c r="E55" i="33"/>
  <c r="D55" i="37" s="1"/>
  <c r="C55" i="11"/>
  <c r="C61" i="34"/>
  <c r="C89" i="11"/>
  <c r="C95" i="34"/>
  <c r="E89" i="33"/>
  <c r="D89" i="37" s="1"/>
  <c r="E64" i="33"/>
  <c r="D64" i="37" s="1"/>
  <c r="C64" i="11"/>
  <c r="C70" i="34"/>
  <c r="C38" i="11"/>
  <c r="C44" i="34"/>
  <c r="E38" i="33"/>
  <c r="D38" i="37" s="1"/>
  <c r="C87" i="11"/>
  <c r="C93" i="34"/>
  <c r="E87" i="33"/>
  <c r="D87" i="37" s="1"/>
  <c r="C51" i="11"/>
  <c r="C57" i="34"/>
  <c r="E51" i="33"/>
  <c r="D51" i="37" s="1"/>
  <c r="C191" i="11"/>
  <c r="C197" i="34"/>
  <c r="E191" i="33"/>
  <c r="D191" i="37" s="1"/>
  <c r="E133" i="33"/>
  <c r="D133" i="37" s="1"/>
  <c r="C133" i="11"/>
  <c r="C139" i="34"/>
  <c r="E131" i="33"/>
  <c r="D131" i="37" s="1"/>
  <c r="C131" i="11"/>
  <c r="C137" i="34"/>
  <c r="C226" i="11"/>
  <c r="E226" i="33"/>
  <c r="D226" i="37" s="1"/>
  <c r="C232" i="34"/>
  <c r="C146" i="11"/>
  <c r="C152" i="34"/>
  <c r="E146" i="33"/>
  <c r="D146" i="37" s="1"/>
  <c r="E12" i="33"/>
  <c r="D12" i="37" s="1"/>
  <c r="C12" i="11"/>
  <c r="C18" i="34"/>
  <c r="E289" i="33"/>
  <c r="D289" i="37" s="1"/>
  <c r="C289" i="11"/>
  <c r="C295" i="34"/>
  <c r="C198" i="11"/>
  <c r="C204" i="34"/>
  <c r="E198" i="33"/>
  <c r="D198" i="37" s="1"/>
  <c r="E84" i="33"/>
  <c r="D84" i="37" s="1"/>
  <c r="C84" i="11"/>
  <c r="C90" i="34"/>
  <c r="E206" i="33"/>
  <c r="D206" i="37" s="1"/>
  <c r="C206" i="11"/>
  <c r="C212" i="34"/>
  <c r="C295" i="11"/>
  <c r="C301" i="34"/>
  <c r="E295" i="33"/>
  <c r="D295" i="37" s="1"/>
  <c r="C150" i="11"/>
  <c r="C156" i="34"/>
  <c r="E150" i="33"/>
  <c r="D150" i="37" s="1"/>
  <c r="C45" i="11"/>
  <c r="C51" i="34"/>
  <c r="E45" i="33"/>
  <c r="D45" i="37" s="1"/>
  <c r="C50" i="11"/>
  <c r="E50" i="33"/>
  <c r="D50" i="37" s="1"/>
  <c r="C56" i="34"/>
  <c r="E79" i="33"/>
  <c r="D79" i="37" s="1"/>
  <c r="C79" i="11"/>
  <c r="C85" i="34"/>
  <c r="C47" i="11"/>
  <c r="C53" i="34"/>
  <c r="E47" i="33"/>
  <c r="D47" i="37" s="1"/>
  <c r="C166" i="11"/>
  <c r="C172" i="34"/>
  <c r="E166" i="33"/>
  <c r="D166" i="37" s="1"/>
  <c r="C240" i="11"/>
  <c r="C246" i="34"/>
  <c r="E240" i="33"/>
  <c r="D240" i="37" s="1"/>
  <c r="C174" i="11"/>
  <c r="C180" i="34"/>
  <c r="E174" i="33"/>
  <c r="D174" i="37" s="1"/>
  <c r="C192" i="11"/>
  <c r="C198" i="34"/>
  <c r="E192" i="33"/>
  <c r="D192" i="37" s="1"/>
  <c r="E193" i="33"/>
  <c r="D193" i="37" s="1"/>
  <c r="C193" i="11"/>
  <c r="C199" i="34"/>
  <c r="C80" i="11"/>
  <c r="C86" i="34"/>
  <c r="E80" i="33"/>
  <c r="D80" i="37" s="1"/>
  <c r="C301" i="11"/>
  <c r="E301" i="33"/>
  <c r="D301" i="37" s="1"/>
  <c r="C307" i="34"/>
  <c r="C212" i="11"/>
  <c r="C218" i="34"/>
  <c r="E212" i="33"/>
  <c r="D212" i="37" s="1"/>
  <c r="C37" i="11"/>
  <c r="C43" i="34"/>
  <c r="E37" i="33"/>
  <c r="D37" i="37" s="1"/>
  <c r="C263" i="11"/>
  <c r="E263" i="33"/>
  <c r="D263" i="37" s="1"/>
  <c r="C269" i="34"/>
  <c r="C62" i="11"/>
  <c r="C68" i="34"/>
  <c r="E62" i="33"/>
  <c r="D62" i="37" s="1"/>
  <c r="E245" i="33"/>
  <c r="D245" i="37" s="1"/>
  <c r="C245" i="11"/>
  <c r="C251" i="34"/>
  <c r="E60" i="33"/>
  <c r="D60" i="37" s="1"/>
  <c r="C60" i="11"/>
  <c r="C66" i="34"/>
  <c r="E100" i="33"/>
  <c r="D100" i="37" s="1"/>
  <c r="C100" i="11"/>
  <c r="C106" i="34"/>
  <c r="E71" i="33"/>
  <c r="D71" i="37" s="1"/>
  <c r="C71" i="11"/>
  <c r="C77" i="34"/>
  <c r="C251" i="11"/>
  <c r="C257" i="34"/>
  <c r="E251" i="33"/>
  <c r="D251" i="37" s="1"/>
  <c r="C105" i="11"/>
  <c r="C111" i="34"/>
  <c r="E105" i="33"/>
  <c r="D105" i="37" s="1"/>
  <c r="C138" i="11"/>
  <c r="C144" i="34"/>
  <c r="E138" i="33"/>
  <c r="D138" i="37" s="1"/>
  <c r="E23" i="33"/>
  <c r="D23" i="37" s="1"/>
  <c r="C23" i="11"/>
  <c r="C29" i="34"/>
  <c r="E221" i="33"/>
  <c r="D221" i="37" s="1"/>
  <c r="C221" i="11"/>
  <c r="C227" i="34"/>
  <c r="C223" i="11"/>
  <c r="E223" i="33"/>
  <c r="D223" i="37" s="1"/>
  <c r="C229" i="34"/>
  <c r="E24" i="33"/>
  <c r="D24" i="37" s="1"/>
  <c r="C24" i="11"/>
  <c r="C30" i="34"/>
  <c r="C207" i="11"/>
  <c r="C213" i="34"/>
  <c r="E207" i="33"/>
  <c r="D207" i="37" s="1"/>
  <c r="C35" i="11"/>
  <c r="C41" i="34"/>
  <c r="E35" i="33"/>
  <c r="D35" i="37" s="1"/>
  <c r="E161" i="33"/>
  <c r="D161" i="37" s="1"/>
  <c r="C161" i="11"/>
  <c r="C167" i="34"/>
  <c r="E230" i="33"/>
  <c r="D230" i="37" s="1"/>
  <c r="C230" i="11"/>
  <c r="C236" i="34"/>
  <c r="C19" i="11"/>
  <c r="C25" i="34"/>
  <c r="E19" i="33"/>
  <c r="D19" i="37" s="1"/>
  <c r="E173" i="33"/>
  <c r="D173" i="37" s="1"/>
  <c r="C173" i="11"/>
  <c r="C179" i="34"/>
  <c r="C65" i="11"/>
  <c r="C71" i="34"/>
  <c r="E65" i="33"/>
  <c r="D65" i="37" s="1"/>
  <c r="E248" i="33"/>
  <c r="D248" i="37" s="1"/>
  <c r="C248" i="11"/>
  <c r="C254" i="34"/>
  <c r="E229" i="33"/>
  <c r="D229" i="37" s="1"/>
  <c r="C229" i="11"/>
  <c r="C235" i="34"/>
  <c r="C26" i="11"/>
  <c r="E26" i="33"/>
  <c r="D26" i="37" s="1"/>
  <c r="C32" i="34"/>
  <c r="C209" i="11"/>
  <c r="C215" i="34"/>
  <c r="E209" i="33"/>
  <c r="D209" i="37" s="1"/>
  <c r="E8" i="33"/>
  <c r="D8" i="37" s="1"/>
  <c r="C8" i="11"/>
  <c r="C14" i="34"/>
  <c r="C265" i="11"/>
  <c r="C271" i="34"/>
  <c r="E265" i="33"/>
  <c r="D265" i="37" s="1"/>
  <c r="C104" i="11"/>
  <c r="C110" i="34"/>
  <c r="E104" i="33"/>
  <c r="D104" i="37" s="1"/>
  <c r="C187" i="11"/>
  <c r="C193" i="34"/>
  <c r="E187" i="33"/>
  <c r="D187" i="37" s="1"/>
  <c r="C151" i="11"/>
  <c r="C157" i="34"/>
  <c r="E151" i="33"/>
  <c r="D151" i="37" s="1"/>
  <c r="C130" i="11"/>
  <c r="C136" i="34"/>
  <c r="E130" i="33"/>
  <c r="D130" i="37" s="1"/>
  <c r="C164" i="11"/>
  <c r="C170" i="34"/>
  <c r="E164" i="33"/>
  <c r="D164" i="37" s="1"/>
  <c r="C157" i="11"/>
  <c r="C163" i="34"/>
  <c r="E157" i="33"/>
  <c r="D157" i="37" s="1"/>
  <c r="C97" i="11"/>
  <c r="C103" i="34"/>
  <c r="E97" i="33"/>
  <c r="D97" i="37" s="1"/>
  <c r="C277" i="11"/>
  <c r="E277" i="33"/>
  <c r="D277" i="37" s="1"/>
  <c r="C283" i="34"/>
  <c r="E254" i="33"/>
  <c r="D254" i="37" s="1"/>
  <c r="C254" i="11"/>
  <c r="C260" i="34"/>
  <c r="E72" i="33"/>
  <c r="D72" i="37" s="1"/>
  <c r="C72" i="11"/>
  <c r="C78" i="34"/>
  <c r="E213" i="33"/>
  <c r="D213" i="37" s="1"/>
  <c r="C213" i="11"/>
  <c r="C219" i="34"/>
  <c r="C305" i="11"/>
  <c r="C311" i="34"/>
  <c r="E305" i="33"/>
  <c r="D305" i="37" s="1"/>
  <c r="C58" i="11"/>
  <c r="E58" i="33"/>
  <c r="D58" i="37" s="1"/>
  <c r="C64" i="34"/>
  <c r="C180" i="11"/>
  <c r="C186" i="34"/>
  <c r="E180" i="33"/>
  <c r="D180" i="37" s="1"/>
  <c r="C256" i="11"/>
  <c r="C262" i="34"/>
  <c r="E256" i="33"/>
  <c r="D256" i="37" s="1"/>
  <c r="C75" i="11"/>
  <c r="C81" i="34"/>
  <c r="E75" i="33"/>
  <c r="D75" i="37" s="1"/>
  <c r="E298" i="33"/>
  <c r="D298" i="37" s="1"/>
  <c r="C298" i="11"/>
  <c r="C304" i="34"/>
  <c r="C93" i="11"/>
  <c r="C99" i="34"/>
  <c r="E93" i="33"/>
  <c r="D93" i="37" s="1"/>
  <c r="C107" i="11"/>
  <c r="C113" i="34"/>
  <c r="E107" i="33"/>
  <c r="D107" i="37" s="1"/>
  <c r="E296" i="33"/>
  <c r="D296" i="37" s="1"/>
  <c r="C296" i="11"/>
  <c r="C302" i="34"/>
  <c r="C176" i="11"/>
  <c r="C182" i="34"/>
  <c r="E176" i="33"/>
  <c r="D176" i="37" s="1"/>
  <c r="C128" i="11"/>
  <c r="C134" i="34"/>
  <c r="E128" i="33"/>
  <c r="D128" i="37" s="1"/>
  <c r="C203" i="11"/>
  <c r="C209" i="34"/>
  <c r="E203" i="33"/>
  <c r="D203" i="37" s="1"/>
  <c r="C189" i="11"/>
  <c r="C195" i="34"/>
  <c r="E189" i="33"/>
  <c r="D189" i="37" s="1"/>
  <c r="C78" i="11"/>
  <c r="E78" i="33"/>
  <c r="D78" i="37" s="1"/>
  <c r="C84" i="34"/>
  <c r="C231" i="11"/>
  <c r="C237" i="34"/>
  <c r="E231" i="33"/>
  <c r="D231" i="37" s="1"/>
  <c r="C46" i="11"/>
  <c r="C52" i="34"/>
  <c r="E46" i="33"/>
  <c r="D46" i="37" s="1"/>
  <c r="C267" i="11"/>
  <c r="C273" i="34"/>
  <c r="E267" i="33"/>
  <c r="D267" i="37" s="1"/>
  <c r="C77" i="11"/>
  <c r="C83" i="34"/>
  <c r="E77" i="33"/>
  <c r="D77" i="37" s="1"/>
  <c r="E216" i="33"/>
  <c r="D216" i="37" s="1"/>
  <c r="C216" i="11"/>
  <c r="C222" i="34"/>
  <c r="E288" i="33"/>
  <c r="D288" i="37" s="1"/>
  <c r="C288" i="11"/>
  <c r="C294" i="34"/>
  <c r="E124" i="33"/>
  <c r="D124" i="37" s="1"/>
  <c r="C124" i="11"/>
  <c r="C130" i="34"/>
  <c r="C144" i="11"/>
  <c r="C150" i="34"/>
  <c r="E144" i="33"/>
  <c r="D144" i="37" s="1"/>
  <c r="E294" i="33"/>
  <c r="D294" i="37" s="1"/>
  <c r="C294" i="11"/>
  <c r="C300" i="34"/>
  <c r="E141" i="33"/>
  <c r="D141" i="37" s="1"/>
  <c r="C141" i="11"/>
  <c r="C147" i="34"/>
  <c r="C15" i="11"/>
  <c r="C21" i="34"/>
  <c r="E15" i="33"/>
  <c r="D15" i="37" s="1"/>
  <c r="C118" i="11"/>
  <c r="C124" i="34"/>
  <c r="E118" i="33"/>
  <c r="D118" i="37" s="1"/>
  <c r="E169" i="33"/>
  <c r="D169" i="37" s="1"/>
  <c r="C169" i="11"/>
  <c r="C175" i="34"/>
  <c r="C268" i="11"/>
  <c r="E268" i="33"/>
  <c r="D268" i="37" s="1"/>
  <c r="C274" i="34"/>
  <c r="E56" i="33"/>
  <c r="D56" i="37" s="1"/>
  <c r="C56" i="11"/>
  <c r="C62" i="34"/>
  <c r="C10" i="11"/>
  <c r="E10" i="33"/>
  <c r="D10" i="37" s="1"/>
  <c r="C16" i="34"/>
  <c r="E273" i="33"/>
  <c r="D273" i="37" s="1"/>
  <c r="C273" i="11"/>
  <c r="C279" i="34"/>
  <c r="C81" i="11"/>
  <c r="C87" i="34"/>
  <c r="E81" i="33"/>
  <c r="D81" i="37" s="1"/>
  <c r="C215" i="11"/>
  <c r="C221" i="34"/>
  <c r="E215" i="33"/>
  <c r="D215" i="37" s="1"/>
  <c r="C232" i="11"/>
  <c r="C238" i="34"/>
  <c r="E232" i="33"/>
  <c r="D232" i="37" s="1"/>
  <c r="C106" i="11"/>
  <c r="C112" i="34"/>
  <c r="E106" i="33"/>
  <c r="D106" i="37" s="1"/>
  <c r="C59" i="11"/>
  <c r="C65" i="34"/>
  <c r="E59" i="33"/>
  <c r="D59" i="37" s="1"/>
  <c r="C292" i="11"/>
  <c r="C298" i="34"/>
  <c r="E292" i="33"/>
  <c r="D292" i="37" s="1"/>
  <c r="C152" i="11"/>
  <c r="C158" i="34"/>
  <c r="E152" i="33"/>
  <c r="D152" i="37" s="1"/>
  <c r="C43" i="11"/>
  <c r="C49" i="34"/>
  <c r="E43" i="33"/>
  <c r="D43" i="37" s="1"/>
  <c r="C127" i="11"/>
  <c r="C133" i="34"/>
  <c r="E127" i="33"/>
  <c r="D127" i="37" s="1"/>
  <c r="E28" i="33"/>
  <c r="D28" i="37" s="1"/>
  <c r="C28" i="11"/>
  <c r="C34" i="34"/>
  <c r="E116" i="33"/>
  <c r="D116" i="37" s="1"/>
  <c r="C116" i="11"/>
  <c r="C122" i="34"/>
  <c r="C190" i="11"/>
  <c r="C196" i="34"/>
  <c r="E190" i="33"/>
  <c r="D190" i="37" s="1"/>
  <c r="C293" i="11"/>
  <c r="C299" i="34"/>
  <c r="E293" i="33"/>
  <c r="D293" i="37" s="1"/>
  <c r="E237" i="33"/>
  <c r="D237" i="37" s="1"/>
  <c r="C237" i="11"/>
  <c r="C243" i="34"/>
  <c r="C91" i="11"/>
  <c r="C97" i="34"/>
  <c r="E91" i="33"/>
  <c r="D91" i="37" s="1"/>
  <c r="C241" i="11"/>
  <c r="C247" i="34"/>
  <c r="E241" i="33"/>
  <c r="D241" i="37" s="1"/>
  <c r="C264" i="11"/>
  <c r="C270" i="34"/>
  <c r="E264" i="33"/>
  <c r="D264" i="37" s="1"/>
  <c r="C66" i="11"/>
  <c r="C72" i="34"/>
  <c r="E66" i="33"/>
  <c r="D66" i="37" s="1"/>
  <c r="C242" i="11"/>
  <c r="C248" i="34"/>
  <c r="E242" i="33"/>
  <c r="D242" i="37" s="1"/>
  <c r="C160" i="11"/>
  <c r="C166" i="34"/>
  <c r="E160" i="33"/>
  <c r="D160" i="37" s="1"/>
  <c r="C211" i="11"/>
  <c r="C217" i="34"/>
  <c r="E211" i="33"/>
  <c r="D211" i="37" s="1"/>
  <c r="C149" i="11"/>
  <c r="C155" i="34"/>
  <c r="E149" i="33"/>
  <c r="D149" i="37" s="1"/>
  <c r="C225" i="11"/>
  <c r="C231" i="34"/>
  <c r="E225" i="33"/>
  <c r="D225" i="37" s="1"/>
  <c r="C140" i="11"/>
  <c r="C146" i="34"/>
  <c r="E140" i="33"/>
  <c r="D140" i="37" s="1"/>
  <c r="E123" i="33"/>
  <c r="D123" i="37" s="1"/>
  <c r="C123" i="11"/>
  <c r="C129" i="34"/>
  <c r="E208" i="33"/>
  <c r="D208" i="37" s="1"/>
  <c r="C208" i="11"/>
  <c r="C214" i="34"/>
  <c r="C239" i="11"/>
  <c r="E239" i="33"/>
  <c r="D239" i="37" s="1"/>
  <c r="C245" i="34"/>
  <c r="C196" i="11"/>
  <c r="C202" i="34"/>
  <c r="E196" i="33"/>
  <c r="D196" i="37" s="1"/>
  <c r="C243" i="11"/>
  <c r="C249" i="34"/>
  <c r="E243" i="33"/>
  <c r="D243" i="37" s="1"/>
  <c r="C98" i="11"/>
  <c r="E98" i="33"/>
  <c r="D98" i="37" s="1"/>
  <c r="C104" i="34"/>
  <c r="C63" i="11"/>
  <c r="C69" i="34"/>
  <c r="E63" i="33"/>
  <c r="D63" i="37" s="1"/>
  <c r="E48" i="33"/>
  <c r="D48" i="37" s="1"/>
  <c r="C48" i="11"/>
  <c r="C54" i="34"/>
  <c r="C67" i="11"/>
  <c r="C73" i="34"/>
  <c r="E67" i="33"/>
  <c r="D67" i="37" s="1"/>
  <c r="E32" i="33"/>
  <c r="D32" i="37" s="1"/>
  <c r="C32" i="11"/>
  <c r="C38" i="34"/>
  <c r="C99" i="11"/>
  <c r="C105" i="34"/>
  <c r="E99" i="33"/>
  <c r="D99" i="37" s="1"/>
  <c r="E76" i="33"/>
  <c r="D76" i="37" s="1"/>
  <c r="C76" i="11"/>
  <c r="C82" i="34"/>
  <c r="C9" i="11"/>
  <c r="C15" i="34"/>
  <c r="E9" i="33"/>
  <c r="D9" i="37" s="1"/>
  <c r="C27" i="11"/>
  <c r="C33" i="34"/>
  <c r="E27" i="33"/>
  <c r="D27" i="37" s="1"/>
  <c r="C29" i="11"/>
  <c r="C35" i="34"/>
  <c r="E29" i="33"/>
  <c r="D29" i="37" s="1"/>
  <c r="C125" i="11"/>
  <c r="C131" i="34"/>
  <c r="E125" i="33"/>
  <c r="D125" i="37" s="1"/>
  <c r="C73" i="11"/>
  <c r="C79" i="34"/>
  <c r="E73" i="33"/>
  <c r="D73" i="37" s="1"/>
  <c r="C90" i="11"/>
  <c r="E90" i="33"/>
  <c r="D90" i="37" s="1"/>
  <c r="C96" i="34"/>
  <c r="C83" i="11"/>
  <c r="C89" i="34"/>
  <c r="E83" i="33"/>
  <c r="D83" i="37" s="1"/>
  <c r="C287" i="11"/>
  <c r="C293" i="34"/>
  <c r="E287" i="33"/>
  <c r="D287" i="37" s="1"/>
  <c r="C163" i="11"/>
  <c r="C169" i="34"/>
  <c r="E163" i="33"/>
  <c r="D163" i="37" s="1"/>
  <c r="C110" i="11"/>
  <c r="C116" i="34"/>
  <c r="E110" i="33"/>
  <c r="D110" i="37" s="1"/>
  <c r="C291" i="11"/>
  <c r="C297" i="34"/>
  <c r="E291" i="33"/>
  <c r="D291" i="37" s="1"/>
  <c r="E11" i="33"/>
  <c r="D11" i="37" s="1"/>
  <c r="C11" i="11"/>
  <c r="C17" i="34"/>
  <c r="C184" i="11"/>
  <c r="C190" i="34"/>
  <c r="E184" i="33"/>
  <c r="D184" i="37" s="1"/>
  <c r="C135" i="11"/>
  <c r="C141" i="34"/>
  <c r="E135" i="33"/>
  <c r="D135" i="37" s="1"/>
  <c r="E40" i="33"/>
  <c r="D40" i="37" s="1"/>
  <c r="C40" i="11"/>
  <c r="C46" i="34"/>
  <c r="E280" i="33"/>
  <c r="D280" i="37" s="1"/>
  <c r="C280" i="11"/>
  <c r="C286" i="34"/>
  <c r="E154" i="33"/>
  <c r="D154" i="37" s="1"/>
  <c r="C154" i="11"/>
  <c r="C160" i="34"/>
  <c r="C31" i="11"/>
  <c r="C37" i="34"/>
  <c r="E31" i="33"/>
  <c r="D31" i="37" s="1"/>
  <c r="E290" i="33"/>
  <c r="D290" i="37" s="1"/>
  <c r="C290" i="11"/>
  <c r="C296" i="34"/>
  <c r="E52" i="33"/>
  <c r="D52" i="37" s="1"/>
  <c r="C52" i="11"/>
  <c r="C58" i="34"/>
  <c r="C222" i="11"/>
  <c r="E222" i="33"/>
  <c r="D222" i="37" s="1"/>
  <c r="C228" i="34"/>
  <c r="E36" i="33"/>
  <c r="D36" i="37" s="1"/>
  <c r="C36" i="11"/>
  <c r="C42" i="34"/>
  <c r="C249" i="11"/>
  <c r="C255" i="34"/>
  <c r="E249" i="33"/>
  <c r="D249" i="37" s="1"/>
  <c r="C158" i="11"/>
  <c r="C164" i="34"/>
  <c r="E158" i="33"/>
  <c r="D158" i="37" s="1"/>
  <c r="C159" i="11"/>
  <c r="C165" i="34"/>
  <c r="E159" i="33"/>
  <c r="D159" i="37" s="1"/>
  <c r="C30" i="11"/>
  <c r="C36" i="34"/>
  <c r="E30" i="33"/>
  <c r="D30" i="37" s="1"/>
  <c r="C255" i="11"/>
  <c r="C261" i="34"/>
  <c r="E255" i="33"/>
  <c r="D255" i="37" s="1"/>
  <c r="C53" i="11"/>
  <c r="C59" i="34"/>
  <c r="E53" i="33"/>
  <c r="D53" i="37" s="1"/>
  <c r="C299" i="11"/>
  <c r="C305" i="34"/>
  <c r="E299" i="33"/>
  <c r="D299" i="37" s="1"/>
  <c r="C186" i="11"/>
  <c r="C192" i="34"/>
  <c r="E186" i="33"/>
  <c r="D186" i="37" s="1"/>
  <c r="E286" i="33"/>
  <c r="D286" i="37" s="1"/>
  <c r="C286" i="11"/>
  <c r="C292" i="34"/>
  <c r="C183" i="11"/>
  <c r="C189" i="34"/>
  <c r="E183" i="33"/>
  <c r="D183" i="37" s="1"/>
  <c r="C200" i="11"/>
  <c r="E200" i="33"/>
  <c r="D200" i="37" s="1"/>
  <c r="C206" i="34"/>
  <c r="C165" i="11"/>
  <c r="C171" i="34"/>
  <c r="E165" i="33"/>
  <c r="D165" i="37" s="1"/>
  <c r="C25" i="11"/>
  <c r="C31" i="34"/>
  <c r="E25" i="33"/>
  <c r="D25" i="37" s="1"/>
  <c r="C210" i="11"/>
  <c r="C216" i="34"/>
  <c r="E210" i="33"/>
  <c r="D210" i="37" s="1"/>
  <c r="E172" i="33"/>
  <c r="D172" i="37" s="1"/>
  <c r="C172" i="11"/>
  <c r="C178" i="34"/>
  <c r="E162" i="33"/>
  <c r="D162" i="37" s="1"/>
  <c r="C162" i="11"/>
  <c r="C168" i="34"/>
  <c r="E44" i="33"/>
  <c r="D44" i="37" s="1"/>
  <c r="C44" i="11"/>
  <c r="C50" i="34"/>
  <c r="C95" i="11"/>
  <c r="C101" i="34"/>
  <c r="E95" i="33"/>
  <c r="D95" i="37" s="1"/>
  <c r="C148" i="11"/>
  <c r="C154" i="34"/>
  <c r="E148" i="33"/>
  <c r="D148" i="37" s="1"/>
  <c r="C14" i="11"/>
  <c r="C20" i="34"/>
  <c r="E14" i="33"/>
  <c r="D14" i="37" s="1"/>
  <c r="C272" i="11"/>
  <c r="C278" i="34"/>
  <c r="E272" i="33"/>
  <c r="D272" i="37" s="1"/>
  <c r="E302" i="33"/>
  <c r="D302" i="37" s="1"/>
  <c r="C302" i="11"/>
  <c r="C308" i="34"/>
  <c r="C279" i="11"/>
  <c r="C285" i="34"/>
  <c r="E279" i="33"/>
  <c r="D279" i="37" s="1"/>
  <c r="C202" i="11"/>
  <c r="E202" i="33"/>
  <c r="D202" i="37" s="1"/>
  <c r="C208" i="34"/>
  <c r="C269" i="11"/>
  <c r="C275" i="34"/>
  <c r="E269" i="33"/>
  <c r="D269" i="37" s="1"/>
  <c r="C252" i="11"/>
  <c r="E252" i="33"/>
  <c r="D252" i="37" s="1"/>
  <c r="C258" i="34"/>
  <c r="C300" i="11"/>
  <c r="E300" i="33"/>
  <c r="D300" i="37" s="1"/>
  <c r="C306" i="34"/>
  <c r="C145" i="11"/>
  <c r="C151" i="34"/>
  <c r="E145" i="33"/>
  <c r="D145" i="37" s="1"/>
  <c r="E139" i="33"/>
  <c r="D139" i="37" s="1"/>
  <c r="C139" i="11"/>
  <c r="C145" i="34"/>
  <c r="C136" i="11"/>
  <c r="C142" i="34"/>
  <c r="E136" i="33"/>
  <c r="D136" i="37" s="1"/>
  <c r="C179" i="11"/>
  <c r="C185" i="34"/>
  <c r="E179" i="33"/>
  <c r="D179" i="37" s="1"/>
  <c r="C284" i="11"/>
  <c r="C290" i="34"/>
  <c r="E284" i="33"/>
  <c r="D284" i="37" s="1"/>
  <c r="C33" i="11"/>
  <c r="E33" i="33"/>
  <c r="D33" i="37" s="1"/>
  <c r="C39" i="34"/>
  <c r="C244" i="11"/>
  <c r="E244" i="33"/>
  <c r="D244" i="37" s="1"/>
  <c r="C250" i="34"/>
  <c r="C69" i="11"/>
  <c r="C75" i="34"/>
  <c r="E69" i="33"/>
  <c r="D69" i="37" s="1"/>
  <c r="E304" i="33"/>
  <c r="D304" i="37" s="1"/>
  <c r="C304" i="11"/>
  <c r="C310" i="34"/>
  <c r="C220" i="11"/>
  <c r="E220" i="33"/>
  <c r="D220" i="37" s="1"/>
  <c r="C226" i="34"/>
  <c r="C54" i="11"/>
  <c r="C60" i="34"/>
  <c r="E54" i="33"/>
  <c r="D54" i="37" s="1"/>
  <c r="C18" i="11"/>
  <c r="C24" i="34"/>
  <c r="E18" i="33"/>
  <c r="D18" i="37" s="1"/>
  <c r="E147" i="33"/>
  <c r="D147" i="37" s="1"/>
  <c r="C147" i="11"/>
  <c r="C153" i="34"/>
  <c r="E16" i="33"/>
  <c r="D16" i="37" s="1"/>
  <c r="C16" i="11"/>
  <c r="C22" i="34"/>
  <c r="E156" i="33"/>
  <c r="D156" i="37" s="1"/>
  <c r="C156" i="11"/>
  <c r="C162" i="34"/>
  <c r="C101" i="11"/>
  <c r="C107" i="34"/>
  <c r="E101" i="33"/>
  <c r="D101" i="37" s="1"/>
  <c r="C132" i="11"/>
  <c r="C138" i="34"/>
  <c r="E132" i="33"/>
  <c r="D132" i="37" s="1"/>
  <c r="C236" i="11"/>
  <c r="C242" i="34"/>
  <c r="E236" i="33"/>
  <c r="D236" i="37" s="1"/>
  <c r="E205" i="33"/>
  <c r="D205" i="37" s="1"/>
  <c r="C205" i="11"/>
  <c r="C211" i="34"/>
  <c r="C197" i="11"/>
  <c r="C203" i="34"/>
  <c r="E197" i="33"/>
  <c r="D197" i="37" s="1"/>
  <c r="C171" i="11"/>
  <c r="C177" i="34"/>
  <c r="E171" i="33"/>
  <c r="D171" i="37" s="1"/>
  <c r="C49" i="11"/>
  <c r="C55" i="34"/>
  <c r="E49" i="33"/>
  <c r="D49" i="37" s="1"/>
  <c r="C227" i="11"/>
  <c r="E227" i="33"/>
  <c r="D227" i="37" s="1"/>
  <c r="C233" i="34"/>
  <c r="C103" i="11"/>
  <c r="C109" i="34"/>
  <c r="E103" i="33"/>
  <c r="D103" i="37" s="1"/>
  <c r="C214" i="11"/>
  <c r="C220" i="34"/>
  <c r="E214" i="33"/>
  <c r="D214" i="37" s="1"/>
  <c r="C258" i="11"/>
  <c r="C264" i="34"/>
  <c r="E258" i="33"/>
  <c r="D258" i="37" s="1"/>
  <c r="C88" i="11"/>
  <c r="C94" i="34"/>
  <c r="E88" i="33"/>
  <c r="D88" i="37" s="1"/>
  <c r="E170" i="33"/>
  <c r="D170" i="37" s="1"/>
  <c r="C170" i="11"/>
  <c r="C176" i="34"/>
  <c r="C114" i="11"/>
  <c r="C120" i="34"/>
  <c r="E114" i="33"/>
  <c r="D114" i="37" s="1"/>
  <c r="E68" i="33"/>
  <c r="D68" i="37" s="1"/>
  <c r="C68" i="11"/>
  <c r="C74" i="34"/>
  <c r="E155" i="33"/>
  <c r="D155" i="37" s="1"/>
  <c r="C155" i="11"/>
  <c r="C161" i="34"/>
  <c r="C204" i="11"/>
  <c r="E204" i="33"/>
  <c r="D204" i="37" s="1"/>
  <c r="C210" i="34"/>
  <c r="C34" i="11"/>
  <c r="C40" i="34"/>
  <c r="E34" i="33"/>
  <c r="D34" i="37" s="1"/>
  <c r="C281" i="11"/>
  <c r="C287" i="34"/>
  <c r="E281" i="33"/>
  <c r="D281" i="37" s="1"/>
  <c r="E194" i="33"/>
  <c r="D194" i="37" s="1"/>
  <c r="C194" i="11"/>
  <c r="C200" i="34"/>
  <c r="E20" i="33"/>
  <c r="D20" i="37" s="1"/>
  <c r="C20" i="11"/>
  <c r="C26" i="34"/>
  <c r="E181" i="33"/>
  <c r="D181" i="37" s="1"/>
  <c r="C181" i="11"/>
  <c r="C187" i="34"/>
  <c r="C283" i="11"/>
  <c r="C289" i="34"/>
  <c r="E283" i="33"/>
  <c r="D283" i="37" s="1"/>
  <c r="C218" i="11"/>
  <c r="C224" i="34"/>
  <c r="E218" i="33"/>
  <c r="D218" i="37" s="1"/>
  <c r="C41" i="11"/>
  <c r="C47" i="34"/>
  <c r="E41" i="33"/>
  <c r="D41" i="37" s="1"/>
  <c r="C195" i="11"/>
  <c r="C201" i="34"/>
  <c r="E195" i="33"/>
  <c r="D195" i="37" s="1"/>
  <c r="C260" i="11"/>
  <c r="E260" i="33"/>
  <c r="D260" i="37" s="1"/>
  <c r="C266" i="34"/>
  <c r="C82" i="11"/>
  <c r="C88" i="34"/>
  <c r="E82" i="33"/>
  <c r="D82" i="37" s="1"/>
  <c r="E297" i="33"/>
  <c r="D297" i="37" s="1"/>
  <c r="C297" i="11"/>
  <c r="C303" i="34"/>
  <c r="E262" i="33"/>
  <c r="D262" i="37" s="1"/>
  <c r="C262" i="11"/>
  <c r="C268" i="34"/>
  <c r="C111" i="11"/>
  <c r="C117" i="34"/>
  <c r="E111" i="33"/>
  <c r="D111" i="37" s="1"/>
  <c r="C224" i="11"/>
  <c r="C230" i="34"/>
  <c r="E224" i="33"/>
  <c r="D224" i="37" s="1"/>
  <c r="C188" i="11"/>
  <c r="C194" i="34"/>
  <c r="E188" i="33"/>
  <c r="D188" i="37" s="1"/>
  <c r="C178" i="11"/>
  <c r="C184" i="34"/>
  <c r="E178" i="33"/>
  <c r="D178" i="37" s="1"/>
  <c r="C121" i="11"/>
  <c r="C127" i="34"/>
  <c r="E121" i="33"/>
  <c r="D121" i="37" s="1"/>
  <c r="E185" i="33"/>
  <c r="D185" i="37" s="1"/>
  <c r="C185" i="11"/>
  <c r="C191" i="34"/>
  <c r="C153" i="11"/>
  <c r="C159" i="34"/>
  <c r="E153" i="33"/>
  <c r="D153" i="37" s="1"/>
  <c r="C246" i="11"/>
  <c r="C252" i="34"/>
  <c r="E246" i="33"/>
  <c r="D246" i="37" s="1"/>
  <c r="E109" i="33"/>
  <c r="D109" i="37" s="1"/>
  <c r="C109" i="11"/>
  <c r="C115" i="34"/>
  <c r="E270" i="33"/>
  <c r="D270" i="37" s="1"/>
  <c r="C270" i="11"/>
  <c r="C276" i="34"/>
  <c r="C126" i="11"/>
  <c r="C132" i="34"/>
  <c r="E126" i="33"/>
  <c r="D126" i="37" s="1"/>
  <c r="E278" i="33"/>
  <c r="D278" i="37" s="1"/>
  <c r="C278" i="11"/>
  <c r="C284" i="34"/>
  <c r="C235" i="11"/>
  <c r="C241" i="34"/>
  <c r="E235" i="33"/>
  <c r="D235" i="37" s="1"/>
  <c r="E134" i="33"/>
  <c r="D134" i="37" s="1"/>
  <c r="C134" i="11"/>
  <c r="C140" i="34"/>
  <c r="E266" i="33"/>
  <c r="D266" i="37" s="1"/>
  <c r="C266" i="11"/>
  <c r="C272" i="34"/>
  <c r="C275" i="11"/>
  <c r="E275" i="33"/>
  <c r="D275" i="37" s="1"/>
  <c r="C281" i="34"/>
  <c r="E274" i="33"/>
  <c r="D274" i="37" s="1"/>
  <c r="C274" i="11"/>
  <c r="C280" i="34"/>
  <c r="E85" i="33"/>
  <c r="D85" i="37" s="1"/>
  <c r="C85" i="11"/>
  <c r="C91" i="34"/>
  <c r="C285" i="11"/>
  <c r="C291" i="34"/>
  <c r="E285" i="33"/>
  <c r="D285" i="37" s="1"/>
  <c r="C259" i="11"/>
  <c r="C265" i="34"/>
  <c r="E259" i="33"/>
  <c r="D259" i="37" s="1"/>
  <c r="E13" i="33"/>
  <c r="D13" i="37" s="1"/>
  <c r="C13" i="11"/>
  <c r="C19" i="34"/>
  <c r="C234" i="11"/>
  <c r="E234" i="33"/>
  <c r="D234" i="37" s="1"/>
  <c r="C240" i="34"/>
  <c r="C238" i="11"/>
  <c r="E238" i="33"/>
  <c r="D238" i="37" s="1"/>
  <c r="C244" i="34"/>
  <c r="C129" i="11"/>
  <c r="C135" i="34"/>
  <c r="E129" i="33"/>
  <c r="D129" i="37" s="1"/>
  <c r="E201" i="33"/>
  <c r="D201" i="37" s="1"/>
  <c r="C201" i="11"/>
  <c r="C207" i="34"/>
  <c r="C182" i="11"/>
  <c r="C188" i="34"/>
  <c r="E182" i="33"/>
  <c r="D182" i="37" s="1"/>
  <c r="C167" i="11"/>
  <c r="C173" i="34"/>
  <c r="E167" i="33"/>
  <c r="D167" i="37" s="1"/>
  <c r="C233" i="11"/>
  <c r="C239" i="34"/>
  <c r="E233" i="33"/>
  <c r="D233" i="37" s="1"/>
  <c r="C61" i="11"/>
  <c r="C67" i="34"/>
  <c r="E61" i="33"/>
  <c r="D61" i="37" s="1"/>
  <c r="C303" i="11"/>
  <c r="E303" i="33"/>
  <c r="D303" i="37" s="1"/>
  <c r="C309" i="34"/>
  <c r="C42" i="11"/>
  <c r="C48" i="34"/>
  <c r="E42" i="33"/>
  <c r="D42" i="37" s="1"/>
  <c r="E282" i="33"/>
  <c r="D282" i="37" s="1"/>
  <c r="C282" i="11"/>
  <c r="C288" i="34"/>
  <c r="C217" i="11"/>
  <c r="C223" i="34"/>
  <c r="E217" i="33"/>
  <c r="D217" i="37" s="1"/>
  <c r="C250" i="11"/>
  <c r="C256" i="34"/>
  <c r="E250" i="33"/>
  <c r="D250" i="37" s="1"/>
  <c r="E199" i="33"/>
  <c r="D199" i="37" s="1"/>
  <c r="C199" i="11"/>
  <c r="C205" i="34"/>
  <c r="E177" i="33"/>
  <c r="D177" i="37" s="1"/>
  <c r="C177" i="11"/>
  <c r="C183" i="34"/>
  <c r="C168" i="11"/>
  <c r="C174" i="34"/>
  <c r="E168" i="33"/>
  <c r="D168" i="37" s="1"/>
  <c r="C117" i="11"/>
  <c r="C123" i="34"/>
  <c r="E117" i="33"/>
  <c r="D117" i="37" s="1"/>
  <c r="C257" i="11"/>
  <c r="C263" i="34"/>
  <c r="E257" i="33"/>
  <c r="D257" i="37" s="1"/>
  <c r="C86" i="11"/>
  <c r="C92" i="34"/>
  <c r="E86" i="33"/>
  <c r="D86" i="37" s="1"/>
  <c r="C22" i="11"/>
  <c r="E22" i="33"/>
  <c r="D22" i="37" s="1"/>
  <c r="C28" i="34"/>
  <c r="C142" i="11"/>
  <c r="C148" i="34"/>
  <c r="E142" i="33"/>
  <c r="D142" i="37" s="1"/>
  <c r="C94" i="11"/>
  <c r="E94" i="33"/>
  <c r="D94" i="37" s="1"/>
  <c r="C100" i="34"/>
  <c r="E39" i="33"/>
  <c r="D39" i="37" s="1"/>
  <c r="C39" i="11"/>
  <c r="C45" i="34"/>
  <c r="E247" i="33"/>
  <c r="D247" i="37" s="1"/>
  <c r="C247" i="11"/>
  <c r="C253" i="34"/>
  <c r="C17" i="11"/>
  <c r="C23" i="34"/>
  <c r="E17" i="33"/>
  <c r="D17" i="37" s="1"/>
  <c r="C219" i="11"/>
  <c r="E219" i="33"/>
  <c r="D219" i="37" s="1"/>
  <c r="C225" i="34"/>
  <c r="E219" i="12"/>
  <c r="C113" i="19"/>
  <c r="L113" i="19" s="1"/>
  <c r="F113" i="49" s="1"/>
  <c r="G113" i="49" s="1"/>
  <c r="D120" i="19"/>
  <c r="L120" i="19" s="1"/>
  <c r="F120" i="49" s="1"/>
  <c r="G120" i="49" s="1"/>
  <c r="D137" i="19"/>
  <c r="L137" i="19" s="1"/>
  <c r="F137" i="49" s="1"/>
  <c r="G137" i="49" s="1"/>
  <c r="D143" i="19"/>
  <c r="L143" i="19" s="1"/>
  <c r="F143" i="49" s="1"/>
  <c r="G143" i="49" s="1"/>
  <c r="D261" i="19"/>
  <c r="L261" i="19" s="1"/>
  <c r="F261" i="49" s="1"/>
  <c r="G261" i="49" s="1"/>
  <c r="C175" i="19"/>
  <c r="L175" i="19" s="1"/>
  <c r="F175" i="49" s="1"/>
  <c r="G175" i="49" s="1"/>
  <c r="D21" i="19"/>
  <c r="L21" i="19" s="1"/>
  <c r="F21" i="49" s="1"/>
  <c r="G21" i="49" s="1"/>
  <c r="P271" i="19"/>
  <c r="R271" i="19" s="1"/>
  <c r="K37" i="11" l="1"/>
  <c r="L37" i="11" s="1"/>
  <c r="F37" i="11"/>
  <c r="G37" i="11" s="1"/>
  <c r="K299" i="11"/>
  <c r="L299" i="11" s="1"/>
  <c r="F299" i="11"/>
  <c r="G299" i="11" s="1"/>
  <c r="K167" i="11"/>
  <c r="L167" i="11" s="1"/>
  <c r="F167" i="11"/>
  <c r="G167" i="11" s="1"/>
  <c r="K285" i="11"/>
  <c r="L285" i="11" s="1"/>
  <c r="F285" i="11"/>
  <c r="G285" i="11" s="1"/>
  <c r="K126" i="11"/>
  <c r="L126" i="11" s="1"/>
  <c r="F126" i="11"/>
  <c r="G126" i="11" s="1"/>
  <c r="F262" i="11"/>
  <c r="G262" i="11" s="1"/>
  <c r="K262" i="11"/>
  <c r="L262" i="11" s="1"/>
  <c r="F181" i="11"/>
  <c r="G181" i="11" s="1"/>
  <c r="K181" i="11"/>
  <c r="L181" i="11" s="1"/>
  <c r="F103" i="11"/>
  <c r="G103" i="11" s="1"/>
  <c r="K103" i="11"/>
  <c r="L103" i="11" s="1"/>
  <c r="K69" i="11"/>
  <c r="L69" i="11" s="1"/>
  <c r="F69" i="11"/>
  <c r="G69" i="11" s="1"/>
  <c r="F300" i="11"/>
  <c r="G300" i="11" s="1"/>
  <c r="K300" i="11"/>
  <c r="L300" i="11" s="1"/>
  <c r="K148" i="11"/>
  <c r="L148" i="11" s="1"/>
  <c r="F148" i="11"/>
  <c r="G148" i="11" s="1"/>
  <c r="K162" i="11"/>
  <c r="L162" i="11" s="1"/>
  <c r="F162" i="11"/>
  <c r="G162" i="11" s="1"/>
  <c r="F200" i="11"/>
  <c r="G200" i="11" s="1"/>
  <c r="K200" i="11"/>
  <c r="L200" i="11" s="1"/>
  <c r="K159" i="11"/>
  <c r="L159" i="11" s="1"/>
  <c r="F159" i="11"/>
  <c r="G159" i="11" s="1"/>
  <c r="F36" i="11"/>
  <c r="G36" i="11" s="1"/>
  <c r="K36" i="11"/>
  <c r="L36" i="11" s="1"/>
  <c r="F163" i="11"/>
  <c r="G163" i="11" s="1"/>
  <c r="K163" i="11"/>
  <c r="L163" i="11" s="1"/>
  <c r="K9" i="11"/>
  <c r="L9" i="11" s="1"/>
  <c r="F9" i="11"/>
  <c r="G9" i="11" s="1"/>
  <c r="F32" i="11"/>
  <c r="G32" i="11" s="1"/>
  <c r="K32" i="11"/>
  <c r="L32" i="11" s="1"/>
  <c r="K243" i="11"/>
  <c r="L243" i="11" s="1"/>
  <c r="F243" i="11"/>
  <c r="G243" i="11" s="1"/>
  <c r="F208" i="11"/>
  <c r="G208" i="11" s="1"/>
  <c r="K208" i="11"/>
  <c r="L208" i="11" s="1"/>
  <c r="F211" i="11"/>
  <c r="G211" i="11" s="1"/>
  <c r="K211" i="11"/>
  <c r="L211" i="11" s="1"/>
  <c r="K293" i="11"/>
  <c r="L293" i="11" s="1"/>
  <c r="F293" i="11"/>
  <c r="G293" i="11" s="1"/>
  <c r="F28" i="11"/>
  <c r="G28" i="11" s="1"/>
  <c r="K28" i="11"/>
  <c r="L28" i="11" s="1"/>
  <c r="K59" i="11"/>
  <c r="L59" i="11" s="1"/>
  <c r="F59" i="11"/>
  <c r="G59" i="11" s="1"/>
  <c r="F268" i="11"/>
  <c r="G268" i="11" s="1"/>
  <c r="K268" i="11"/>
  <c r="L268" i="11" s="1"/>
  <c r="K203" i="11"/>
  <c r="L203" i="11" s="1"/>
  <c r="F203" i="11"/>
  <c r="G203" i="11" s="1"/>
  <c r="F296" i="11"/>
  <c r="G296" i="11" s="1"/>
  <c r="K296" i="11"/>
  <c r="L296" i="11" s="1"/>
  <c r="F256" i="11"/>
  <c r="G256" i="11" s="1"/>
  <c r="K256" i="11"/>
  <c r="L256" i="11" s="1"/>
  <c r="F97" i="11"/>
  <c r="G97" i="11" s="1"/>
  <c r="K97" i="11"/>
  <c r="L97" i="11" s="1"/>
  <c r="F229" i="11"/>
  <c r="G229" i="11" s="1"/>
  <c r="K229" i="11"/>
  <c r="L229" i="11" s="1"/>
  <c r="K138" i="11"/>
  <c r="L138" i="11" s="1"/>
  <c r="F138" i="11"/>
  <c r="G138" i="11" s="1"/>
  <c r="K71" i="11"/>
  <c r="L71" i="11" s="1"/>
  <c r="F71" i="11"/>
  <c r="G71" i="11" s="1"/>
  <c r="F263" i="11"/>
  <c r="G263" i="11" s="1"/>
  <c r="K263" i="11"/>
  <c r="L263" i="11" s="1"/>
  <c r="F240" i="11"/>
  <c r="G240" i="11" s="1"/>
  <c r="K240" i="11"/>
  <c r="L240" i="11" s="1"/>
  <c r="K79" i="11"/>
  <c r="L79" i="11" s="1"/>
  <c r="F79" i="11"/>
  <c r="G79" i="11" s="1"/>
  <c r="K289" i="11"/>
  <c r="L289" i="11" s="1"/>
  <c r="F289" i="11"/>
  <c r="G289" i="11" s="1"/>
  <c r="K96" i="11"/>
  <c r="L96" i="11" s="1"/>
  <c r="F96" i="11"/>
  <c r="G96" i="11" s="1"/>
  <c r="F119" i="11"/>
  <c r="G119" i="11" s="1"/>
  <c r="K119" i="11"/>
  <c r="L119" i="11" s="1"/>
  <c r="K170" i="11"/>
  <c r="L170" i="11" s="1"/>
  <c r="F170" i="11"/>
  <c r="G170" i="11" s="1"/>
  <c r="F227" i="11"/>
  <c r="G227" i="11" s="1"/>
  <c r="K227" i="11"/>
  <c r="L227" i="11" s="1"/>
  <c r="F244" i="11"/>
  <c r="G244" i="11" s="1"/>
  <c r="K244" i="11"/>
  <c r="L244" i="11" s="1"/>
  <c r="K128" i="11"/>
  <c r="L128" i="11" s="1"/>
  <c r="F128" i="11"/>
  <c r="G128" i="11" s="1"/>
  <c r="F157" i="11"/>
  <c r="G157" i="11" s="1"/>
  <c r="K157" i="11"/>
  <c r="L157" i="11" s="1"/>
  <c r="F222" i="11"/>
  <c r="G222" i="11" s="1"/>
  <c r="K222" i="11"/>
  <c r="L222" i="11" s="1"/>
  <c r="F184" i="11"/>
  <c r="G184" i="11" s="1"/>
  <c r="K184" i="11"/>
  <c r="L184" i="11" s="1"/>
  <c r="K73" i="11"/>
  <c r="L73" i="11" s="1"/>
  <c r="F73" i="11"/>
  <c r="G73" i="11" s="1"/>
  <c r="K22" i="11"/>
  <c r="L22" i="11" s="1"/>
  <c r="F22" i="11"/>
  <c r="G22" i="11" s="1"/>
  <c r="F217" i="11"/>
  <c r="G217" i="11" s="1"/>
  <c r="K217" i="11"/>
  <c r="L217" i="11" s="1"/>
  <c r="K94" i="11"/>
  <c r="L94" i="11" s="1"/>
  <c r="F94" i="11"/>
  <c r="G94" i="11" s="1"/>
  <c r="F282" i="11"/>
  <c r="G282" i="11" s="1"/>
  <c r="K282" i="11"/>
  <c r="L282" i="11" s="1"/>
  <c r="K188" i="11"/>
  <c r="L188" i="11" s="1"/>
  <c r="F188" i="11"/>
  <c r="G188" i="11" s="1"/>
  <c r="K41" i="11"/>
  <c r="L41" i="11" s="1"/>
  <c r="F41" i="11"/>
  <c r="G41" i="11" s="1"/>
  <c r="F204" i="11"/>
  <c r="G204" i="11" s="1"/>
  <c r="K204" i="11"/>
  <c r="L204" i="11" s="1"/>
  <c r="F101" i="11"/>
  <c r="G101" i="11" s="1"/>
  <c r="K101" i="11"/>
  <c r="L101" i="11" s="1"/>
  <c r="F147" i="11"/>
  <c r="G147" i="11" s="1"/>
  <c r="K147" i="11"/>
  <c r="L147" i="11" s="1"/>
  <c r="C271" i="39"/>
  <c r="C271" i="12"/>
  <c r="E271" i="12" s="1"/>
  <c r="C271" i="33"/>
  <c r="C277" i="9"/>
  <c r="K247" i="11"/>
  <c r="L247" i="11" s="1"/>
  <c r="F247" i="11"/>
  <c r="G247" i="11" s="1"/>
  <c r="F86" i="11"/>
  <c r="G86" i="11" s="1"/>
  <c r="K86" i="11"/>
  <c r="L86" i="11" s="1"/>
  <c r="F129" i="11"/>
  <c r="G129" i="11" s="1"/>
  <c r="K129" i="11"/>
  <c r="L129" i="11" s="1"/>
  <c r="K13" i="11"/>
  <c r="L13" i="11" s="1"/>
  <c r="F13" i="11"/>
  <c r="G13" i="11" s="1"/>
  <c r="K275" i="11"/>
  <c r="L275" i="11" s="1"/>
  <c r="F275" i="11"/>
  <c r="G275" i="11" s="1"/>
  <c r="F246" i="11"/>
  <c r="G246" i="11" s="1"/>
  <c r="K246" i="11"/>
  <c r="L246" i="11" s="1"/>
  <c r="K114" i="11"/>
  <c r="L114" i="11" s="1"/>
  <c r="F114" i="11"/>
  <c r="G114" i="11" s="1"/>
  <c r="F171" i="11"/>
  <c r="G171" i="11" s="1"/>
  <c r="K171" i="11"/>
  <c r="L171" i="11" s="1"/>
  <c r="F284" i="11"/>
  <c r="G284" i="11" s="1"/>
  <c r="K284" i="11"/>
  <c r="L284" i="11" s="1"/>
  <c r="F139" i="11"/>
  <c r="G139" i="11" s="1"/>
  <c r="K139" i="11"/>
  <c r="L139" i="11" s="1"/>
  <c r="F202" i="11"/>
  <c r="G202" i="11" s="1"/>
  <c r="K202" i="11"/>
  <c r="L202" i="11" s="1"/>
  <c r="F186" i="11"/>
  <c r="G186" i="11" s="1"/>
  <c r="K186" i="11"/>
  <c r="L186" i="11" s="1"/>
  <c r="F290" i="11"/>
  <c r="G290" i="11" s="1"/>
  <c r="K290" i="11"/>
  <c r="L290" i="11" s="1"/>
  <c r="K135" i="11"/>
  <c r="L135" i="11" s="1"/>
  <c r="F135" i="11"/>
  <c r="G135" i="11" s="1"/>
  <c r="K90" i="11"/>
  <c r="L90" i="11" s="1"/>
  <c r="F90" i="11"/>
  <c r="G90" i="11" s="1"/>
  <c r="F66" i="11"/>
  <c r="G66" i="11" s="1"/>
  <c r="K66" i="11"/>
  <c r="L66" i="11" s="1"/>
  <c r="F215" i="11"/>
  <c r="G215" i="11" s="1"/>
  <c r="K215" i="11"/>
  <c r="L215" i="11" s="1"/>
  <c r="K15" i="11"/>
  <c r="L15" i="11" s="1"/>
  <c r="F15" i="11"/>
  <c r="G15" i="11" s="1"/>
  <c r="K267" i="11"/>
  <c r="L267" i="11" s="1"/>
  <c r="F267" i="11"/>
  <c r="G267" i="11" s="1"/>
  <c r="F298" i="11"/>
  <c r="G298" i="11" s="1"/>
  <c r="K298" i="11"/>
  <c r="L298" i="11" s="1"/>
  <c r="K305" i="11"/>
  <c r="L305" i="11" s="1"/>
  <c r="F305" i="11"/>
  <c r="G305" i="11" s="1"/>
  <c r="F254" i="11"/>
  <c r="G254" i="11" s="1"/>
  <c r="K254" i="11"/>
  <c r="L254" i="11" s="1"/>
  <c r="K130" i="11"/>
  <c r="L130" i="11" s="1"/>
  <c r="F130" i="11"/>
  <c r="G130" i="11" s="1"/>
  <c r="F173" i="11"/>
  <c r="G173" i="11" s="1"/>
  <c r="K173" i="11"/>
  <c r="L173" i="11" s="1"/>
  <c r="K207" i="11"/>
  <c r="L207" i="11" s="1"/>
  <c r="F207" i="11"/>
  <c r="G207" i="11" s="1"/>
  <c r="F221" i="11"/>
  <c r="G221" i="11" s="1"/>
  <c r="K221" i="11"/>
  <c r="L221" i="11" s="1"/>
  <c r="K245" i="11"/>
  <c r="L245" i="11" s="1"/>
  <c r="F245" i="11"/>
  <c r="G245" i="11" s="1"/>
  <c r="K301" i="11"/>
  <c r="L301" i="11" s="1"/>
  <c r="F301" i="11"/>
  <c r="G301" i="11" s="1"/>
  <c r="K87" i="11"/>
  <c r="L87" i="11" s="1"/>
  <c r="F87" i="11"/>
  <c r="G87" i="11" s="1"/>
  <c r="K122" i="11"/>
  <c r="L122" i="11" s="1"/>
  <c r="F122" i="11"/>
  <c r="G122" i="11" s="1"/>
  <c r="F182" i="11"/>
  <c r="G182" i="11" s="1"/>
  <c r="K182" i="11"/>
  <c r="L182" i="11" s="1"/>
  <c r="K266" i="11"/>
  <c r="L266" i="11" s="1"/>
  <c r="F266" i="11"/>
  <c r="G266" i="11" s="1"/>
  <c r="F95" i="11"/>
  <c r="G95" i="11" s="1"/>
  <c r="K95" i="11"/>
  <c r="L95" i="11" s="1"/>
  <c r="K172" i="11"/>
  <c r="L172" i="11" s="1"/>
  <c r="F172" i="11"/>
  <c r="G172" i="11" s="1"/>
  <c r="K158" i="11"/>
  <c r="L158" i="11" s="1"/>
  <c r="F158" i="11"/>
  <c r="G158" i="11" s="1"/>
  <c r="F160" i="11"/>
  <c r="G160" i="11" s="1"/>
  <c r="K160" i="11"/>
  <c r="L160" i="11" s="1"/>
  <c r="K106" i="11"/>
  <c r="L106" i="11" s="1"/>
  <c r="F106" i="11"/>
  <c r="G106" i="11" s="1"/>
  <c r="F209" i="11"/>
  <c r="G209" i="11" s="1"/>
  <c r="K209" i="11"/>
  <c r="L209" i="11" s="1"/>
  <c r="F248" i="11"/>
  <c r="G248" i="11" s="1"/>
  <c r="K248" i="11"/>
  <c r="L248" i="11" s="1"/>
  <c r="K100" i="11"/>
  <c r="L100" i="11" s="1"/>
  <c r="F100" i="11"/>
  <c r="G100" i="11" s="1"/>
  <c r="K39" i="11"/>
  <c r="L39" i="11" s="1"/>
  <c r="F39" i="11"/>
  <c r="G39" i="11" s="1"/>
  <c r="K177" i="11"/>
  <c r="L177" i="11" s="1"/>
  <c r="F177" i="11"/>
  <c r="G177" i="11" s="1"/>
  <c r="F18" i="11"/>
  <c r="G18" i="11" s="1"/>
  <c r="K18" i="11"/>
  <c r="L18" i="11" s="1"/>
  <c r="K279" i="11"/>
  <c r="L279" i="11" s="1"/>
  <c r="F279" i="11"/>
  <c r="G279" i="11" s="1"/>
  <c r="F168" i="11"/>
  <c r="G168" i="11" s="1"/>
  <c r="K168" i="11"/>
  <c r="L168" i="11" s="1"/>
  <c r="K61" i="11"/>
  <c r="L61" i="11" s="1"/>
  <c r="F61" i="11"/>
  <c r="G61" i="11" s="1"/>
  <c r="F85" i="11"/>
  <c r="G85" i="11" s="1"/>
  <c r="K85" i="11"/>
  <c r="L85" i="11" s="1"/>
  <c r="F235" i="11"/>
  <c r="G235" i="11" s="1"/>
  <c r="K235" i="11"/>
  <c r="L235" i="11" s="1"/>
  <c r="F270" i="11"/>
  <c r="G270" i="11" s="1"/>
  <c r="K270" i="11"/>
  <c r="L270" i="11" s="1"/>
  <c r="F121" i="11"/>
  <c r="G121" i="11" s="1"/>
  <c r="K121" i="11"/>
  <c r="L121" i="11" s="1"/>
  <c r="F260" i="11"/>
  <c r="G260" i="11" s="1"/>
  <c r="K260" i="11"/>
  <c r="L260" i="11" s="1"/>
  <c r="K281" i="11"/>
  <c r="L281" i="11" s="1"/>
  <c r="F281" i="11"/>
  <c r="G281" i="11" s="1"/>
  <c r="F155" i="11"/>
  <c r="G155" i="11" s="1"/>
  <c r="K155" i="11"/>
  <c r="L155" i="11" s="1"/>
  <c r="K258" i="11"/>
  <c r="L258" i="11" s="1"/>
  <c r="F258" i="11"/>
  <c r="G258" i="11" s="1"/>
  <c r="F236" i="11"/>
  <c r="G236" i="11" s="1"/>
  <c r="K236" i="11"/>
  <c r="L236" i="11" s="1"/>
  <c r="K156" i="11"/>
  <c r="L156" i="11" s="1"/>
  <c r="F156" i="11"/>
  <c r="G156" i="11" s="1"/>
  <c r="F220" i="11"/>
  <c r="G220" i="11" s="1"/>
  <c r="K220" i="11"/>
  <c r="L220" i="11" s="1"/>
  <c r="F272" i="11"/>
  <c r="G272" i="11" s="1"/>
  <c r="K272" i="11"/>
  <c r="L272" i="11" s="1"/>
  <c r="K25" i="11"/>
  <c r="L25" i="11" s="1"/>
  <c r="F25" i="11"/>
  <c r="G25" i="11" s="1"/>
  <c r="F255" i="11"/>
  <c r="G255" i="11" s="1"/>
  <c r="K255" i="11"/>
  <c r="L255" i="11" s="1"/>
  <c r="F280" i="11"/>
  <c r="G280" i="11" s="1"/>
  <c r="K280" i="11"/>
  <c r="L280" i="11" s="1"/>
  <c r="K291" i="11"/>
  <c r="L291" i="11" s="1"/>
  <c r="F291" i="11"/>
  <c r="G291" i="11" s="1"/>
  <c r="K29" i="11"/>
  <c r="L29" i="11" s="1"/>
  <c r="F29" i="11"/>
  <c r="G29" i="11" s="1"/>
  <c r="F76" i="11"/>
  <c r="G76" i="11" s="1"/>
  <c r="K76" i="11"/>
  <c r="L76" i="11" s="1"/>
  <c r="K63" i="11"/>
  <c r="L63" i="11" s="1"/>
  <c r="F63" i="11"/>
  <c r="G63" i="11" s="1"/>
  <c r="K225" i="11"/>
  <c r="L225" i="11" s="1"/>
  <c r="F225" i="11"/>
  <c r="G225" i="11" s="1"/>
  <c r="F91" i="11"/>
  <c r="G91" i="11" s="1"/>
  <c r="K91" i="11"/>
  <c r="L91" i="11" s="1"/>
  <c r="K152" i="11"/>
  <c r="L152" i="11" s="1"/>
  <c r="F152" i="11"/>
  <c r="G152" i="11" s="1"/>
  <c r="F10" i="11"/>
  <c r="G10" i="11" s="1"/>
  <c r="K10" i="11"/>
  <c r="L10" i="11" s="1"/>
  <c r="F169" i="11"/>
  <c r="G169" i="11" s="1"/>
  <c r="K169" i="11"/>
  <c r="L169" i="11" s="1"/>
  <c r="F144" i="11"/>
  <c r="G144" i="11" s="1"/>
  <c r="K144" i="11"/>
  <c r="L144" i="11" s="1"/>
  <c r="K216" i="11"/>
  <c r="L216" i="11" s="1"/>
  <c r="F216" i="11"/>
  <c r="G216" i="11" s="1"/>
  <c r="K78" i="11"/>
  <c r="L78" i="11" s="1"/>
  <c r="F78" i="11"/>
  <c r="G78" i="11" s="1"/>
  <c r="K104" i="11"/>
  <c r="L104" i="11" s="1"/>
  <c r="F104" i="11"/>
  <c r="G104" i="11" s="1"/>
  <c r="F161" i="11"/>
  <c r="G161" i="11" s="1"/>
  <c r="K161" i="11"/>
  <c r="L161" i="11" s="1"/>
  <c r="F192" i="11"/>
  <c r="G192" i="11" s="1"/>
  <c r="K192" i="11"/>
  <c r="L192" i="11" s="1"/>
  <c r="K150" i="11"/>
  <c r="L150" i="11" s="1"/>
  <c r="F150" i="11"/>
  <c r="G150" i="11" s="1"/>
  <c r="F84" i="11"/>
  <c r="G84" i="11" s="1"/>
  <c r="K84" i="11"/>
  <c r="L84" i="11" s="1"/>
  <c r="F226" i="11"/>
  <c r="G226" i="11" s="1"/>
  <c r="K226" i="11"/>
  <c r="L226" i="11" s="1"/>
  <c r="F89" i="11"/>
  <c r="G89" i="11" s="1"/>
  <c r="K89" i="11"/>
  <c r="L89" i="11" s="1"/>
  <c r="K108" i="11"/>
  <c r="L108" i="11" s="1"/>
  <c r="F108" i="11"/>
  <c r="G108" i="11" s="1"/>
  <c r="K57" i="11"/>
  <c r="L57" i="11" s="1"/>
  <c r="F57" i="11"/>
  <c r="G57" i="11" s="1"/>
  <c r="F12" i="11"/>
  <c r="G12" i="11" s="1"/>
  <c r="K12" i="11"/>
  <c r="L12" i="11" s="1"/>
  <c r="K191" i="11"/>
  <c r="L191" i="11" s="1"/>
  <c r="F191" i="11"/>
  <c r="G191" i="11" s="1"/>
  <c r="K92" i="11"/>
  <c r="L92" i="11" s="1"/>
  <c r="F92" i="11"/>
  <c r="G92" i="11" s="1"/>
  <c r="K253" i="11"/>
  <c r="L253" i="11" s="1"/>
  <c r="F253" i="11"/>
  <c r="G253" i="11" s="1"/>
  <c r="F250" i="11"/>
  <c r="G250" i="11" s="1"/>
  <c r="K250" i="11"/>
  <c r="L250" i="11" s="1"/>
  <c r="F20" i="11"/>
  <c r="G20" i="11" s="1"/>
  <c r="K20" i="11"/>
  <c r="L20" i="11" s="1"/>
  <c r="F213" i="11"/>
  <c r="G213" i="11" s="1"/>
  <c r="K213" i="11"/>
  <c r="L213" i="11" s="1"/>
  <c r="F105" i="11"/>
  <c r="G105" i="11" s="1"/>
  <c r="K105" i="11"/>
  <c r="L105" i="11" s="1"/>
  <c r="F42" i="11"/>
  <c r="G42" i="11" s="1"/>
  <c r="K42" i="11"/>
  <c r="L42" i="11" s="1"/>
  <c r="F278" i="11"/>
  <c r="G278" i="11" s="1"/>
  <c r="K278" i="11"/>
  <c r="L278" i="11" s="1"/>
  <c r="F304" i="11"/>
  <c r="G304" i="11" s="1"/>
  <c r="K304" i="11"/>
  <c r="L304" i="11" s="1"/>
  <c r="K67" i="11"/>
  <c r="L67" i="11" s="1"/>
  <c r="F67" i="11"/>
  <c r="G67" i="11" s="1"/>
  <c r="F264" i="11"/>
  <c r="G264" i="11" s="1"/>
  <c r="K264" i="11"/>
  <c r="L264" i="11" s="1"/>
  <c r="K237" i="11"/>
  <c r="L237" i="11" s="1"/>
  <c r="F237" i="11"/>
  <c r="G237" i="11" s="1"/>
  <c r="F127" i="11"/>
  <c r="G127" i="11" s="1"/>
  <c r="K127" i="11"/>
  <c r="L127" i="11" s="1"/>
  <c r="F81" i="11"/>
  <c r="G81" i="11" s="1"/>
  <c r="K81" i="11"/>
  <c r="L81" i="11" s="1"/>
  <c r="F56" i="11"/>
  <c r="G56" i="11" s="1"/>
  <c r="K56" i="11"/>
  <c r="L56" i="11" s="1"/>
  <c r="K124" i="11"/>
  <c r="L124" i="11" s="1"/>
  <c r="F124" i="11"/>
  <c r="G124" i="11" s="1"/>
  <c r="K46" i="11"/>
  <c r="L46" i="11" s="1"/>
  <c r="F46" i="11"/>
  <c r="G46" i="11" s="1"/>
  <c r="F107" i="11"/>
  <c r="G107" i="11" s="1"/>
  <c r="K107" i="11"/>
  <c r="L107" i="11" s="1"/>
  <c r="K151" i="11"/>
  <c r="L151" i="11" s="1"/>
  <c r="F151" i="11"/>
  <c r="G151" i="11" s="1"/>
  <c r="K23" i="11"/>
  <c r="L23" i="11" s="1"/>
  <c r="F23" i="11"/>
  <c r="G23" i="11" s="1"/>
  <c r="F80" i="11"/>
  <c r="G80" i="11" s="1"/>
  <c r="K80" i="11"/>
  <c r="L80" i="11" s="1"/>
  <c r="F50" i="11"/>
  <c r="G50" i="11" s="1"/>
  <c r="K50" i="11"/>
  <c r="L50" i="11" s="1"/>
  <c r="F131" i="11"/>
  <c r="G131" i="11" s="1"/>
  <c r="K131" i="11"/>
  <c r="L131" i="11" s="1"/>
  <c r="K38" i="11"/>
  <c r="L38" i="11" s="1"/>
  <c r="F38" i="11"/>
  <c r="G38" i="11" s="1"/>
  <c r="K55" i="11"/>
  <c r="L55" i="11" s="1"/>
  <c r="F55" i="11"/>
  <c r="G55" i="11" s="1"/>
  <c r="K70" i="11"/>
  <c r="L70" i="11" s="1"/>
  <c r="F70" i="11"/>
  <c r="G70" i="11" s="1"/>
  <c r="F233" i="11"/>
  <c r="G233" i="11" s="1"/>
  <c r="K233" i="11"/>
  <c r="L233" i="11" s="1"/>
  <c r="K201" i="11"/>
  <c r="L201" i="11" s="1"/>
  <c r="F201" i="11"/>
  <c r="G201" i="11" s="1"/>
  <c r="F259" i="11"/>
  <c r="G259" i="11" s="1"/>
  <c r="K259" i="11"/>
  <c r="L259" i="11" s="1"/>
  <c r="F274" i="11"/>
  <c r="G274" i="11" s="1"/>
  <c r="K274" i="11"/>
  <c r="L274" i="11" s="1"/>
  <c r="F109" i="11"/>
  <c r="G109" i="11" s="1"/>
  <c r="K109" i="11"/>
  <c r="L109" i="11" s="1"/>
  <c r="F178" i="11"/>
  <c r="G178" i="11" s="1"/>
  <c r="K178" i="11"/>
  <c r="L178" i="11" s="1"/>
  <c r="F195" i="11"/>
  <c r="G195" i="11" s="1"/>
  <c r="K195" i="11"/>
  <c r="L195" i="11" s="1"/>
  <c r="F34" i="11"/>
  <c r="G34" i="11" s="1"/>
  <c r="K34" i="11"/>
  <c r="L34" i="11" s="1"/>
  <c r="F68" i="11"/>
  <c r="G68" i="11" s="1"/>
  <c r="K68" i="11"/>
  <c r="L68" i="11" s="1"/>
  <c r="F214" i="11"/>
  <c r="G214" i="11" s="1"/>
  <c r="K214" i="11"/>
  <c r="L214" i="11" s="1"/>
  <c r="K132" i="11"/>
  <c r="L132" i="11" s="1"/>
  <c r="F132" i="11"/>
  <c r="G132" i="11" s="1"/>
  <c r="F16" i="11"/>
  <c r="G16" i="11" s="1"/>
  <c r="K16" i="11"/>
  <c r="L16" i="11" s="1"/>
  <c r="F145" i="11"/>
  <c r="G145" i="11" s="1"/>
  <c r="K145" i="11"/>
  <c r="L145" i="11" s="1"/>
  <c r="K14" i="11"/>
  <c r="L14" i="11" s="1"/>
  <c r="F14" i="11"/>
  <c r="G14" i="11" s="1"/>
  <c r="F44" i="11"/>
  <c r="G44" i="11" s="1"/>
  <c r="K44" i="11"/>
  <c r="L44" i="11" s="1"/>
  <c r="F165" i="11"/>
  <c r="G165" i="11" s="1"/>
  <c r="K165" i="11"/>
  <c r="L165" i="11" s="1"/>
  <c r="F286" i="11"/>
  <c r="G286" i="11" s="1"/>
  <c r="K286" i="11"/>
  <c r="L286" i="11" s="1"/>
  <c r="K30" i="11"/>
  <c r="L30" i="11" s="1"/>
  <c r="F30" i="11"/>
  <c r="G30" i="11" s="1"/>
  <c r="K31" i="11"/>
  <c r="L31" i="11" s="1"/>
  <c r="F31" i="11"/>
  <c r="G31" i="11" s="1"/>
  <c r="K40" i="11"/>
  <c r="L40" i="11" s="1"/>
  <c r="F40" i="11"/>
  <c r="G40" i="11" s="1"/>
  <c r="K110" i="11"/>
  <c r="L110" i="11" s="1"/>
  <c r="F110" i="11"/>
  <c r="G110" i="11" s="1"/>
  <c r="K27" i="11"/>
  <c r="L27" i="11" s="1"/>
  <c r="F27" i="11"/>
  <c r="G27" i="11" s="1"/>
  <c r="K98" i="11"/>
  <c r="L98" i="11" s="1"/>
  <c r="F98" i="11"/>
  <c r="G98" i="11" s="1"/>
  <c r="F149" i="11"/>
  <c r="G149" i="11" s="1"/>
  <c r="K149" i="11"/>
  <c r="L149" i="11" s="1"/>
  <c r="K116" i="11"/>
  <c r="L116" i="11" s="1"/>
  <c r="F116" i="11"/>
  <c r="G116" i="11" s="1"/>
  <c r="F292" i="11"/>
  <c r="G292" i="11" s="1"/>
  <c r="K292" i="11"/>
  <c r="L292" i="11" s="1"/>
  <c r="K189" i="11"/>
  <c r="L189" i="11" s="1"/>
  <c r="F189" i="11"/>
  <c r="G189" i="11" s="1"/>
  <c r="K75" i="11"/>
  <c r="L75" i="11" s="1"/>
  <c r="F75" i="11"/>
  <c r="G75" i="11" s="1"/>
  <c r="K277" i="11"/>
  <c r="L277" i="11" s="1"/>
  <c r="F277" i="11"/>
  <c r="G277" i="11" s="1"/>
  <c r="F265" i="11"/>
  <c r="G265" i="11" s="1"/>
  <c r="K265" i="11"/>
  <c r="L265" i="11" s="1"/>
  <c r="K19" i="11"/>
  <c r="L19" i="11" s="1"/>
  <c r="F19" i="11"/>
  <c r="G19" i="11" s="1"/>
  <c r="K62" i="11"/>
  <c r="L62" i="11" s="1"/>
  <c r="F62" i="11"/>
  <c r="G62" i="11" s="1"/>
  <c r="K174" i="11"/>
  <c r="L174" i="11" s="1"/>
  <c r="F174" i="11"/>
  <c r="G174" i="11" s="1"/>
  <c r="K295" i="11"/>
  <c r="L295" i="11" s="1"/>
  <c r="F295" i="11"/>
  <c r="G295" i="11" s="1"/>
  <c r="F74" i="11"/>
  <c r="G74" i="11" s="1"/>
  <c r="K74" i="11"/>
  <c r="L74" i="11" s="1"/>
  <c r="K142" i="11"/>
  <c r="L142" i="11" s="1"/>
  <c r="F142" i="11"/>
  <c r="G142" i="11" s="1"/>
  <c r="K183" i="11"/>
  <c r="L183" i="11" s="1"/>
  <c r="F183" i="11"/>
  <c r="G183" i="11" s="1"/>
  <c r="F123" i="11"/>
  <c r="G123" i="11" s="1"/>
  <c r="K123" i="11"/>
  <c r="L123" i="11" s="1"/>
  <c r="F24" i="11"/>
  <c r="G24" i="11" s="1"/>
  <c r="K24" i="11"/>
  <c r="L24" i="11" s="1"/>
  <c r="F238" i="11"/>
  <c r="G238" i="11" s="1"/>
  <c r="K238" i="11"/>
  <c r="L238" i="11" s="1"/>
  <c r="F153" i="11"/>
  <c r="G153" i="11" s="1"/>
  <c r="K153" i="11"/>
  <c r="L153" i="11" s="1"/>
  <c r="K197" i="11"/>
  <c r="L197" i="11" s="1"/>
  <c r="F197" i="11"/>
  <c r="G197" i="11" s="1"/>
  <c r="K179" i="11"/>
  <c r="L179" i="11" s="1"/>
  <c r="F179" i="11"/>
  <c r="G179" i="11" s="1"/>
  <c r="F185" i="11"/>
  <c r="G185" i="11" s="1"/>
  <c r="K185" i="11"/>
  <c r="L185" i="11" s="1"/>
  <c r="F111" i="11"/>
  <c r="G111" i="11" s="1"/>
  <c r="K111" i="11"/>
  <c r="L111" i="11" s="1"/>
  <c r="K283" i="11"/>
  <c r="L283" i="11" s="1"/>
  <c r="F283" i="11"/>
  <c r="G283" i="11" s="1"/>
  <c r="F194" i="11"/>
  <c r="G194" i="11" s="1"/>
  <c r="K194" i="11"/>
  <c r="L194" i="11" s="1"/>
  <c r="K49" i="11"/>
  <c r="L49" i="11" s="1"/>
  <c r="F49" i="11"/>
  <c r="G49" i="11" s="1"/>
  <c r="F205" i="11"/>
  <c r="G205" i="11" s="1"/>
  <c r="K205" i="11"/>
  <c r="L205" i="11" s="1"/>
  <c r="K33" i="11"/>
  <c r="L33" i="11" s="1"/>
  <c r="F33" i="11"/>
  <c r="G33" i="11" s="1"/>
  <c r="K269" i="11"/>
  <c r="L269" i="11" s="1"/>
  <c r="F269" i="11"/>
  <c r="G269" i="11" s="1"/>
  <c r="F302" i="11"/>
  <c r="G302" i="11" s="1"/>
  <c r="K302" i="11"/>
  <c r="L302" i="11" s="1"/>
  <c r="K249" i="11"/>
  <c r="L249" i="11" s="1"/>
  <c r="F249" i="11"/>
  <c r="G249" i="11" s="1"/>
  <c r="F52" i="11"/>
  <c r="G52" i="11" s="1"/>
  <c r="K52" i="11"/>
  <c r="L52" i="11" s="1"/>
  <c r="K11" i="11"/>
  <c r="L11" i="11" s="1"/>
  <c r="F11" i="11"/>
  <c r="G11" i="11" s="1"/>
  <c r="F83" i="11"/>
  <c r="G83" i="11" s="1"/>
  <c r="K83" i="11"/>
  <c r="L83" i="11" s="1"/>
  <c r="F99" i="11"/>
  <c r="G99" i="11" s="1"/>
  <c r="K99" i="11"/>
  <c r="L99" i="11" s="1"/>
  <c r="F48" i="11"/>
  <c r="G48" i="11" s="1"/>
  <c r="K48" i="11"/>
  <c r="L48" i="11" s="1"/>
  <c r="K239" i="11"/>
  <c r="L239" i="11" s="1"/>
  <c r="F239" i="11"/>
  <c r="G239" i="11" s="1"/>
  <c r="F242" i="11"/>
  <c r="G242" i="11" s="1"/>
  <c r="K242" i="11"/>
  <c r="L242" i="11" s="1"/>
  <c r="F232" i="11"/>
  <c r="G232" i="11" s="1"/>
  <c r="K232" i="11"/>
  <c r="L232" i="11" s="1"/>
  <c r="K273" i="11"/>
  <c r="L273" i="11" s="1"/>
  <c r="F273" i="11"/>
  <c r="G273" i="11" s="1"/>
  <c r="K118" i="11"/>
  <c r="L118" i="11" s="1"/>
  <c r="F118" i="11"/>
  <c r="G118" i="11" s="1"/>
  <c r="F294" i="11"/>
  <c r="G294" i="11" s="1"/>
  <c r="K294" i="11"/>
  <c r="L294" i="11" s="1"/>
  <c r="K77" i="11"/>
  <c r="L77" i="11" s="1"/>
  <c r="F77" i="11"/>
  <c r="G77" i="11" s="1"/>
  <c r="F176" i="11"/>
  <c r="G176" i="11" s="1"/>
  <c r="K176" i="11"/>
  <c r="L176" i="11" s="1"/>
  <c r="K58" i="11"/>
  <c r="L58" i="11" s="1"/>
  <c r="F58" i="11"/>
  <c r="G58" i="11" s="1"/>
  <c r="F72" i="11"/>
  <c r="G72" i="11" s="1"/>
  <c r="K72" i="11"/>
  <c r="L72" i="11" s="1"/>
  <c r="F164" i="11"/>
  <c r="G164" i="11" s="1"/>
  <c r="K164" i="11"/>
  <c r="L164" i="11" s="1"/>
  <c r="F26" i="11"/>
  <c r="G26" i="11" s="1"/>
  <c r="K26" i="11"/>
  <c r="L26" i="11" s="1"/>
  <c r="K35" i="11"/>
  <c r="L35" i="11" s="1"/>
  <c r="F35" i="11"/>
  <c r="G35" i="11" s="1"/>
  <c r="K251" i="11"/>
  <c r="L251" i="11" s="1"/>
  <c r="F251" i="11"/>
  <c r="G251" i="11" s="1"/>
  <c r="F60" i="11"/>
  <c r="G60" i="11" s="1"/>
  <c r="K60" i="11"/>
  <c r="L60" i="11" s="1"/>
  <c r="F212" i="11"/>
  <c r="G212" i="11" s="1"/>
  <c r="K212" i="11"/>
  <c r="L212" i="11" s="1"/>
  <c r="F193" i="11"/>
  <c r="G193" i="11" s="1"/>
  <c r="K193" i="11"/>
  <c r="L193" i="11" s="1"/>
  <c r="K47" i="11"/>
  <c r="L47" i="11" s="1"/>
  <c r="F47" i="11"/>
  <c r="G47" i="11" s="1"/>
  <c r="F198" i="11"/>
  <c r="G198" i="11" s="1"/>
  <c r="K198" i="11"/>
  <c r="L198" i="11" s="1"/>
  <c r="K51" i="11"/>
  <c r="L51" i="11" s="1"/>
  <c r="F51" i="11"/>
  <c r="G51" i="11" s="1"/>
  <c r="F64" i="11"/>
  <c r="G64" i="11" s="1"/>
  <c r="K64" i="11"/>
  <c r="L64" i="11" s="1"/>
  <c r="F276" i="11"/>
  <c r="G276" i="11" s="1"/>
  <c r="K276" i="11"/>
  <c r="L276" i="11" s="1"/>
  <c r="K112" i="11"/>
  <c r="L112" i="11" s="1"/>
  <c r="F112" i="11"/>
  <c r="G112" i="11" s="1"/>
  <c r="K224" i="11"/>
  <c r="L224" i="11" s="1"/>
  <c r="F224" i="11"/>
  <c r="G224" i="11" s="1"/>
  <c r="K297" i="11"/>
  <c r="L297" i="11" s="1"/>
  <c r="F297" i="11"/>
  <c r="G297" i="11" s="1"/>
  <c r="F218" i="11"/>
  <c r="G218" i="11" s="1"/>
  <c r="K218" i="11"/>
  <c r="L218" i="11" s="1"/>
  <c r="F252" i="11"/>
  <c r="G252" i="11" s="1"/>
  <c r="K252" i="11"/>
  <c r="L252" i="11" s="1"/>
  <c r="K287" i="11"/>
  <c r="L287" i="11" s="1"/>
  <c r="F287" i="11"/>
  <c r="G287" i="11" s="1"/>
  <c r="F196" i="11"/>
  <c r="G196" i="11" s="1"/>
  <c r="K196" i="11"/>
  <c r="L196" i="11" s="1"/>
  <c r="F190" i="11"/>
  <c r="G190" i="11" s="1"/>
  <c r="K190" i="11"/>
  <c r="L190" i="11" s="1"/>
  <c r="F141" i="11"/>
  <c r="G141" i="11" s="1"/>
  <c r="K141" i="11"/>
  <c r="L141" i="11" s="1"/>
  <c r="K180" i="11"/>
  <c r="L180" i="11" s="1"/>
  <c r="F180" i="11"/>
  <c r="G180" i="11" s="1"/>
  <c r="K166" i="11"/>
  <c r="L166" i="11" s="1"/>
  <c r="F166" i="11"/>
  <c r="G166" i="11" s="1"/>
  <c r="F257" i="11"/>
  <c r="G257" i="11" s="1"/>
  <c r="K257" i="11"/>
  <c r="L257" i="11" s="1"/>
  <c r="K134" i="11"/>
  <c r="L134" i="11" s="1"/>
  <c r="F134" i="11"/>
  <c r="G134" i="11" s="1"/>
  <c r="K17" i="11"/>
  <c r="L17" i="11" s="1"/>
  <c r="F17" i="11"/>
  <c r="G17" i="11" s="1"/>
  <c r="F117" i="11"/>
  <c r="G117" i="11" s="1"/>
  <c r="K117" i="11"/>
  <c r="L117" i="11" s="1"/>
  <c r="F199" i="11"/>
  <c r="G199" i="11" s="1"/>
  <c r="K199" i="11"/>
  <c r="L199" i="11" s="1"/>
  <c r="K303" i="11"/>
  <c r="L303" i="11" s="1"/>
  <c r="F303" i="11"/>
  <c r="G303" i="11" s="1"/>
  <c r="F234" i="11"/>
  <c r="G234" i="11" s="1"/>
  <c r="K234" i="11"/>
  <c r="L234" i="11" s="1"/>
  <c r="K82" i="11"/>
  <c r="L82" i="11" s="1"/>
  <c r="F82" i="11"/>
  <c r="G82" i="11" s="1"/>
  <c r="F88" i="11"/>
  <c r="G88" i="11" s="1"/>
  <c r="K88" i="11"/>
  <c r="L88" i="11" s="1"/>
  <c r="K54" i="11"/>
  <c r="L54" i="11" s="1"/>
  <c r="F54" i="11"/>
  <c r="G54" i="11" s="1"/>
  <c r="K136" i="11"/>
  <c r="L136" i="11" s="1"/>
  <c r="F136" i="11"/>
  <c r="G136" i="11" s="1"/>
  <c r="K210" i="11"/>
  <c r="L210" i="11" s="1"/>
  <c r="F210" i="11"/>
  <c r="G210" i="11" s="1"/>
  <c r="K53" i="11"/>
  <c r="L53" i="11" s="1"/>
  <c r="F53" i="11"/>
  <c r="G53" i="11" s="1"/>
  <c r="K154" i="11"/>
  <c r="L154" i="11" s="1"/>
  <c r="F154" i="11"/>
  <c r="G154" i="11" s="1"/>
  <c r="F125" i="11"/>
  <c r="G125" i="11" s="1"/>
  <c r="K125" i="11"/>
  <c r="L125" i="11" s="1"/>
  <c r="K140" i="11"/>
  <c r="L140" i="11" s="1"/>
  <c r="F140" i="11"/>
  <c r="G140" i="11" s="1"/>
  <c r="K241" i="11"/>
  <c r="L241" i="11" s="1"/>
  <c r="F241" i="11"/>
  <c r="G241" i="11" s="1"/>
  <c r="K43" i="11"/>
  <c r="L43" i="11" s="1"/>
  <c r="F43" i="11"/>
  <c r="G43" i="11" s="1"/>
  <c r="F288" i="11"/>
  <c r="G288" i="11" s="1"/>
  <c r="K288" i="11"/>
  <c r="L288" i="11" s="1"/>
  <c r="F231" i="11"/>
  <c r="G231" i="11" s="1"/>
  <c r="K231" i="11"/>
  <c r="L231" i="11" s="1"/>
  <c r="F93" i="11"/>
  <c r="G93" i="11" s="1"/>
  <c r="K93" i="11"/>
  <c r="L93" i="11" s="1"/>
  <c r="K187" i="11"/>
  <c r="L187" i="11" s="1"/>
  <c r="F187" i="11"/>
  <c r="G187" i="11" s="1"/>
  <c r="F8" i="11"/>
  <c r="G8" i="11" s="1"/>
  <c r="K8" i="11"/>
  <c r="L8" i="11" s="1"/>
  <c r="K65" i="11"/>
  <c r="L65" i="11" s="1"/>
  <c r="F65" i="11"/>
  <c r="G65" i="11" s="1"/>
  <c r="F230" i="11"/>
  <c r="G230" i="11" s="1"/>
  <c r="K230" i="11"/>
  <c r="L230" i="11" s="1"/>
  <c r="F223" i="11"/>
  <c r="G223" i="11" s="1"/>
  <c r="K223" i="11"/>
  <c r="L223" i="11" s="1"/>
  <c r="K45" i="11"/>
  <c r="L45" i="11" s="1"/>
  <c r="F45" i="11"/>
  <c r="G45" i="11" s="1"/>
  <c r="K206" i="11"/>
  <c r="L206" i="11" s="1"/>
  <c r="F206" i="11"/>
  <c r="G206" i="11" s="1"/>
  <c r="K146" i="11"/>
  <c r="L146" i="11" s="1"/>
  <c r="F146" i="11"/>
  <c r="G146" i="11" s="1"/>
  <c r="F133" i="11"/>
  <c r="G133" i="11" s="1"/>
  <c r="K133" i="11"/>
  <c r="L133" i="11" s="1"/>
  <c r="K115" i="11"/>
  <c r="L115" i="11" s="1"/>
  <c r="F115" i="11"/>
  <c r="G115" i="11" s="1"/>
  <c r="K7" i="11"/>
  <c r="L7" i="11" s="1"/>
  <c r="F7" i="11"/>
  <c r="G7" i="11" s="1"/>
  <c r="K102" i="11"/>
  <c r="L102" i="11" s="1"/>
  <c r="F102" i="11"/>
  <c r="G102" i="11" s="1"/>
  <c r="F219" i="11"/>
  <c r="G219" i="11" s="1"/>
  <c r="K219" i="11"/>
  <c r="L219" i="11" s="1"/>
  <c r="J271" i="49"/>
  <c r="C271" i="13"/>
  <c r="E270" i="25"/>
  <c r="P137" i="19"/>
  <c r="R137" i="19" s="1"/>
  <c r="P120" i="19"/>
  <c r="R120" i="19" s="1"/>
  <c r="P261" i="19"/>
  <c r="R261" i="19" s="1"/>
  <c r="P113" i="19"/>
  <c r="R113" i="19" s="1"/>
  <c r="P175" i="19"/>
  <c r="R175" i="19" s="1"/>
  <c r="P143" i="19"/>
  <c r="R143" i="19" s="1"/>
  <c r="P21" i="19"/>
  <c r="R21" i="19" s="1"/>
  <c r="AD235" i="42"/>
  <c r="AD68" i="42"/>
  <c r="C113" i="39" l="1"/>
  <c r="C113" i="12"/>
  <c r="E113" i="12" s="1"/>
  <c r="C113" i="33"/>
  <c r="C119" i="9"/>
  <c r="C261" i="39"/>
  <c r="C261" i="12"/>
  <c r="E261" i="12" s="1"/>
  <c r="C261" i="33"/>
  <c r="C267" i="9"/>
  <c r="C137" i="39"/>
  <c r="C137" i="12"/>
  <c r="E137" i="12" s="1"/>
  <c r="C137" i="33"/>
  <c r="C143" i="9"/>
  <c r="C120" i="12"/>
  <c r="E120" i="12" s="1"/>
  <c r="C120" i="39"/>
  <c r="C120" i="33"/>
  <c r="C126" i="9"/>
  <c r="C21" i="39"/>
  <c r="C21" i="12"/>
  <c r="E21" i="12" s="1"/>
  <c r="C21" i="33"/>
  <c r="C27" i="9"/>
  <c r="C175" i="12"/>
  <c r="E175" i="12" s="1"/>
  <c r="C175" i="39"/>
  <c r="C175" i="33"/>
  <c r="C181" i="9"/>
  <c r="C143" i="39"/>
  <c r="C143" i="12"/>
  <c r="E143" i="12" s="1"/>
  <c r="C143" i="33"/>
  <c r="C149" i="9"/>
  <c r="C271" i="11"/>
  <c r="C277" i="34"/>
  <c r="E271" i="33"/>
  <c r="D271" i="37" s="1"/>
  <c r="J143" i="49"/>
  <c r="E142" i="25"/>
  <c r="C143" i="13"/>
  <c r="J175" i="49"/>
  <c r="E174" i="25"/>
  <c r="C175" i="13"/>
  <c r="J261" i="49"/>
  <c r="E260" i="25"/>
  <c r="C261" i="13"/>
  <c r="J113" i="49"/>
  <c r="E112" i="25"/>
  <c r="C113" i="13"/>
  <c r="J137" i="49"/>
  <c r="E136" i="25"/>
  <c r="C137" i="13"/>
  <c r="J120" i="49"/>
  <c r="E119" i="25"/>
  <c r="C120" i="13"/>
  <c r="J21" i="49"/>
  <c r="E20" i="25"/>
  <c r="C21" i="13"/>
  <c r="AK149" i="42"/>
  <c r="AE64" i="42"/>
  <c r="AK25" i="42"/>
  <c r="AK296" i="42"/>
  <c r="AC190" i="42"/>
  <c r="AC160" i="42"/>
  <c r="AC19" i="42"/>
  <c r="AE230" i="42"/>
  <c r="AE192" i="42"/>
  <c r="AC59" i="42"/>
  <c r="AC188" i="42"/>
  <c r="AC180" i="42"/>
  <c r="AE198" i="42"/>
  <c r="AC27" i="42"/>
  <c r="AM35" i="42"/>
  <c r="AC133" i="42"/>
  <c r="AD155" i="42"/>
  <c r="AK224" i="42"/>
  <c r="AC224" i="42"/>
  <c r="AM224" i="42"/>
  <c r="AE224" i="42"/>
  <c r="AK266" i="42"/>
  <c r="AC266" i="42"/>
  <c r="AE266" i="42"/>
  <c r="AM266" i="42"/>
  <c r="AK63" i="42"/>
  <c r="AC63" i="42"/>
  <c r="AE63" i="42"/>
  <c r="AM63" i="42"/>
  <c r="AK158" i="42"/>
  <c r="AC158" i="42"/>
  <c r="AE158" i="42"/>
  <c r="AM158" i="42"/>
  <c r="AK182" i="42"/>
  <c r="AC182" i="42"/>
  <c r="AE182" i="42"/>
  <c r="AM182" i="42"/>
  <c r="AK156" i="42"/>
  <c r="AM156" i="42"/>
  <c r="AC156" i="42"/>
  <c r="AE156" i="42"/>
  <c r="AK172" i="42"/>
  <c r="AM172" i="42"/>
  <c r="AE172" i="42"/>
  <c r="AC172" i="42"/>
  <c r="AK176" i="42"/>
  <c r="AC176" i="42"/>
  <c r="AM176" i="42"/>
  <c r="AE176" i="42"/>
  <c r="AK240" i="42"/>
  <c r="AC240" i="42"/>
  <c r="AE240" i="42"/>
  <c r="AM240" i="42"/>
  <c r="AK300" i="42"/>
  <c r="AC300" i="42"/>
  <c r="AE300" i="42"/>
  <c r="AM300" i="42"/>
  <c r="AK184" i="42"/>
  <c r="AC184" i="42"/>
  <c r="AE184" i="42"/>
  <c r="AM184" i="42"/>
  <c r="AK220" i="42"/>
  <c r="AC220" i="42"/>
  <c r="AE220" i="42"/>
  <c r="AM220" i="42"/>
  <c r="AK141" i="42"/>
  <c r="AM141" i="42"/>
  <c r="AC141" i="42"/>
  <c r="AE141" i="42"/>
  <c r="AK206" i="42"/>
  <c r="AE206" i="42"/>
  <c r="AC206" i="42"/>
  <c r="AM206" i="42"/>
  <c r="AK270" i="42"/>
  <c r="AC270" i="42"/>
  <c r="AE270" i="42"/>
  <c r="AM270" i="42"/>
  <c r="AK164" i="42"/>
  <c r="AM164" i="42"/>
  <c r="AC164" i="42"/>
  <c r="AE164" i="42"/>
  <c r="AK37" i="42"/>
  <c r="AC37" i="42"/>
  <c r="AE37" i="42"/>
  <c r="AM37" i="42"/>
  <c r="AD275" i="42"/>
  <c r="AK23" i="42"/>
  <c r="AC23" i="42"/>
  <c r="AE23" i="42"/>
  <c r="AM23" i="42"/>
  <c r="AK31" i="42"/>
  <c r="AC31" i="42"/>
  <c r="AE31" i="42"/>
  <c r="AM31" i="42"/>
  <c r="AK39" i="42"/>
  <c r="AC39" i="42"/>
  <c r="AE39" i="42"/>
  <c r="AM39" i="42"/>
  <c r="AK190" i="42"/>
  <c r="AE190" i="42"/>
  <c r="AK280" i="42"/>
  <c r="AC280" i="42"/>
  <c r="AE280" i="42"/>
  <c r="AM280" i="42"/>
  <c r="AK282" i="42"/>
  <c r="AC282" i="42"/>
  <c r="AE282" i="42"/>
  <c r="AM282" i="42"/>
  <c r="AK304" i="42"/>
  <c r="AC304" i="42"/>
  <c r="AE304" i="42"/>
  <c r="AM304" i="42"/>
  <c r="AK160" i="42"/>
  <c r="AK196" i="42"/>
  <c r="AC196" i="42"/>
  <c r="AE196" i="42"/>
  <c r="AM196" i="42"/>
  <c r="AK216" i="42"/>
  <c r="AC216" i="42"/>
  <c r="AM216" i="42"/>
  <c r="AE216" i="42"/>
  <c r="AK254" i="42"/>
  <c r="AC254" i="42"/>
  <c r="AM254" i="42"/>
  <c r="AE254" i="42"/>
  <c r="AK166" i="42"/>
  <c r="AC166" i="42"/>
  <c r="AE166" i="42"/>
  <c r="AM166" i="42"/>
  <c r="AK226" i="42"/>
  <c r="AE226" i="42"/>
  <c r="AK51" i="42"/>
  <c r="AM51" i="42"/>
  <c r="AC51" i="42"/>
  <c r="AE51" i="42"/>
  <c r="AK208" i="42"/>
  <c r="AC208" i="42"/>
  <c r="AE208" i="42"/>
  <c r="AM208" i="42"/>
  <c r="AK9" i="42"/>
  <c r="AC9" i="42"/>
  <c r="AE9" i="42"/>
  <c r="AM9" i="42"/>
  <c r="AK55" i="42"/>
  <c r="AC55" i="42"/>
  <c r="AE55" i="42"/>
  <c r="AM55" i="42"/>
  <c r="AK284" i="42"/>
  <c r="AC284" i="42"/>
  <c r="AE284" i="42"/>
  <c r="AM284" i="42"/>
  <c r="AM278" i="42"/>
  <c r="AK278" i="42"/>
  <c r="AE278" i="42"/>
  <c r="AC278" i="42"/>
  <c r="AK145" i="42"/>
  <c r="AC145" i="42"/>
  <c r="AM145" i="42"/>
  <c r="AE145" i="42"/>
  <c r="AE222" i="42"/>
  <c r="AE149" i="42"/>
  <c r="AK27" i="42"/>
  <c r="AM27" i="42"/>
  <c r="AK194" i="42"/>
  <c r="AC194" i="42"/>
  <c r="AM194" i="42"/>
  <c r="AE194" i="42"/>
  <c r="AK168" i="42"/>
  <c r="AC168" i="42"/>
  <c r="AE168" i="42"/>
  <c r="AM168" i="42"/>
  <c r="AK234" i="42"/>
  <c r="AC234" i="42"/>
  <c r="AE234" i="42"/>
  <c r="AM234" i="42"/>
  <c r="AK174" i="42"/>
  <c r="AC174" i="42"/>
  <c r="AE174" i="42"/>
  <c r="AM174" i="42"/>
  <c r="AK214" i="42"/>
  <c r="AC214" i="42"/>
  <c r="AE214" i="42"/>
  <c r="AM214" i="42"/>
  <c r="AK232" i="42"/>
  <c r="AC232" i="42"/>
  <c r="AE232" i="42"/>
  <c r="AM232" i="42"/>
  <c r="AK17" i="42"/>
  <c r="AC17" i="42"/>
  <c r="AM17" i="42"/>
  <c r="AE17" i="42"/>
  <c r="AK153" i="42"/>
  <c r="AC153" i="42"/>
  <c r="AM153" i="42"/>
  <c r="AE153" i="42"/>
  <c r="AK256" i="42"/>
  <c r="AC256" i="42"/>
  <c r="AE256" i="42"/>
  <c r="AM256" i="42"/>
  <c r="AK29" i="42"/>
  <c r="AC29" i="42"/>
  <c r="AM29" i="42"/>
  <c r="AM25" i="42"/>
  <c r="AE25" i="42"/>
  <c r="AC33" i="42"/>
  <c r="AE33" i="42"/>
  <c r="AK294" i="42"/>
  <c r="AC294" i="42"/>
  <c r="AE294" i="42"/>
  <c r="AM294" i="42"/>
  <c r="AK262" i="42"/>
  <c r="AC262" i="42"/>
  <c r="AE262" i="42"/>
  <c r="AM262" i="42"/>
  <c r="AK272" i="42"/>
  <c r="AC272" i="42"/>
  <c r="AE272" i="42"/>
  <c r="AM272" i="42"/>
  <c r="AK264" i="42"/>
  <c r="AC264" i="42"/>
  <c r="AM264" i="42"/>
  <c r="AE264" i="42"/>
  <c r="AK242" i="42"/>
  <c r="AC242" i="42"/>
  <c r="AM242" i="42"/>
  <c r="AE242" i="42"/>
  <c r="AK290" i="42"/>
  <c r="AC290" i="42"/>
  <c r="AM290" i="42"/>
  <c r="AE290" i="42"/>
  <c r="AK129" i="42"/>
  <c r="AC129" i="42"/>
  <c r="AE129" i="42"/>
  <c r="AM129" i="42"/>
  <c r="AK15" i="42"/>
  <c r="AC15" i="42"/>
  <c r="AE15" i="42"/>
  <c r="AM15" i="42"/>
  <c r="AE21" i="42"/>
  <c r="AK21" i="42"/>
  <c r="AC21" i="42"/>
  <c r="AM21" i="42"/>
  <c r="AK137" i="42"/>
  <c r="AC137" i="42"/>
  <c r="AM137" i="42"/>
  <c r="AE137" i="42"/>
  <c r="C175" i="11" l="1"/>
  <c r="C181" i="34"/>
  <c r="E175" i="33"/>
  <c r="D175" i="37" s="1"/>
  <c r="C120" i="11"/>
  <c r="C126" i="34"/>
  <c r="E120" i="33"/>
  <c r="D120" i="37" s="1"/>
  <c r="C261" i="11"/>
  <c r="E261" i="33"/>
  <c r="D261" i="37" s="1"/>
  <c r="C267" i="34"/>
  <c r="K271" i="11"/>
  <c r="L271" i="11" s="1"/>
  <c r="F271" i="11"/>
  <c r="G271" i="11" s="1"/>
  <c r="C143" i="11"/>
  <c r="C149" i="34"/>
  <c r="E143" i="33"/>
  <c r="D143" i="37" s="1"/>
  <c r="C21" i="11"/>
  <c r="C27" i="34"/>
  <c r="E21" i="33"/>
  <c r="D21" i="37" s="1"/>
  <c r="E137" i="33"/>
  <c r="D137" i="37" s="1"/>
  <c r="C137" i="11"/>
  <c r="C143" i="34"/>
  <c r="C113" i="11"/>
  <c r="C119" i="34"/>
  <c r="E113" i="33"/>
  <c r="D113" i="37" s="1"/>
  <c r="AM149" i="42"/>
  <c r="AC149" i="42"/>
  <c r="AC43" i="42"/>
  <c r="AM59" i="42"/>
  <c r="AK64" i="42"/>
  <c r="AC226" i="42"/>
  <c r="AC230" i="42"/>
  <c r="AM226" i="42"/>
  <c r="AC192" i="42"/>
  <c r="AC198" i="42"/>
  <c r="AE11" i="42"/>
  <c r="AM288" i="42"/>
  <c r="AM296" i="42"/>
  <c r="AK192" i="42"/>
  <c r="AC11" i="42"/>
  <c r="AK198" i="42"/>
  <c r="AC288" i="42"/>
  <c r="AE296" i="42"/>
  <c r="AM192" i="42"/>
  <c r="AK11" i="42"/>
  <c r="AM198" i="42"/>
  <c r="AK288" i="42"/>
  <c r="AC296" i="42"/>
  <c r="AM11" i="42"/>
  <c r="AE288" i="42"/>
  <c r="AM43" i="42"/>
  <c r="AM64" i="42"/>
  <c r="AK188" i="42"/>
  <c r="AM204" i="42"/>
  <c r="AK43" i="42"/>
  <c r="AC64" i="42"/>
  <c r="AE43" i="42"/>
  <c r="AK19" i="42"/>
  <c r="AK35" i="42"/>
  <c r="AC222" i="42"/>
  <c r="AK180" i="42"/>
  <c r="AK33" i="42"/>
  <c r="AC25" i="42"/>
  <c r="AE27" i="42"/>
  <c r="AE59" i="42"/>
  <c r="AK59" i="42"/>
  <c r="AK222" i="42"/>
  <c r="AM230" i="42"/>
  <c r="AE160" i="42"/>
  <c r="AM190" i="42"/>
  <c r="AK133" i="42"/>
  <c r="AK230" i="42"/>
  <c r="AM160" i="42"/>
  <c r="AM33" i="42"/>
  <c r="AM222" i="42"/>
  <c r="AC204" i="42"/>
  <c r="AE19" i="42"/>
  <c r="AE188" i="42"/>
  <c r="AK204" i="42"/>
  <c r="AM19" i="42"/>
  <c r="AM188" i="42"/>
  <c r="AE204" i="42"/>
  <c r="AM133" i="42"/>
  <c r="AE35" i="42"/>
  <c r="AM180" i="42"/>
  <c r="AE133" i="42"/>
  <c r="AC35" i="42"/>
  <c r="AE180" i="42"/>
  <c r="AK61" i="42"/>
  <c r="AE61" i="42"/>
  <c r="AC61" i="42"/>
  <c r="AM61" i="42"/>
  <c r="AK258" i="42"/>
  <c r="AC258" i="42"/>
  <c r="AE258" i="42"/>
  <c r="AM258" i="42"/>
  <c r="AK260" i="42"/>
  <c r="AC260" i="42"/>
  <c r="AE260" i="42"/>
  <c r="AM260" i="42"/>
  <c r="AK305" i="42"/>
  <c r="AC305" i="42"/>
  <c r="AM305" i="42"/>
  <c r="AE305" i="42"/>
  <c r="AK289" i="42"/>
  <c r="AC289" i="42"/>
  <c r="AM289" i="42"/>
  <c r="AE289" i="42"/>
  <c r="AK95" i="42"/>
  <c r="AC95" i="42"/>
  <c r="AE95" i="42"/>
  <c r="AM95" i="42"/>
  <c r="AK302" i="42"/>
  <c r="AC302" i="42"/>
  <c r="AM302" i="42"/>
  <c r="AE302" i="42"/>
  <c r="AK303" i="42"/>
  <c r="AC303" i="42"/>
  <c r="AE303" i="42"/>
  <c r="AM303" i="42"/>
  <c r="AK286" i="42"/>
  <c r="AE286" i="42"/>
  <c r="AC286" i="42"/>
  <c r="AM286" i="42"/>
  <c r="AK7" i="42"/>
  <c r="AC7" i="42"/>
  <c r="AE7" i="42"/>
  <c r="AM7" i="42"/>
  <c r="AK210" i="42"/>
  <c r="AC210" i="42"/>
  <c r="AM210" i="42"/>
  <c r="AE210" i="42"/>
  <c r="AK276" i="42"/>
  <c r="AC276" i="42"/>
  <c r="AE276" i="42"/>
  <c r="AM276" i="42"/>
  <c r="AK301" i="42"/>
  <c r="AC301" i="42"/>
  <c r="AE301" i="42"/>
  <c r="AM301" i="42"/>
  <c r="AM285" i="42"/>
  <c r="AK285" i="42"/>
  <c r="AC285" i="42"/>
  <c r="AE285" i="42"/>
  <c r="AK103" i="42"/>
  <c r="AC103" i="42"/>
  <c r="AE103" i="42"/>
  <c r="AM103" i="42"/>
  <c r="AM252" i="42"/>
  <c r="AK252" i="42"/>
  <c r="AC252" i="42"/>
  <c r="AE252" i="42"/>
  <c r="AK255" i="42"/>
  <c r="AC255" i="42"/>
  <c r="AE255" i="42"/>
  <c r="AM255" i="42"/>
  <c r="AK277" i="42"/>
  <c r="AC277" i="42"/>
  <c r="AM277" i="42"/>
  <c r="AE277" i="42"/>
  <c r="AK83" i="42"/>
  <c r="AC83" i="42"/>
  <c r="AE83" i="42"/>
  <c r="AM83" i="42"/>
  <c r="AK269" i="42"/>
  <c r="AC269" i="42"/>
  <c r="AM269" i="42"/>
  <c r="AE269" i="42"/>
  <c r="AK202" i="42"/>
  <c r="AC202" i="42"/>
  <c r="AE202" i="42"/>
  <c r="AM202" i="42"/>
  <c r="AK79" i="42"/>
  <c r="AC79" i="42"/>
  <c r="AE79" i="42"/>
  <c r="AM79" i="42"/>
  <c r="AK248" i="42"/>
  <c r="AC248" i="42"/>
  <c r="AM248" i="42"/>
  <c r="AE248" i="42"/>
  <c r="AK75" i="42"/>
  <c r="AM75" i="42"/>
  <c r="AC75" i="42"/>
  <c r="AE75" i="42"/>
  <c r="AK293" i="42"/>
  <c r="AC293" i="42"/>
  <c r="AE293" i="42"/>
  <c r="AM293" i="42"/>
  <c r="AK295" i="42"/>
  <c r="AC295" i="42"/>
  <c r="AE295" i="42"/>
  <c r="AM295" i="42"/>
  <c r="AK298" i="42"/>
  <c r="AC298" i="42"/>
  <c r="AE298" i="42"/>
  <c r="AM298" i="42"/>
  <c r="AK45" i="42"/>
  <c r="AC45" i="42"/>
  <c r="AE45" i="42"/>
  <c r="AM45" i="42"/>
  <c r="AM292" i="42"/>
  <c r="AK292" i="42"/>
  <c r="AC292" i="42"/>
  <c r="AE292" i="42"/>
  <c r="AK246" i="42"/>
  <c r="AC246" i="42"/>
  <c r="AE246" i="42"/>
  <c r="AM246" i="42"/>
  <c r="AK297" i="42"/>
  <c r="AC297" i="42"/>
  <c r="AE297" i="42"/>
  <c r="AM297" i="42"/>
  <c r="AK267" i="42"/>
  <c r="AC267" i="42"/>
  <c r="AM267" i="42"/>
  <c r="AE267" i="42"/>
  <c r="AK274" i="42"/>
  <c r="AC274" i="42"/>
  <c r="AE274" i="42"/>
  <c r="AM274" i="42"/>
  <c r="AM229" i="42"/>
  <c r="AK229" i="42"/>
  <c r="AC229" i="42"/>
  <c r="AE229" i="42"/>
  <c r="AK239" i="42"/>
  <c r="AC239" i="42"/>
  <c r="AM239" i="42"/>
  <c r="AE239" i="42"/>
  <c r="AK195" i="42"/>
  <c r="AM195" i="42"/>
  <c r="AC195" i="42"/>
  <c r="AE195" i="42"/>
  <c r="AK217" i="42"/>
  <c r="AC217" i="42"/>
  <c r="AE217" i="42"/>
  <c r="AM217" i="42"/>
  <c r="AK199" i="42"/>
  <c r="AC199" i="42"/>
  <c r="AE199" i="42"/>
  <c r="AM199" i="42"/>
  <c r="AK108" i="42"/>
  <c r="AC108" i="42"/>
  <c r="AM108" i="42"/>
  <c r="AE108" i="42"/>
  <c r="AK89" i="42"/>
  <c r="AC89" i="42"/>
  <c r="AM89" i="42"/>
  <c r="AE89" i="42"/>
  <c r="AK104" i="42"/>
  <c r="AC104" i="42"/>
  <c r="AE104" i="42"/>
  <c r="AM104" i="42"/>
  <c r="AK90" i="42"/>
  <c r="AC90" i="42"/>
  <c r="AE90" i="42"/>
  <c r="AM90" i="42"/>
  <c r="AK16" i="42"/>
  <c r="AC16" i="42"/>
  <c r="AE16" i="42"/>
  <c r="AM16" i="42"/>
  <c r="AM213" i="42"/>
  <c r="AK213" i="42"/>
  <c r="AC213" i="42"/>
  <c r="AE213" i="42"/>
  <c r="AK187" i="42"/>
  <c r="AM187" i="42"/>
  <c r="AC187" i="42"/>
  <c r="AE187" i="42"/>
  <c r="AK209" i="42"/>
  <c r="AC209" i="42"/>
  <c r="AE209" i="42"/>
  <c r="AM209" i="42"/>
  <c r="AK191" i="42"/>
  <c r="AC191" i="42"/>
  <c r="AE191" i="42"/>
  <c r="AM191" i="42"/>
  <c r="AK144" i="42"/>
  <c r="AC144" i="42"/>
  <c r="AE144" i="42"/>
  <c r="AM144" i="42"/>
  <c r="AK117" i="42"/>
  <c r="AC117" i="42"/>
  <c r="AM117" i="42"/>
  <c r="AE117" i="42"/>
  <c r="AK140" i="42"/>
  <c r="AC140" i="42"/>
  <c r="AE140" i="42"/>
  <c r="AM140" i="42"/>
  <c r="AC68" i="42"/>
  <c r="AK68" i="42"/>
  <c r="AK52" i="42"/>
  <c r="AC52" i="42"/>
  <c r="AE52" i="42"/>
  <c r="AM52" i="42"/>
  <c r="AK62" i="42"/>
  <c r="AC62" i="42"/>
  <c r="AM62" i="42"/>
  <c r="AE62" i="42"/>
  <c r="AK227" i="42"/>
  <c r="AC227" i="42"/>
  <c r="AM227" i="42"/>
  <c r="AE227" i="42"/>
  <c r="AC235" i="42"/>
  <c r="AK235" i="42"/>
  <c r="AK231" i="42"/>
  <c r="AC231" i="42"/>
  <c r="AE231" i="42"/>
  <c r="AM231" i="42"/>
  <c r="AK111" i="42"/>
  <c r="AC111" i="42"/>
  <c r="AE111" i="42"/>
  <c r="AM111" i="42"/>
  <c r="AK142" i="42"/>
  <c r="AC142" i="42"/>
  <c r="AM142" i="42"/>
  <c r="AE142" i="42"/>
  <c r="AK73" i="42"/>
  <c r="AC73" i="42"/>
  <c r="AE73" i="42"/>
  <c r="AM73" i="42"/>
  <c r="AK88" i="42"/>
  <c r="AC88" i="42"/>
  <c r="AE88" i="42"/>
  <c r="AM88" i="42"/>
  <c r="AK74" i="42"/>
  <c r="AC74" i="42"/>
  <c r="AM74" i="42"/>
  <c r="AE74" i="42"/>
  <c r="AK40" i="42"/>
  <c r="AC40" i="42"/>
  <c r="AE40" i="42"/>
  <c r="AM40" i="42"/>
  <c r="AK157" i="42"/>
  <c r="AC157" i="42"/>
  <c r="AE157" i="42"/>
  <c r="AM157" i="42"/>
  <c r="AK233" i="42"/>
  <c r="AC233" i="42"/>
  <c r="AE233" i="42"/>
  <c r="AM233" i="42"/>
  <c r="AM221" i="42"/>
  <c r="AK221" i="42"/>
  <c r="AC221" i="42"/>
  <c r="AE221" i="42"/>
  <c r="AK107" i="42"/>
  <c r="AM107" i="42"/>
  <c r="AC107" i="42"/>
  <c r="AE107" i="42"/>
  <c r="AK134" i="42"/>
  <c r="AM134" i="42"/>
  <c r="AC134" i="42"/>
  <c r="AE134" i="42"/>
  <c r="AK69" i="42"/>
  <c r="AC69" i="42"/>
  <c r="AE69" i="42"/>
  <c r="AM69" i="42"/>
  <c r="AK84" i="42"/>
  <c r="AM84" i="42"/>
  <c r="AC84" i="42"/>
  <c r="AE84" i="42"/>
  <c r="AK70" i="42"/>
  <c r="AC70" i="42"/>
  <c r="AE70" i="42"/>
  <c r="AM70" i="42"/>
  <c r="AK38" i="42"/>
  <c r="AC38" i="42"/>
  <c r="AM38" i="42"/>
  <c r="AE38" i="42"/>
  <c r="AK154" i="42"/>
  <c r="AC154" i="42"/>
  <c r="AM154" i="42"/>
  <c r="AE154" i="42"/>
  <c r="AK146" i="42"/>
  <c r="AC146" i="42"/>
  <c r="AE146" i="42"/>
  <c r="AM146" i="42"/>
  <c r="AK169" i="42"/>
  <c r="AC169" i="42"/>
  <c r="AE169" i="42"/>
  <c r="AM169" i="42"/>
  <c r="AK139" i="42"/>
  <c r="AC139" i="42"/>
  <c r="AE139" i="42"/>
  <c r="AM139" i="42"/>
  <c r="AK126" i="42"/>
  <c r="AM126" i="42"/>
  <c r="AC126" i="42"/>
  <c r="AE126" i="42"/>
  <c r="AK65" i="42"/>
  <c r="AC65" i="42"/>
  <c r="AM65" i="42"/>
  <c r="AE65" i="42"/>
  <c r="AK80" i="42"/>
  <c r="AE80" i="42"/>
  <c r="AC80" i="42"/>
  <c r="AM80" i="42"/>
  <c r="AK66" i="42"/>
  <c r="AC66" i="42"/>
  <c r="AE66" i="42"/>
  <c r="AM66" i="42"/>
  <c r="AK30" i="42"/>
  <c r="AM30" i="42"/>
  <c r="AC30" i="42"/>
  <c r="AE30" i="42"/>
  <c r="AK203" i="42"/>
  <c r="AM203" i="42"/>
  <c r="AC203" i="42"/>
  <c r="AE203" i="42"/>
  <c r="AK223" i="42"/>
  <c r="AC223" i="42"/>
  <c r="AE223" i="42"/>
  <c r="AM223" i="42"/>
  <c r="AK207" i="42"/>
  <c r="AC207" i="42"/>
  <c r="AM207" i="42"/>
  <c r="AE207" i="42"/>
  <c r="AK112" i="42"/>
  <c r="AC112" i="42"/>
  <c r="AM112" i="42"/>
  <c r="AE112" i="42"/>
  <c r="AK93" i="42"/>
  <c r="AC93" i="42"/>
  <c r="AM93" i="42"/>
  <c r="AE93" i="42"/>
  <c r="AK49" i="42"/>
  <c r="AC49" i="42"/>
  <c r="AE49" i="42"/>
  <c r="AM49" i="42"/>
  <c r="AK94" i="42"/>
  <c r="AC94" i="42"/>
  <c r="AM94" i="42"/>
  <c r="AE94" i="42"/>
  <c r="AK24" i="42"/>
  <c r="AC24" i="42"/>
  <c r="AE24" i="42"/>
  <c r="AM24" i="42"/>
  <c r="AK12" i="42"/>
  <c r="AC12" i="42"/>
  <c r="AE12" i="42"/>
  <c r="AM12" i="42"/>
  <c r="AE235" i="42"/>
  <c r="AK47" i="42"/>
  <c r="AC47" i="42"/>
  <c r="AE47" i="42"/>
  <c r="AM47" i="42"/>
  <c r="AM68" i="42"/>
  <c r="AK67" i="42"/>
  <c r="AM67" i="42"/>
  <c r="AC67" i="42"/>
  <c r="AE67" i="42"/>
  <c r="AK299" i="42"/>
  <c r="AC299" i="42"/>
  <c r="AE299" i="42"/>
  <c r="AM299" i="42"/>
  <c r="AK257" i="42"/>
  <c r="AC257" i="42"/>
  <c r="AM257" i="42"/>
  <c r="AE257" i="42"/>
  <c r="AK251" i="42"/>
  <c r="AC251" i="42"/>
  <c r="AM251" i="42"/>
  <c r="AE251" i="42"/>
  <c r="AK281" i="42"/>
  <c r="AC281" i="42"/>
  <c r="AE281" i="42"/>
  <c r="AM281" i="42"/>
  <c r="AK212" i="42"/>
  <c r="AC212" i="42"/>
  <c r="AE212" i="42"/>
  <c r="AM212" i="42"/>
  <c r="AK13" i="42"/>
  <c r="AM13" i="42"/>
  <c r="AC13" i="42"/>
  <c r="AE13" i="42"/>
  <c r="AK273" i="42"/>
  <c r="AC273" i="42"/>
  <c r="AE273" i="42"/>
  <c r="AM273" i="42"/>
  <c r="AK181" i="42"/>
  <c r="AC181" i="42"/>
  <c r="AE181" i="42"/>
  <c r="AM181" i="42"/>
  <c r="AK197" i="42"/>
  <c r="AC197" i="42"/>
  <c r="AM197" i="42"/>
  <c r="AE197" i="42"/>
  <c r="AK127" i="42"/>
  <c r="AC127" i="42"/>
  <c r="AE127" i="42"/>
  <c r="AM127" i="42"/>
  <c r="AM253" i="42"/>
  <c r="AK253" i="42"/>
  <c r="AC253" i="42"/>
  <c r="AE253" i="42"/>
  <c r="AM261" i="42"/>
  <c r="AK261" i="42"/>
  <c r="AC261" i="42"/>
  <c r="AE261" i="42"/>
  <c r="AK218" i="42"/>
  <c r="AC218" i="42"/>
  <c r="AE218" i="42"/>
  <c r="AM218" i="42"/>
  <c r="AK283" i="42"/>
  <c r="AC283" i="42"/>
  <c r="AE283" i="42"/>
  <c r="AM283" i="42"/>
  <c r="AK162" i="42"/>
  <c r="AC162" i="42"/>
  <c r="AE162" i="42"/>
  <c r="AM162" i="42"/>
  <c r="AM205" i="42"/>
  <c r="AK205" i="42"/>
  <c r="AC205" i="42"/>
  <c r="AE205" i="42"/>
  <c r="AK179" i="42"/>
  <c r="AM179" i="42"/>
  <c r="AC179" i="42"/>
  <c r="AE179" i="42"/>
  <c r="AK201" i="42"/>
  <c r="AC201" i="42"/>
  <c r="AE201" i="42"/>
  <c r="AM201" i="42"/>
  <c r="AK183" i="42"/>
  <c r="AC183" i="42"/>
  <c r="AE183" i="42"/>
  <c r="AM183" i="42"/>
  <c r="AK136" i="42"/>
  <c r="AC136" i="42"/>
  <c r="AE136" i="42"/>
  <c r="AM136" i="42"/>
  <c r="AK132" i="42"/>
  <c r="AC132" i="42"/>
  <c r="AE132" i="42"/>
  <c r="AM132" i="42"/>
  <c r="AK41" i="42"/>
  <c r="AC41" i="42"/>
  <c r="AM41" i="42"/>
  <c r="AE41" i="42"/>
  <c r="AK26" i="42"/>
  <c r="AC26" i="42"/>
  <c r="AE26" i="42"/>
  <c r="AM26" i="42"/>
  <c r="AK54" i="42"/>
  <c r="AC54" i="42"/>
  <c r="AE54" i="42"/>
  <c r="AM54" i="42"/>
  <c r="AM237" i="42"/>
  <c r="AK237" i="42"/>
  <c r="AC237" i="42"/>
  <c r="AE237" i="42"/>
  <c r="AK243" i="42"/>
  <c r="AC243" i="42"/>
  <c r="AE243" i="42"/>
  <c r="AM243" i="42"/>
  <c r="AK241" i="42"/>
  <c r="AC241" i="42"/>
  <c r="AE241" i="42"/>
  <c r="AM241" i="42"/>
  <c r="AK115" i="42"/>
  <c r="AM115" i="42"/>
  <c r="AC115" i="42"/>
  <c r="AE115" i="42"/>
  <c r="AK150" i="42"/>
  <c r="AC150" i="42"/>
  <c r="AM150" i="42"/>
  <c r="AE150" i="42"/>
  <c r="AK77" i="42"/>
  <c r="AE77" i="42"/>
  <c r="AC77" i="42"/>
  <c r="AM77" i="42"/>
  <c r="AK92" i="42"/>
  <c r="AC92" i="42"/>
  <c r="AM92" i="42"/>
  <c r="AE92" i="42"/>
  <c r="AK78" i="42"/>
  <c r="AM78" i="42"/>
  <c r="AC78" i="42"/>
  <c r="AE78" i="42"/>
  <c r="AK48" i="42"/>
  <c r="AE48" i="42"/>
  <c r="AC48" i="42"/>
  <c r="AM48" i="42"/>
  <c r="AK151" i="42"/>
  <c r="AC151" i="42"/>
  <c r="AE151" i="42"/>
  <c r="AM151" i="42"/>
  <c r="AK53" i="42"/>
  <c r="AE53" i="42"/>
  <c r="AC53" i="42"/>
  <c r="AM53" i="42"/>
  <c r="AK279" i="42"/>
  <c r="AC279" i="42"/>
  <c r="AM279" i="42"/>
  <c r="AE279" i="42"/>
  <c r="AK250" i="42"/>
  <c r="AC250" i="42"/>
  <c r="AE250" i="42"/>
  <c r="AM250" i="42"/>
  <c r="AK71" i="42"/>
  <c r="AC71" i="42"/>
  <c r="AM71" i="42"/>
  <c r="AE71" i="42"/>
  <c r="AM268" i="42"/>
  <c r="AK268" i="42"/>
  <c r="AC268" i="42"/>
  <c r="AE268" i="42"/>
  <c r="AK263" i="42"/>
  <c r="AC263" i="42"/>
  <c r="AE263" i="42"/>
  <c r="AM263" i="42"/>
  <c r="AK291" i="42"/>
  <c r="AC291" i="42"/>
  <c r="AM291" i="42"/>
  <c r="AE291" i="42"/>
  <c r="AK91" i="42"/>
  <c r="AC91" i="42"/>
  <c r="AM91" i="42"/>
  <c r="AE91" i="42"/>
  <c r="AK87" i="42"/>
  <c r="AC87" i="42"/>
  <c r="AE87" i="42"/>
  <c r="AM87" i="42"/>
  <c r="AK131" i="42"/>
  <c r="AC131" i="42"/>
  <c r="AM131" i="42"/>
  <c r="AE131" i="42"/>
  <c r="AK34" i="42"/>
  <c r="AC34" i="42"/>
  <c r="AE34" i="42"/>
  <c r="AM34" i="42"/>
  <c r="AK147" i="42"/>
  <c r="AM147" i="42"/>
  <c r="AC147" i="42"/>
  <c r="AE147" i="42"/>
  <c r="AK152" i="42"/>
  <c r="AC152" i="42"/>
  <c r="AE152" i="42"/>
  <c r="AM152" i="42"/>
  <c r="AK121" i="42"/>
  <c r="AC121" i="42"/>
  <c r="AE121" i="42"/>
  <c r="AM121" i="42"/>
  <c r="AK148" i="42"/>
  <c r="AM148" i="42"/>
  <c r="AC148" i="42"/>
  <c r="AE148" i="42"/>
  <c r="AK72" i="42"/>
  <c r="AC72" i="42"/>
  <c r="AE72" i="42"/>
  <c r="AM72" i="42"/>
  <c r="AK57" i="42"/>
  <c r="AC57" i="42"/>
  <c r="AE57" i="42"/>
  <c r="AM57" i="42"/>
  <c r="AK14" i="42"/>
  <c r="AE14" i="42"/>
  <c r="AC14" i="42"/>
  <c r="AM14" i="42"/>
  <c r="AK249" i="42"/>
  <c r="AC249" i="42"/>
  <c r="AM249" i="42"/>
  <c r="AE249" i="42"/>
  <c r="AK189" i="42"/>
  <c r="AC189" i="42"/>
  <c r="AE189" i="42"/>
  <c r="AM189" i="42"/>
  <c r="AK138" i="42"/>
  <c r="AC138" i="42"/>
  <c r="AE138" i="42"/>
  <c r="AM138" i="42"/>
  <c r="AK123" i="42"/>
  <c r="AC123" i="42"/>
  <c r="AE123" i="42"/>
  <c r="AM123" i="42"/>
  <c r="AK60" i="42"/>
  <c r="AC60" i="42"/>
  <c r="AE60" i="42"/>
  <c r="AM60" i="42"/>
  <c r="AK85" i="42"/>
  <c r="AC85" i="42"/>
  <c r="AE85" i="42"/>
  <c r="AM85" i="42"/>
  <c r="AK100" i="42"/>
  <c r="AM100" i="42"/>
  <c r="AC100" i="42"/>
  <c r="AE100" i="42"/>
  <c r="AK86" i="42"/>
  <c r="AC86" i="42"/>
  <c r="AE86" i="42"/>
  <c r="AM86" i="42"/>
  <c r="AK8" i="42"/>
  <c r="AC8" i="42"/>
  <c r="AE8" i="42"/>
  <c r="AM8" i="42"/>
  <c r="AK165" i="42"/>
  <c r="AC165" i="42"/>
  <c r="AM165" i="42"/>
  <c r="AE165" i="42"/>
  <c r="AK163" i="42"/>
  <c r="AM163" i="42"/>
  <c r="AC163" i="42"/>
  <c r="AE163" i="42"/>
  <c r="AK185" i="42"/>
  <c r="AC185" i="42"/>
  <c r="AE185" i="42"/>
  <c r="AM185" i="42"/>
  <c r="AK167" i="42"/>
  <c r="AC167" i="42"/>
  <c r="AE167" i="42"/>
  <c r="AM167" i="42"/>
  <c r="AK124" i="42"/>
  <c r="AC124" i="42"/>
  <c r="AM124" i="42"/>
  <c r="AE124" i="42"/>
  <c r="AK105" i="42"/>
  <c r="AC105" i="42"/>
  <c r="AE105" i="42"/>
  <c r="AM105" i="42"/>
  <c r="AK118" i="42"/>
  <c r="AC118" i="42"/>
  <c r="AE118" i="42"/>
  <c r="AM118" i="42"/>
  <c r="AK106" i="42"/>
  <c r="AC106" i="42"/>
  <c r="AM106" i="42"/>
  <c r="AE106" i="42"/>
  <c r="AK50" i="42"/>
  <c r="AC50" i="42"/>
  <c r="AE50" i="42"/>
  <c r="AM50" i="42"/>
  <c r="AK36" i="42"/>
  <c r="AE36" i="42"/>
  <c r="AC36" i="42"/>
  <c r="AM36" i="42"/>
  <c r="AK219" i="42"/>
  <c r="AC219" i="42"/>
  <c r="AE219" i="42"/>
  <c r="AM219" i="42"/>
  <c r="AK177" i="42"/>
  <c r="AC177" i="42"/>
  <c r="AE177" i="42"/>
  <c r="AM177" i="42"/>
  <c r="AK159" i="42"/>
  <c r="AC159" i="42"/>
  <c r="AE159" i="42"/>
  <c r="AM159" i="42"/>
  <c r="AK101" i="42"/>
  <c r="AC101" i="42"/>
  <c r="AE101" i="42"/>
  <c r="AM101" i="42"/>
  <c r="AK114" i="42"/>
  <c r="AC114" i="42"/>
  <c r="AE114" i="42"/>
  <c r="AM114" i="42"/>
  <c r="AK102" i="42"/>
  <c r="AC102" i="42"/>
  <c r="AE102" i="42"/>
  <c r="AM102" i="42"/>
  <c r="AK42" i="42"/>
  <c r="AC42" i="42"/>
  <c r="AM42" i="42"/>
  <c r="AE42" i="42"/>
  <c r="AK28" i="42"/>
  <c r="AE28" i="42"/>
  <c r="AC28" i="42"/>
  <c r="AM28" i="42"/>
  <c r="AK211" i="42"/>
  <c r="AC211" i="42"/>
  <c r="AM211" i="42"/>
  <c r="AE211" i="42"/>
  <c r="AK225" i="42"/>
  <c r="AC225" i="42"/>
  <c r="AE225" i="42"/>
  <c r="AM225" i="42"/>
  <c r="AK215" i="42"/>
  <c r="AC215" i="42"/>
  <c r="AE215" i="42"/>
  <c r="AM215" i="42"/>
  <c r="AK116" i="42"/>
  <c r="AC116" i="42"/>
  <c r="AE116" i="42"/>
  <c r="AM116" i="42"/>
  <c r="AK97" i="42"/>
  <c r="AC97" i="42"/>
  <c r="AE97" i="42"/>
  <c r="AM97" i="42"/>
  <c r="AK110" i="42"/>
  <c r="AC110" i="42"/>
  <c r="AE110" i="42"/>
  <c r="AM110" i="42"/>
  <c r="AK98" i="42"/>
  <c r="AC98" i="42"/>
  <c r="AE98" i="42"/>
  <c r="AM98" i="42"/>
  <c r="AK32" i="42"/>
  <c r="AC32" i="42"/>
  <c r="AE32" i="42"/>
  <c r="AM32" i="42"/>
  <c r="AK20" i="42"/>
  <c r="AM20" i="42"/>
  <c r="AC20" i="42"/>
  <c r="AE20" i="42"/>
  <c r="AK161" i="42"/>
  <c r="AC161" i="42"/>
  <c r="AM161" i="42"/>
  <c r="AE161" i="42"/>
  <c r="AK130" i="42"/>
  <c r="AC130" i="42"/>
  <c r="AE130" i="42"/>
  <c r="AM130" i="42"/>
  <c r="AK125" i="42"/>
  <c r="AM125" i="42"/>
  <c r="AC125" i="42"/>
  <c r="AE125" i="42"/>
  <c r="AK44" i="42"/>
  <c r="AE44" i="42"/>
  <c r="AC44" i="42"/>
  <c r="AM44" i="42"/>
  <c r="AK76" i="42"/>
  <c r="AC76" i="42"/>
  <c r="AE76" i="42"/>
  <c r="AM76" i="42"/>
  <c r="AK22" i="42"/>
  <c r="AC22" i="42"/>
  <c r="AM22" i="42"/>
  <c r="AE22" i="42"/>
  <c r="AK200" i="42"/>
  <c r="AC200" i="42"/>
  <c r="AE200" i="42"/>
  <c r="AM200" i="42"/>
  <c r="AK170" i="42"/>
  <c r="AC170" i="42"/>
  <c r="AM170" i="42"/>
  <c r="AE170" i="42"/>
  <c r="AK238" i="42"/>
  <c r="AC238" i="42"/>
  <c r="AE238" i="42"/>
  <c r="AM238" i="42"/>
  <c r="AK244" i="42"/>
  <c r="AC244" i="42"/>
  <c r="AM244" i="42"/>
  <c r="AE244" i="42"/>
  <c r="AK186" i="42"/>
  <c r="AC186" i="42"/>
  <c r="AE186" i="42"/>
  <c r="AM186" i="42"/>
  <c r="AK236" i="42"/>
  <c r="AC236" i="42"/>
  <c r="AE236" i="42"/>
  <c r="AM236" i="42"/>
  <c r="AK259" i="42"/>
  <c r="AC259" i="42"/>
  <c r="AE259" i="42"/>
  <c r="AM259" i="42"/>
  <c r="AK178" i="42"/>
  <c r="AC178" i="42"/>
  <c r="AE178" i="42"/>
  <c r="AM178" i="42"/>
  <c r="AK265" i="42"/>
  <c r="AC265" i="42"/>
  <c r="AM265" i="42"/>
  <c r="AE265" i="42"/>
  <c r="AK99" i="42"/>
  <c r="AC99" i="42"/>
  <c r="AM99" i="42"/>
  <c r="AE99" i="42"/>
  <c r="AK287" i="42"/>
  <c r="AC287" i="42"/>
  <c r="AE287" i="42"/>
  <c r="AM287" i="42"/>
  <c r="AM245" i="42"/>
  <c r="AK245" i="42"/>
  <c r="AC245" i="42"/>
  <c r="AE245" i="42"/>
  <c r="AK247" i="42"/>
  <c r="AC247" i="42"/>
  <c r="AE247" i="42"/>
  <c r="AM247" i="42"/>
  <c r="AK135" i="42"/>
  <c r="AC135" i="42"/>
  <c r="AE135" i="42"/>
  <c r="AM135" i="42"/>
  <c r="AK119" i="42"/>
  <c r="AC119" i="42"/>
  <c r="AE119" i="42"/>
  <c r="AM119" i="42"/>
  <c r="AK18" i="42"/>
  <c r="AC18" i="42"/>
  <c r="AE18" i="42"/>
  <c r="AM18" i="42"/>
  <c r="AK81" i="42"/>
  <c r="AC81" i="42"/>
  <c r="AM81" i="42"/>
  <c r="AE81" i="42"/>
  <c r="AK96" i="42"/>
  <c r="AC96" i="42"/>
  <c r="AM96" i="42"/>
  <c r="AE96" i="42"/>
  <c r="AK82" i="42"/>
  <c r="AC82" i="42"/>
  <c r="AM82" i="42"/>
  <c r="AE82" i="42"/>
  <c r="AK56" i="42"/>
  <c r="AE56" i="42"/>
  <c r="AC56" i="42"/>
  <c r="AM56" i="42"/>
  <c r="AK173" i="42"/>
  <c r="AC173" i="42"/>
  <c r="AE173" i="42"/>
  <c r="AM173" i="42"/>
  <c r="AK171" i="42"/>
  <c r="AM171" i="42"/>
  <c r="AC171" i="42"/>
  <c r="AE171" i="42"/>
  <c r="AK193" i="42"/>
  <c r="AC193" i="42"/>
  <c r="AE193" i="42"/>
  <c r="AM193" i="42"/>
  <c r="AK128" i="42"/>
  <c r="AC128" i="42"/>
  <c r="AE128" i="42"/>
  <c r="AM128" i="42"/>
  <c r="AK109" i="42"/>
  <c r="AC109" i="42"/>
  <c r="AM109" i="42"/>
  <c r="AE109" i="42"/>
  <c r="AK122" i="42"/>
  <c r="AC122" i="42"/>
  <c r="AE122" i="42"/>
  <c r="AM122" i="42"/>
  <c r="AK10" i="42"/>
  <c r="AC10" i="42"/>
  <c r="AE10" i="42"/>
  <c r="AM10" i="42"/>
  <c r="AK58" i="42"/>
  <c r="AC58" i="42"/>
  <c r="AE58" i="42"/>
  <c r="AM58" i="42"/>
  <c r="AK46" i="42"/>
  <c r="AC46" i="42"/>
  <c r="AM46" i="42"/>
  <c r="AE46" i="42"/>
  <c r="AM235" i="42"/>
  <c r="AE68" i="42"/>
  <c r="AK120" i="42"/>
  <c r="AE120" i="42"/>
  <c r="AC120" i="42"/>
  <c r="AM120" i="42"/>
  <c r="AC271" i="42"/>
  <c r="AK271" i="42"/>
  <c r="AM271" i="42"/>
  <c r="AE271" i="42"/>
  <c r="AC175" i="42"/>
  <c r="AK175" i="42"/>
  <c r="AE175" i="42"/>
  <c r="AM175" i="42"/>
  <c r="AK143" i="42"/>
  <c r="AC143" i="42"/>
  <c r="AE143" i="42"/>
  <c r="AM143" i="42"/>
  <c r="AK113" i="42"/>
  <c r="AC113" i="42"/>
  <c r="AM113" i="42"/>
  <c r="AE113" i="42"/>
  <c r="AD6" i="42"/>
  <c r="M7" i="42"/>
  <c r="M8" i="42"/>
  <c r="M9" i="42"/>
  <c r="M10" i="42"/>
  <c r="M11" i="42"/>
  <c r="M12" i="42"/>
  <c r="M13" i="42"/>
  <c r="M14" i="42"/>
  <c r="M15" i="42"/>
  <c r="M16" i="42"/>
  <c r="M17" i="42"/>
  <c r="M18" i="42"/>
  <c r="M19" i="42"/>
  <c r="M20" i="42"/>
  <c r="M21" i="42"/>
  <c r="M22" i="42"/>
  <c r="M23" i="42"/>
  <c r="M24" i="42"/>
  <c r="M25" i="42"/>
  <c r="M26" i="42"/>
  <c r="M27" i="42"/>
  <c r="M28" i="42"/>
  <c r="M29" i="42"/>
  <c r="M30" i="42"/>
  <c r="M31" i="42"/>
  <c r="M32" i="42"/>
  <c r="M33" i="42"/>
  <c r="M34" i="42"/>
  <c r="M35" i="42"/>
  <c r="M36" i="42"/>
  <c r="M37" i="42"/>
  <c r="M38" i="42"/>
  <c r="M39" i="42"/>
  <c r="M40" i="42"/>
  <c r="M41" i="42"/>
  <c r="M42" i="42"/>
  <c r="M43" i="42"/>
  <c r="M44" i="42"/>
  <c r="M45" i="42"/>
  <c r="M46" i="42"/>
  <c r="M47" i="42"/>
  <c r="M48" i="42"/>
  <c r="M49" i="42"/>
  <c r="M50" i="42"/>
  <c r="M51" i="42"/>
  <c r="M52" i="42"/>
  <c r="M53" i="42"/>
  <c r="M54" i="42"/>
  <c r="M55" i="42"/>
  <c r="M56" i="42"/>
  <c r="M57" i="42"/>
  <c r="M58" i="42"/>
  <c r="M59" i="42"/>
  <c r="M60" i="42"/>
  <c r="M61" i="42"/>
  <c r="M62" i="42"/>
  <c r="M63" i="42"/>
  <c r="M64" i="42"/>
  <c r="M65" i="42"/>
  <c r="M66" i="42"/>
  <c r="M67" i="42"/>
  <c r="M69" i="42"/>
  <c r="M70" i="42"/>
  <c r="M71" i="42"/>
  <c r="M72" i="42"/>
  <c r="M73" i="42"/>
  <c r="M74" i="42"/>
  <c r="M75" i="42"/>
  <c r="M76" i="42"/>
  <c r="M77" i="42"/>
  <c r="M78" i="42"/>
  <c r="M79" i="42"/>
  <c r="M80" i="42"/>
  <c r="M81" i="42"/>
  <c r="M82" i="42"/>
  <c r="M83" i="42"/>
  <c r="M84" i="42"/>
  <c r="M85" i="42"/>
  <c r="M86" i="42"/>
  <c r="M87" i="42"/>
  <c r="M88" i="42"/>
  <c r="M89" i="42"/>
  <c r="M90" i="42"/>
  <c r="M91" i="42"/>
  <c r="M92" i="42"/>
  <c r="M93" i="42"/>
  <c r="M94" i="42"/>
  <c r="M95" i="42"/>
  <c r="M96" i="42"/>
  <c r="M97" i="42"/>
  <c r="M98" i="42"/>
  <c r="M99" i="42"/>
  <c r="M100" i="42"/>
  <c r="M101" i="42"/>
  <c r="M102" i="42"/>
  <c r="M103" i="42"/>
  <c r="M104" i="42"/>
  <c r="M105" i="42"/>
  <c r="M106" i="42"/>
  <c r="M107" i="42"/>
  <c r="M108" i="42"/>
  <c r="M109" i="42"/>
  <c r="M110" i="42"/>
  <c r="M111" i="42"/>
  <c r="M112" i="42"/>
  <c r="M113" i="42"/>
  <c r="M114" i="42"/>
  <c r="M115" i="42"/>
  <c r="M116" i="42"/>
  <c r="M117" i="42"/>
  <c r="M118" i="42"/>
  <c r="M119" i="42"/>
  <c r="M120" i="42"/>
  <c r="M121" i="42"/>
  <c r="M122" i="42"/>
  <c r="M123" i="42"/>
  <c r="M124" i="42"/>
  <c r="M125" i="42"/>
  <c r="M126" i="42"/>
  <c r="M127" i="42"/>
  <c r="M128" i="42"/>
  <c r="M129" i="42"/>
  <c r="M130" i="42"/>
  <c r="M131" i="42"/>
  <c r="M132" i="42"/>
  <c r="M133" i="42"/>
  <c r="M134" i="42"/>
  <c r="M135" i="42"/>
  <c r="M136" i="42"/>
  <c r="M137" i="42"/>
  <c r="M138" i="42"/>
  <c r="M139" i="42"/>
  <c r="M140" i="42"/>
  <c r="M141" i="42"/>
  <c r="M142" i="42"/>
  <c r="M143" i="42"/>
  <c r="M144" i="42"/>
  <c r="M145" i="42"/>
  <c r="M146" i="42"/>
  <c r="M147" i="42"/>
  <c r="M148" i="42"/>
  <c r="M149" i="42"/>
  <c r="M150" i="42"/>
  <c r="M151" i="42"/>
  <c r="M152" i="42"/>
  <c r="M153" i="42"/>
  <c r="M154" i="42"/>
  <c r="M156" i="42"/>
  <c r="M157" i="42"/>
  <c r="M158" i="42"/>
  <c r="M159" i="42"/>
  <c r="M160" i="42"/>
  <c r="M161" i="42"/>
  <c r="M162" i="42"/>
  <c r="M163" i="42"/>
  <c r="M164" i="42"/>
  <c r="M165" i="42"/>
  <c r="M166" i="42"/>
  <c r="M167" i="42"/>
  <c r="M168" i="42"/>
  <c r="M169" i="42"/>
  <c r="M170" i="42"/>
  <c r="M171" i="42"/>
  <c r="M172" i="42"/>
  <c r="M173" i="42"/>
  <c r="M174" i="42"/>
  <c r="M175" i="42"/>
  <c r="M176" i="42"/>
  <c r="M177" i="42"/>
  <c r="M178" i="42"/>
  <c r="M179" i="42"/>
  <c r="M180" i="42"/>
  <c r="M181" i="42"/>
  <c r="M182" i="42"/>
  <c r="M183" i="42"/>
  <c r="M184" i="42"/>
  <c r="M185" i="42"/>
  <c r="M186" i="42"/>
  <c r="M187" i="42"/>
  <c r="M188" i="42"/>
  <c r="M189" i="42"/>
  <c r="M190" i="42"/>
  <c r="M191" i="42"/>
  <c r="M192" i="42"/>
  <c r="M193" i="42"/>
  <c r="M194" i="42"/>
  <c r="M195" i="42"/>
  <c r="M196" i="42"/>
  <c r="M197" i="42"/>
  <c r="M198" i="42"/>
  <c r="M199" i="42"/>
  <c r="M200" i="42"/>
  <c r="M201" i="42"/>
  <c r="M202" i="42"/>
  <c r="M203" i="42"/>
  <c r="M204" i="42"/>
  <c r="M205" i="42"/>
  <c r="M206" i="42"/>
  <c r="M207" i="42"/>
  <c r="M208" i="42"/>
  <c r="M209" i="42"/>
  <c r="M210" i="42"/>
  <c r="M211" i="42"/>
  <c r="M212" i="42"/>
  <c r="M213" i="42"/>
  <c r="M214" i="42"/>
  <c r="M215" i="42"/>
  <c r="M216" i="42"/>
  <c r="M217" i="42"/>
  <c r="M218" i="42"/>
  <c r="M219" i="42"/>
  <c r="M220" i="42"/>
  <c r="M221" i="42"/>
  <c r="M222" i="42"/>
  <c r="M223" i="42"/>
  <c r="M224" i="42"/>
  <c r="M225" i="42"/>
  <c r="M226" i="42"/>
  <c r="M227" i="42"/>
  <c r="M229" i="42"/>
  <c r="M230" i="42"/>
  <c r="M231" i="42"/>
  <c r="M232" i="42"/>
  <c r="M233" i="42"/>
  <c r="M234" i="42"/>
  <c r="M236" i="42"/>
  <c r="M237" i="42"/>
  <c r="M238" i="42"/>
  <c r="M239" i="42"/>
  <c r="M240" i="42"/>
  <c r="M241" i="42"/>
  <c r="M242" i="42"/>
  <c r="M243" i="42"/>
  <c r="M244" i="42"/>
  <c r="M245" i="42"/>
  <c r="M246" i="42"/>
  <c r="M247" i="42"/>
  <c r="M248" i="42"/>
  <c r="M249" i="42"/>
  <c r="M250" i="42"/>
  <c r="M251" i="42"/>
  <c r="M252" i="42"/>
  <c r="M253" i="42"/>
  <c r="M254" i="42"/>
  <c r="M255" i="42"/>
  <c r="M256" i="42"/>
  <c r="M257" i="42"/>
  <c r="M258" i="42"/>
  <c r="M259" i="42"/>
  <c r="M260" i="42"/>
  <c r="M261" i="42"/>
  <c r="M262" i="42"/>
  <c r="M263" i="42"/>
  <c r="M264" i="42"/>
  <c r="T264" i="42" s="1"/>
  <c r="M265" i="42"/>
  <c r="T265" i="42" s="1"/>
  <c r="M266" i="42"/>
  <c r="T266" i="42" s="1"/>
  <c r="M267" i="42"/>
  <c r="M268" i="42"/>
  <c r="M269" i="42"/>
  <c r="M270" i="42"/>
  <c r="M271" i="42"/>
  <c r="M272" i="42"/>
  <c r="M273" i="42"/>
  <c r="M274" i="42"/>
  <c r="M276" i="42"/>
  <c r="M277" i="42"/>
  <c r="M278" i="42"/>
  <c r="M279" i="42"/>
  <c r="M280" i="42"/>
  <c r="M281" i="42"/>
  <c r="M282" i="42"/>
  <c r="M283" i="42"/>
  <c r="M284" i="42"/>
  <c r="M285" i="42"/>
  <c r="M286" i="42"/>
  <c r="M287" i="42"/>
  <c r="M288" i="42"/>
  <c r="M289" i="42"/>
  <c r="M290" i="42"/>
  <c r="M291" i="42"/>
  <c r="M292" i="42"/>
  <c r="M293" i="42"/>
  <c r="M294" i="42"/>
  <c r="M295" i="42"/>
  <c r="M296" i="42"/>
  <c r="M297" i="42"/>
  <c r="M298" i="42"/>
  <c r="M299" i="42"/>
  <c r="M300" i="42"/>
  <c r="M301" i="42"/>
  <c r="M302" i="42"/>
  <c r="M303" i="42"/>
  <c r="M304" i="42"/>
  <c r="M305" i="42"/>
  <c r="B33" i="40"/>
  <c r="B56" i="40"/>
  <c r="K21" i="11" l="1"/>
  <c r="L21" i="11" s="1"/>
  <c r="F21" i="11"/>
  <c r="G21" i="11" s="1"/>
  <c r="K261" i="11"/>
  <c r="L261" i="11" s="1"/>
  <c r="F261" i="11"/>
  <c r="G261" i="11" s="1"/>
  <c r="F113" i="11"/>
  <c r="G113" i="11" s="1"/>
  <c r="K113" i="11"/>
  <c r="L113" i="11" s="1"/>
  <c r="F143" i="11"/>
  <c r="G143" i="11" s="1"/>
  <c r="K143" i="11"/>
  <c r="L143" i="11" s="1"/>
  <c r="K120" i="11"/>
  <c r="L120" i="11" s="1"/>
  <c r="F120" i="11"/>
  <c r="G120" i="11" s="1"/>
  <c r="F137" i="11"/>
  <c r="G137" i="11" s="1"/>
  <c r="K137" i="11"/>
  <c r="L137" i="11" s="1"/>
  <c r="K175" i="11"/>
  <c r="L175" i="11" s="1"/>
  <c r="F175" i="11"/>
  <c r="G175" i="11" s="1"/>
  <c r="T303" i="42"/>
  <c r="T295" i="42"/>
  <c r="T287" i="42"/>
  <c r="T279" i="42"/>
  <c r="T270" i="42"/>
  <c r="T262" i="42"/>
  <c r="T254" i="42"/>
  <c r="T246" i="42"/>
  <c r="T238" i="42"/>
  <c r="T229" i="42"/>
  <c r="T220" i="42"/>
  <c r="T212" i="42"/>
  <c r="T204" i="42"/>
  <c r="T196" i="42"/>
  <c r="T188" i="42"/>
  <c r="T180" i="42"/>
  <c r="T172" i="42"/>
  <c r="T164" i="42"/>
  <c r="T156" i="42"/>
  <c r="T147" i="42"/>
  <c r="T139" i="42"/>
  <c r="T131" i="42"/>
  <c r="T123" i="42"/>
  <c r="T115" i="42"/>
  <c r="T107" i="42"/>
  <c r="T99" i="42"/>
  <c r="T91" i="42"/>
  <c r="T83" i="42"/>
  <c r="T75" i="42"/>
  <c r="T66" i="42"/>
  <c r="T58" i="42"/>
  <c r="T50" i="42"/>
  <c r="T42" i="42"/>
  <c r="T34" i="42"/>
  <c r="T26" i="42"/>
  <c r="T18" i="42"/>
  <c r="T10" i="42"/>
  <c r="T294" i="42"/>
  <c r="T278" i="42"/>
  <c r="T261" i="42"/>
  <c r="T253" i="42"/>
  <c r="T245" i="42"/>
  <c r="T237" i="42"/>
  <c r="T227" i="42"/>
  <c r="T219" i="42"/>
  <c r="T211" i="42"/>
  <c r="T203" i="42"/>
  <c r="T195" i="42"/>
  <c r="T187" i="42"/>
  <c r="T179" i="42"/>
  <c r="T171" i="42"/>
  <c r="T163" i="42"/>
  <c r="T154" i="42"/>
  <c r="T146" i="42"/>
  <c r="T138" i="42"/>
  <c r="T130" i="42"/>
  <c r="T122" i="42"/>
  <c r="T114" i="42"/>
  <c r="T106" i="42"/>
  <c r="T98" i="42"/>
  <c r="T90" i="42"/>
  <c r="T82" i="42"/>
  <c r="T74" i="42"/>
  <c r="T65" i="42"/>
  <c r="T57" i="42"/>
  <c r="T49" i="42"/>
  <c r="T41" i="42"/>
  <c r="T33" i="42"/>
  <c r="T25" i="42"/>
  <c r="T17" i="42"/>
  <c r="T9" i="42"/>
  <c r="T302" i="42"/>
  <c r="T286" i="42"/>
  <c r="T269" i="42"/>
  <c r="T301" i="42"/>
  <c r="T293" i="42"/>
  <c r="T285" i="42"/>
  <c r="T277" i="42"/>
  <c r="T268" i="42"/>
  <c r="T260" i="42"/>
  <c r="T252" i="42"/>
  <c r="T244" i="42"/>
  <c r="T236" i="42"/>
  <c r="T226" i="42"/>
  <c r="T218" i="42"/>
  <c r="T210" i="42"/>
  <c r="T202" i="42"/>
  <c r="T194" i="42"/>
  <c r="T186" i="42"/>
  <c r="T178" i="42"/>
  <c r="T170" i="42"/>
  <c r="T162" i="42"/>
  <c r="T153" i="42"/>
  <c r="T145" i="42"/>
  <c r="T137" i="42"/>
  <c r="T129" i="42"/>
  <c r="T121" i="42"/>
  <c r="T113" i="42"/>
  <c r="T105" i="42"/>
  <c r="T97" i="42"/>
  <c r="T89" i="42"/>
  <c r="T81" i="42"/>
  <c r="T73" i="42"/>
  <c r="T64" i="42"/>
  <c r="T56" i="42"/>
  <c r="T48" i="42"/>
  <c r="T40" i="42"/>
  <c r="T32" i="42"/>
  <c r="T24" i="42"/>
  <c r="T16" i="42"/>
  <c r="T8" i="42"/>
  <c r="T300" i="42"/>
  <c r="T292" i="42"/>
  <c r="T284" i="42"/>
  <c r="T276" i="42"/>
  <c r="T267" i="42"/>
  <c r="T259" i="42"/>
  <c r="T251" i="42"/>
  <c r="T243" i="42"/>
  <c r="T234" i="42"/>
  <c r="T225" i="42"/>
  <c r="T217" i="42"/>
  <c r="T209" i="42"/>
  <c r="T201" i="42"/>
  <c r="T193" i="42"/>
  <c r="T185" i="42"/>
  <c r="T177" i="42"/>
  <c r="T169" i="42"/>
  <c r="T161" i="42"/>
  <c r="T152" i="42"/>
  <c r="T144" i="42"/>
  <c r="T136" i="42"/>
  <c r="T128" i="42"/>
  <c r="T120" i="42"/>
  <c r="T112" i="42"/>
  <c r="T104" i="42"/>
  <c r="T96" i="42"/>
  <c r="T88" i="42"/>
  <c r="T80" i="42"/>
  <c r="T72" i="42"/>
  <c r="T63" i="42"/>
  <c r="T55" i="42"/>
  <c r="T47" i="42"/>
  <c r="T39" i="42"/>
  <c r="T31" i="42"/>
  <c r="T23" i="42"/>
  <c r="T15" i="42"/>
  <c r="T7" i="42"/>
  <c r="T299" i="42"/>
  <c r="T291" i="42"/>
  <c r="T283" i="42"/>
  <c r="T274" i="42"/>
  <c r="T258" i="42"/>
  <c r="T250" i="42"/>
  <c r="T242" i="42"/>
  <c r="T233" i="42"/>
  <c r="T224" i="42"/>
  <c r="T216" i="42"/>
  <c r="T208" i="42"/>
  <c r="T200" i="42"/>
  <c r="T192" i="42"/>
  <c r="T184" i="42"/>
  <c r="T176" i="42"/>
  <c r="T168" i="42"/>
  <c r="T160" i="42"/>
  <c r="T151" i="42"/>
  <c r="T143" i="42"/>
  <c r="T135" i="42"/>
  <c r="T127" i="42"/>
  <c r="T119" i="42"/>
  <c r="T111" i="42"/>
  <c r="T103" i="42"/>
  <c r="T95" i="42"/>
  <c r="T87" i="42"/>
  <c r="T79" i="42"/>
  <c r="T71" i="42"/>
  <c r="T62" i="42"/>
  <c r="T54" i="42"/>
  <c r="T46" i="42"/>
  <c r="T38" i="42"/>
  <c r="T30" i="42"/>
  <c r="T22" i="42"/>
  <c r="T14" i="42"/>
  <c r="T290" i="42"/>
  <c r="T249" i="42"/>
  <c r="T241" i="42"/>
  <c r="T232" i="42"/>
  <c r="T223" i="42"/>
  <c r="T215" i="42"/>
  <c r="T207" i="42"/>
  <c r="T199" i="42"/>
  <c r="T191" i="42"/>
  <c r="T183" i="42"/>
  <c r="T175" i="42"/>
  <c r="T167" i="42"/>
  <c r="T159" i="42"/>
  <c r="T150" i="42"/>
  <c r="T142" i="42"/>
  <c r="T134" i="42"/>
  <c r="T126" i="42"/>
  <c r="T118" i="42"/>
  <c r="T110" i="42"/>
  <c r="T102" i="42"/>
  <c r="T94" i="42"/>
  <c r="T86" i="42"/>
  <c r="T78" i="42"/>
  <c r="T70" i="42"/>
  <c r="T61" i="42"/>
  <c r="T53" i="42"/>
  <c r="T45" i="42"/>
  <c r="T37" i="42"/>
  <c r="T29" i="42"/>
  <c r="T21" i="42"/>
  <c r="T13" i="42"/>
  <c r="T298" i="42"/>
  <c r="T273" i="42"/>
  <c r="T297" i="42"/>
  <c r="T272" i="42"/>
  <c r="T256" i="42"/>
  <c r="T248" i="42"/>
  <c r="T240" i="42"/>
  <c r="T231" i="42"/>
  <c r="T222" i="42"/>
  <c r="T214" i="42"/>
  <c r="T206" i="42"/>
  <c r="T198" i="42"/>
  <c r="T190" i="42"/>
  <c r="T182" i="42"/>
  <c r="T174" i="42"/>
  <c r="T166" i="42"/>
  <c r="T158" i="42"/>
  <c r="T149" i="42"/>
  <c r="T141" i="42"/>
  <c r="T133" i="42"/>
  <c r="T125" i="42"/>
  <c r="T117" i="42"/>
  <c r="T109" i="42"/>
  <c r="T101" i="42"/>
  <c r="T93" i="42"/>
  <c r="T85" i="42"/>
  <c r="T77" i="42"/>
  <c r="T69" i="42"/>
  <c r="T60" i="42"/>
  <c r="T52" i="42"/>
  <c r="T44" i="42"/>
  <c r="T36" i="42"/>
  <c r="T28" i="42"/>
  <c r="T20" i="42"/>
  <c r="T12" i="42"/>
  <c r="C228" i="19"/>
  <c r="L228" i="19" s="1"/>
  <c r="F228" i="49" s="1"/>
  <c r="G228" i="49" s="1"/>
  <c r="T282" i="42"/>
  <c r="T257" i="42"/>
  <c r="T305" i="42"/>
  <c r="T289" i="42"/>
  <c r="T281" i="42"/>
  <c r="T304" i="42"/>
  <c r="T296" i="42"/>
  <c r="T288" i="42"/>
  <c r="T280" i="42"/>
  <c r="T271" i="42"/>
  <c r="T263" i="42"/>
  <c r="T255" i="42"/>
  <c r="T247" i="42"/>
  <c r="T239" i="42"/>
  <c r="T230" i="42"/>
  <c r="T221" i="42"/>
  <c r="T213" i="42"/>
  <c r="T205" i="42"/>
  <c r="T197" i="42"/>
  <c r="T189" i="42"/>
  <c r="T181" i="42"/>
  <c r="T173" i="42"/>
  <c r="T165" i="42"/>
  <c r="T157" i="42"/>
  <c r="T148" i="42"/>
  <c r="T140" i="42"/>
  <c r="T132" i="42"/>
  <c r="T124" i="42"/>
  <c r="T116" i="42"/>
  <c r="T108" i="42"/>
  <c r="T100" i="42"/>
  <c r="T92" i="42"/>
  <c r="T84" i="42"/>
  <c r="T76" i="42"/>
  <c r="T67" i="42"/>
  <c r="T59" i="42"/>
  <c r="T51" i="42"/>
  <c r="T43" i="42"/>
  <c r="T35" i="42"/>
  <c r="T27" i="42"/>
  <c r="T19" i="42"/>
  <c r="T11" i="42"/>
  <c r="AC275" i="42"/>
  <c r="AK275" i="42"/>
  <c r="AD29" i="42"/>
  <c r="AE29" i="42" s="1"/>
  <c r="AM275" i="42"/>
  <c r="AE275" i="42"/>
  <c r="M228" i="42"/>
  <c r="T228" i="42" s="1"/>
  <c r="A1" i="42"/>
  <c r="E12" i="9"/>
  <c r="E11" i="9"/>
  <c r="D11" i="9"/>
  <c r="D12" i="9"/>
  <c r="P228" i="19" l="1"/>
  <c r="R228" i="19" s="1"/>
  <c r="AK155" i="42"/>
  <c r="AE155" i="42"/>
  <c r="AC155" i="42"/>
  <c r="AM155" i="42"/>
  <c r="D312" i="9"/>
  <c r="F12" i="9"/>
  <c r="E312" i="9"/>
  <c r="C228" i="39" l="1"/>
  <c r="C228" i="12"/>
  <c r="E228" i="12" s="1"/>
  <c r="C228" i="33"/>
  <c r="C234" i="9"/>
  <c r="J228" i="49"/>
  <c r="E227" i="25"/>
  <c r="C228" i="13"/>
  <c r="AK228" i="42"/>
  <c r="AC228" i="42"/>
  <c r="AM228" i="42"/>
  <c r="AE228" i="42"/>
  <c r="F312" i="9"/>
  <c r="C6" i="9" s="1"/>
  <c r="C228" i="11" l="1"/>
  <c r="C234" i="34"/>
  <c r="E228" i="33"/>
  <c r="D228" i="37" s="1"/>
  <c r="AJ306" i="42"/>
  <c r="K228" i="11" l="1"/>
  <c r="L228" i="11" s="1"/>
  <c r="F228" i="11"/>
  <c r="G228" i="11" s="1"/>
  <c r="B6" i="54"/>
  <c r="A6" i="54"/>
  <c r="F59" i="48" l="1"/>
  <c r="E59" i="48"/>
  <c r="D59" i="48"/>
  <c r="B6" i="11"/>
  <c r="C59" i="48" l="1"/>
  <c r="C7" i="34"/>
  <c r="C6" i="34"/>
  <c r="H5" i="39" l="1"/>
  <c r="D5" i="25" l="1"/>
  <c r="B5" i="25"/>
  <c r="A5" i="25"/>
  <c r="B9" i="48" l="1"/>
  <c r="B8" i="48"/>
  <c r="A2" i="25"/>
  <c r="A2" i="49"/>
  <c r="A2" i="13"/>
  <c r="A2" i="39"/>
  <c r="A2" i="12"/>
  <c r="A2" i="34"/>
  <c r="A2" i="11"/>
  <c r="A2" i="37"/>
  <c r="A2" i="36"/>
  <c r="A2" i="9"/>
  <c r="A2" i="33"/>
  <c r="A2" i="19"/>
  <c r="A2" i="42"/>
  <c r="E46" i="40"/>
  <c r="I45" i="40" l="1"/>
  <c r="A56" i="40"/>
  <c r="D5" i="49" l="1"/>
  <c r="Q5" i="19"/>
  <c r="E6" i="49" l="1"/>
  <c r="D6" i="49"/>
  <c r="I6" i="49"/>
  <c r="AR306" i="42"/>
  <c r="J6" i="11" l="1"/>
  <c r="E6" i="11"/>
  <c r="AN306" i="42"/>
  <c r="AH306" i="42"/>
  <c r="AG306" i="42"/>
  <c r="AB306" i="42"/>
  <c r="AF306" i="42"/>
  <c r="D6" i="33"/>
  <c r="AL306" i="42" l="1"/>
  <c r="D306" i="33"/>
  <c r="R5" i="19"/>
  <c r="O6" i="19"/>
  <c r="AD306" i="42" l="1"/>
  <c r="S306" i="42" l="1"/>
  <c r="H306" i="42"/>
  <c r="I306" i="42"/>
  <c r="J306" i="42"/>
  <c r="N306" i="42" l="1"/>
  <c r="J5" i="12" l="1"/>
  <c r="G306" i="42" l="1"/>
  <c r="K306" i="42"/>
  <c r="L306" i="42"/>
  <c r="D306" i="42"/>
  <c r="E306" i="42"/>
  <c r="C306" i="42"/>
  <c r="D6" i="19" l="1"/>
  <c r="H5" i="33"/>
  <c r="I5" i="33"/>
  <c r="J5" i="33"/>
  <c r="K5" i="33"/>
  <c r="H4" i="33"/>
  <c r="I4" i="33"/>
  <c r="J4" i="33"/>
  <c r="K4" i="33"/>
  <c r="F6" i="37" l="1"/>
  <c r="Q6" i="19"/>
  <c r="C5" i="25" s="1"/>
  <c r="U306" i="42" l="1"/>
  <c r="V306" i="42"/>
  <c r="W306" i="42"/>
  <c r="A6" i="11" l="1"/>
  <c r="K6" i="19" l="1"/>
  <c r="N6" i="19"/>
  <c r="G6" i="19"/>
  <c r="F6" i="19"/>
  <c r="M6" i="19"/>
  <c r="E6" i="19"/>
  <c r="L5" i="11" l="1"/>
  <c r="G5" i="11"/>
  <c r="M6" i="42" l="1"/>
  <c r="T6" i="42" l="1"/>
  <c r="C306" i="49"/>
  <c r="B6" i="49"/>
  <c r="A6" i="49"/>
  <c r="B306" i="49" l="1"/>
  <c r="C33" i="40" l="1"/>
  <c r="B6" i="13"/>
  <c r="A6" i="13"/>
  <c r="B6" i="39"/>
  <c r="A6" i="39"/>
  <c r="B6" i="12"/>
  <c r="A6" i="12"/>
  <c r="J306" i="11"/>
  <c r="D12" i="34"/>
  <c r="B12" i="34"/>
  <c r="A12" i="34"/>
  <c r="C6" i="37"/>
  <c r="B6" i="37"/>
  <c r="A6" i="37"/>
  <c r="C9" i="36"/>
  <c r="B9" i="36"/>
  <c r="A9" i="36"/>
  <c r="B12" i="9"/>
  <c r="A12" i="9"/>
  <c r="E14" i="48" l="1"/>
  <c r="D312" i="34"/>
  <c r="B306" i="37"/>
  <c r="C306" i="37"/>
  <c r="C309" i="36"/>
  <c r="B309" i="36"/>
  <c r="B306" i="12"/>
  <c r="B306" i="39"/>
  <c r="B306" i="13"/>
  <c r="B312" i="34"/>
  <c r="F28" i="48" s="1"/>
  <c r="B312" i="9"/>
  <c r="F15" i="48" l="1"/>
  <c r="G4" i="33"/>
  <c r="G5" i="33"/>
  <c r="B6" i="33" l="1"/>
  <c r="A6" i="33"/>
  <c r="B6" i="19"/>
  <c r="A6" i="19"/>
  <c r="R306" i="42"/>
  <c r="Q306" i="42"/>
  <c r="P306" i="42"/>
  <c r="O306" i="42"/>
  <c r="B306" i="42"/>
  <c r="D26" i="58" l="1"/>
  <c r="D19" i="58"/>
  <c r="D39" i="58"/>
  <c r="D33" i="58"/>
  <c r="D17" i="58"/>
  <c r="D14" i="58"/>
  <c r="D40" i="58"/>
  <c r="D22" i="58"/>
  <c r="D24" i="58"/>
  <c r="D25" i="58"/>
  <c r="D18" i="58"/>
  <c r="D34" i="58"/>
  <c r="D15" i="58"/>
  <c r="D16" i="58"/>
  <c r="D32" i="58"/>
  <c r="D13" i="58"/>
  <c r="D27" i="58"/>
  <c r="D23" i="58"/>
  <c r="D11" i="58"/>
  <c r="D38" i="58"/>
  <c r="D12" i="58"/>
  <c r="F9" i="48"/>
  <c r="B306" i="19"/>
  <c r="B306" i="33"/>
  <c r="D20" i="58" l="1"/>
  <c r="D28" i="58"/>
  <c r="D29" i="58" s="1"/>
  <c r="E5" i="37"/>
  <c r="E8" i="36"/>
  <c r="D33" i="40"/>
  <c r="F8" i="36" s="1"/>
  <c r="E33" i="40"/>
  <c r="G8" i="36" s="1"/>
  <c r="F33" i="40"/>
  <c r="H8" i="36" s="1"/>
  <c r="G33" i="40"/>
  <c r="I8" i="36" s="1"/>
  <c r="H33" i="40"/>
  <c r="J8" i="36" s="1"/>
  <c r="D8" i="36"/>
  <c r="K306" i="19" l="1"/>
  <c r="C6" i="19"/>
  <c r="H6" i="19"/>
  <c r="I6" i="19"/>
  <c r="J6" i="19"/>
  <c r="E5" i="36"/>
  <c r="G5" i="36"/>
  <c r="I5" i="36"/>
  <c r="H5" i="36"/>
  <c r="G6" i="36"/>
  <c r="D5" i="36"/>
  <c r="D6" i="36"/>
  <c r="E6" i="36"/>
  <c r="F5" i="36"/>
  <c r="F6" i="36"/>
  <c r="H6" i="36"/>
  <c r="J5" i="36"/>
  <c r="I6" i="36"/>
  <c r="L6" i="19" l="1"/>
  <c r="F6" i="49" s="1"/>
  <c r="G6" i="49" s="1"/>
  <c r="E306" i="11"/>
  <c r="D306" i="49"/>
  <c r="B306" i="11"/>
  <c r="F306" i="19"/>
  <c r="I306" i="19"/>
  <c r="J306" i="19"/>
  <c r="N306" i="19"/>
  <c r="C306" i="19"/>
  <c r="D306" i="19"/>
  <c r="E306" i="19"/>
  <c r="H306" i="19"/>
  <c r="G306" i="19"/>
  <c r="B305" i="25"/>
  <c r="E6" i="13"/>
  <c r="F6" i="13" s="1"/>
  <c r="D9" i="36"/>
  <c r="J9" i="36"/>
  <c r="I9" i="36"/>
  <c r="F9" i="36"/>
  <c r="H9" i="36"/>
  <c r="E9" i="36"/>
  <c r="G9" i="36"/>
  <c r="K9" i="36" l="1"/>
  <c r="L306" i="19"/>
  <c r="P6" i="19"/>
  <c r="O306" i="19"/>
  <c r="I309" i="36"/>
  <c r="E309" i="36"/>
  <c r="J309" i="36"/>
  <c r="H309" i="36"/>
  <c r="F309" i="36"/>
  <c r="D309" i="36"/>
  <c r="G309" i="36"/>
  <c r="K309" i="36" l="1"/>
  <c r="G306" i="49"/>
  <c r="R6" i="19"/>
  <c r="E12" i="34"/>
  <c r="F306" i="49"/>
  <c r="D305" i="25"/>
  <c r="H8" i="49" l="1"/>
  <c r="I8" i="49" s="1"/>
  <c r="H10" i="49"/>
  <c r="I10" i="49" s="1"/>
  <c r="H12" i="49"/>
  <c r="I12" i="49" s="1"/>
  <c r="H14" i="49"/>
  <c r="H16" i="49"/>
  <c r="I16" i="49" s="1"/>
  <c r="H18" i="49"/>
  <c r="I18" i="49" s="1"/>
  <c r="H20" i="49"/>
  <c r="I20" i="49" s="1"/>
  <c r="H22" i="49"/>
  <c r="I22" i="49" s="1"/>
  <c r="H24" i="49"/>
  <c r="I24" i="49" s="1"/>
  <c r="H26" i="49"/>
  <c r="I26" i="49" s="1"/>
  <c r="H28" i="49"/>
  <c r="I28" i="49" s="1"/>
  <c r="H30" i="49"/>
  <c r="I30" i="49" s="1"/>
  <c r="H32" i="49"/>
  <c r="I32" i="49" s="1"/>
  <c r="H34" i="49"/>
  <c r="I34" i="49" s="1"/>
  <c r="H36" i="49"/>
  <c r="I36" i="49" s="1"/>
  <c r="H38" i="49"/>
  <c r="I38" i="49" s="1"/>
  <c r="H40" i="49"/>
  <c r="I40" i="49" s="1"/>
  <c r="H42" i="49"/>
  <c r="I42" i="49" s="1"/>
  <c r="H44" i="49"/>
  <c r="I44" i="49" s="1"/>
  <c r="H46" i="49"/>
  <c r="I46" i="49" s="1"/>
  <c r="H48" i="49"/>
  <c r="I48" i="49" s="1"/>
  <c r="H50" i="49"/>
  <c r="I50" i="49" s="1"/>
  <c r="H52" i="49"/>
  <c r="I52" i="49" s="1"/>
  <c r="H54" i="49"/>
  <c r="I54" i="49" s="1"/>
  <c r="H56" i="49"/>
  <c r="I56" i="49" s="1"/>
  <c r="H58" i="49"/>
  <c r="I58" i="49" s="1"/>
  <c r="H60" i="49"/>
  <c r="I60" i="49" s="1"/>
  <c r="H62" i="49"/>
  <c r="I62" i="49" s="1"/>
  <c r="H64" i="49"/>
  <c r="I64" i="49" s="1"/>
  <c r="H66" i="49"/>
  <c r="I66" i="49" s="1"/>
  <c r="H68" i="49"/>
  <c r="I68" i="49" s="1"/>
  <c r="H70" i="49"/>
  <c r="I70" i="49" s="1"/>
  <c r="H72" i="49"/>
  <c r="I72" i="49" s="1"/>
  <c r="H74" i="49"/>
  <c r="I74" i="49" s="1"/>
  <c r="H76" i="49"/>
  <c r="I76" i="49" s="1"/>
  <c r="H78" i="49"/>
  <c r="I78" i="49" s="1"/>
  <c r="H80" i="49"/>
  <c r="I80" i="49" s="1"/>
  <c r="H82" i="49"/>
  <c r="I82" i="49" s="1"/>
  <c r="H84" i="49"/>
  <c r="I84" i="49" s="1"/>
  <c r="H86" i="49"/>
  <c r="I86" i="49" s="1"/>
  <c r="H88" i="49"/>
  <c r="I88" i="49" s="1"/>
  <c r="H90" i="49"/>
  <c r="I90" i="49" s="1"/>
  <c r="H9" i="49"/>
  <c r="I9" i="49" s="1"/>
  <c r="H21" i="49"/>
  <c r="I21" i="49" s="1"/>
  <c r="H37" i="49"/>
  <c r="I37" i="49" s="1"/>
  <c r="H11" i="49"/>
  <c r="I11" i="49" s="1"/>
  <c r="H27" i="49"/>
  <c r="I27" i="49" s="1"/>
  <c r="H43" i="49"/>
  <c r="I43" i="49" s="1"/>
  <c r="H13" i="49"/>
  <c r="I13" i="49" s="1"/>
  <c r="H33" i="49"/>
  <c r="I33" i="49" s="1"/>
  <c r="H15" i="49"/>
  <c r="I15" i="49" s="1"/>
  <c r="H23" i="49"/>
  <c r="I23" i="49" s="1"/>
  <c r="H39" i="49"/>
  <c r="I39" i="49" s="1"/>
  <c r="H17" i="49"/>
  <c r="I17" i="49" s="1"/>
  <c r="H29" i="49"/>
  <c r="I29" i="49" s="1"/>
  <c r="H45" i="49"/>
  <c r="I45" i="49" s="1"/>
  <c r="H49" i="49"/>
  <c r="I49" i="49" s="1"/>
  <c r="H53" i="49"/>
  <c r="I53" i="49" s="1"/>
  <c r="H57" i="49"/>
  <c r="I57" i="49" s="1"/>
  <c r="H61" i="49"/>
  <c r="I61" i="49" s="1"/>
  <c r="H65" i="49"/>
  <c r="I65" i="49" s="1"/>
  <c r="H69" i="49"/>
  <c r="I69" i="49" s="1"/>
  <c r="H73" i="49"/>
  <c r="I73" i="49" s="1"/>
  <c r="H77" i="49"/>
  <c r="I77" i="49" s="1"/>
  <c r="H81" i="49"/>
  <c r="I81" i="49" s="1"/>
  <c r="H85" i="49"/>
  <c r="I85" i="49" s="1"/>
  <c r="H89" i="49"/>
  <c r="I89" i="49" s="1"/>
  <c r="H19" i="49"/>
  <c r="I19" i="49" s="1"/>
  <c r="H35" i="49"/>
  <c r="I35" i="49" s="1"/>
  <c r="H7" i="49"/>
  <c r="H25" i="49"/>
  <c r="I25" i="49" s="1"/>
  <c r="H41" i="49"/>
  <c r="I41" i="49" s="1"/>
  <c r="H93" i="49"/>
  <c r="I93" i="49" s="1"/>
  <c r="H95" i="49"/>
  <c r="I95" i="49" s="1"/>
  <c r="H97" i="49"/>
  <c r="I97" i="49" s="1"/>
  <c r="H99" i="49"/>
  <c r="I99" i="49" s="1"/>
  <c r="H101" i="49"/>
  <c r="I101" i="49" s="1"/>
  <c r="H103" i="49"/>
  <c r="I103" i="49" s="1"/>
  <c r="H105" i="49"/>
  <c r="I105" i="49" s="1"/>
  <c r="H107" i="49"/>
  <c r="I107" i="49" s="1"/>
  <c r="H109" i="49"/>
  <c r="I109" i="49" s="1"/>
  <c r="H111" i="49"/>
  <c r="H113" i="49"/>
  <c r="H115" i="49"/>
  <c r="H117" i="49"/>
  <c r="I117" i="49" s="1"/>
  <c r="H119" i="49"/>
  <c r="I119" i="49" s="1"/>
  <c r="H121" i="49"/>
  <c r="H123" i="49"/>
  <c r="H125" i="49"/>
  <c r="H127" i="49"/>
  <c r="I127" i="49" s="1"/>
  <c r="H129" i="49"/>
  <c r="H131" i="49"/>
  <c r="I131" i="49" s="1"/>
  <c r="H133" i="49"/>
  <c r="I133" i="49" s="1"/>
  <c r="H135" i="49"/>
  <c r="I135" i="49" s="1"/>
  <c r="H137" i="49"/>
  <c r="H139" i="49"/>
  <c r="I139" i="49" s="1"/>
  <c r="H141" i="49"/>
  <c r="I141" i="49" s="1"/>
  <c r="H143" i="49"/>
  <c r="H145" i="49"/>
  <c r="I145" i="49" s="1"/>
  <c r="H147" i="49"/>
  <c r="H149" i="49"/>
  <c r="I149" i="49" s="1"/>
  <c r="H151" i="49"/>
  <c r="I151" i="49" s="1"/>
  <c r="H153" i="49"/>
  <c r="I153" i="49" s="1"/>
  <c r="H155" i="49"/>
  <c r="I155" i="49" s="1"/>
  <c r="H157" i="49"/>
  <c r="I157" i="49" s="1"/>
  <c r="H159" i="49"/>
  <c r="I159" i="49" s="1"/>
  <c r="H161" i="49"/>
  <c r="I161" i="49" s="1"/>
  <c r="H163" i="49"/>
  <c r="I163" i="49" s="1"/>
  <c r="H165" i="49"/>
  <c r="I165" i="49" s="1"/>
  <c r="H167" i="49"/>
  <c r="I167" i="49" s="1"/>
  <c r="H31" i="49"/>
  <c r="I31" i="49" s="1"/>
  <c r="H98" i="49"/>
  <c r="I98" i="49" s="1"/>
  <c r="H106" i="49"/>
  <c r="H122" i="49"/>
  <c r="H138" i="49"/>
  <c r="I138" i="49" s="1"/>
  <c r="H154" i="49"/>
  <c r="I154" i="49" s="1"/>
  <c r="H116" i="49"/>
  <c r="H132" i="49"/>
  <c r="I132" i="49" s="1"/>
  <c r="H148" i="49"/>
  <c r="H47" i="49"/>
  <c r="I47" i="49" s="1"/>
  <c r="H51" i="49"/>
  <c r="I51" i="49" s="1"/>
  <c r="H55" i="49"/>
  <c r="I55" i="49" s="1"/>
  <c r="H59" i="49"/>
  <c r="I59" i="49" s="1"/>
  <c r="H63" i="49"/>
  <c r="I63" i="49" s="1"/>
  <c r="H67" i="49"/>
  <c r="I67" i="49" s="1"/>
  <c r="H71" i="49"/>
  <c r="I71" i="49" s="1"/>
  <c r="H75" i="49"/>
  <c r="I75" i="49" s="1"/>
  <c r="H79" i="49"/>
  <c r="I79" i="49" s="1"/>
  <c r="H83" i="49"/>
  <c r="I83" i="49" s="1"/>
  <c r="H87" i="49"/>
  <c r="I87" i="49" s="1"/>
  <c r="H91" i="49"/>
  <c r="I91" i="49" s="1"/>
  <c r="H92" i="49"/>
  <c r="I92" i="49" s="1"/>
  <c r="H100" i="49"/>
  <c r="I100" i="49" s="1"/>
  <c r="H108" i="49"/>
  <c r="H126" i="49"/>
  <c r="I126" i="49" s="1"/>
  <c r="H142" i="49"/>
  <c r="H158" i="49"/>
  <c r="I158" i="49" s="1"/>
  <c r="H120" i="49"/>
  <c r="H136" i="49"/>
  <c r="I136" i="49" s="1"/>
  <c r="H152" i="49"/>
  <c r="I152" i="49" s="1"/>
  <c r="H168" i="49"/>
  <c r="I168" i="49" s="1"/>
  <c r="H170" i="49"/>
  <c r="I170" i="49" s="1"/>
  <c r="H172" i="49"/>
  <c r="I172" i="49" s="1"/>
  <c r="H174" i="49"/>
  <c r="I174" i="49" s="1"/>
  <c r="H176" i="49"/>
  <c r="I176" i="49" s="1"/>
  <c r="H178" i="49"/>
  <c r="I178" i="49" s="1"/>
  <c r="H180" i="49"/>
  <c r="I180" i="49" s="1"/>
  <c r="H182" i="49"/>
  <c r="I182" i="49" s="1"/>
  <c r="H184" i="49"/>
  <c r="H186" i="49"/>
  <c r="I186" i="49" s="1"/>
  <c r="H188" i="49"/>
  <c r="I188" i="49" s="1"/>
  <c r="H190" i="49"/>
  <c r="I190" i="49" s="1"/>
  <c r="H192" i="49"/>
  <c r="I192" i="49" s="1"/>
  <c r="H194" i="49"/>
  <c r="I194" i="49" s="1"/>
  <c r="H196" i="49"/>
  <c r="H198" i="49"/>
  <c r="I198" i="49" s="1"/>
  <c r="H200" i="49"/>
  <c r="I200" i="49" s="1"/>
  <c r="H202" i="49"/>
  <c r="I202" i="49" s="1"/>
  <c r="H204" i="49"/>
  <c r="I204" i="49" s="1"/>
  <c r="H206" i="49"/>
  <c r="I206" i="49" s="1"/>
  <c r="H208" i="49"/>
  <c r="I208" i="49" s="1"/>
  <c r="H210" i="49"/>
  <c r="I210" i="49" s="1"/>
  <c r="H212" i="49"/>
  <c r="I212" i="49" s="1"/>
  <c r="H214" i="49"/>
  <c r="I214" i="49" s="1"/>
  <c r="H216" i="49"/>
  <c r="I216" i="49" s="1"/>
  <c r="H218" i="49"/>
  <c r="I218" i="49" s="1"/>
  <c r="H220" i="49"/>
  <c r="I220" i="49" s="1"/>
  <c r="H222" i="49"/>
  <c r="I222" i="49" s="1"/>
  <c r="H224" i="49"/>
  <c r="I224" i="49" s="1"/>
  <c r="H226" i="49"/>
  <c r="I226" i="49" s="1"/>
  <c r="H228" i="49"/>
  <c r="I228" i="49" s="1"/>
  <c r="H230" i="49"/>
  <c r="I230" i="49" s="1"/>
  <c r="H232" i="49"/>
  <c r="I232" i="49" s="1"/>
  <c r="H234" i="49"/>
  <c r="I234" i="49" s="1"/>
  <c r="H236" i="49"/>
  <c r="I236" i="49" s="1"/>
  <c r="H238" i="49"/>
  <c r="I238" i="49" s="1"/>
  <c r="H240" i="49"/>
  <c r="I240" i="49" s="1"/>
  <c r="H242" i="49"/>
  <c r="I242" i="49" s="1"/>
  <c r="H244" i="49"/>
  <c r="I244" i="49" s="1"/>
  <c r="H246" i="49"/>
  <c r="I246" i="49" s="1"/>
  <c r="H248" i="49"/>
  <c r="I248" i="49" s="1"/>
  <c r="H250" i="49"/>
  <c r="I250" i="49" s="1"/>
  <c r="H252" i="49"/>
  <c r="I252" i="49" s="1"/>
  <c r="H254" i="49"/>
  <c r="I254" i="49" s="1"/>
  <c r="H256" i="49"/>
  <c r="I256" i="49" s="1"/>
  <c r="H258" i="49"/>
  <c r="I258" i="49" s="1"/>
  <c r="H260" i="49"/>
  <c r="I260" i="49" s="1"/>
  <c r="H262" i="49"/>
  <c r="I262" i="49" s="1"/>
  <c r="H264" i="49"/>
  <c r="I264" i="49" s="1"/>
  <c r="H266" i="49"/>
  <c r="I266" i="49" s="1"/>
  <c r="H268" i="49"/>
  <c r="H270" i="49"/>
  <c r="H272" i="49"/>
  <c r="H274" i="49"/>
  <c r="H276" i="49"/>
  <c r="I276" i="49" s="1"/>
  <c r="H278" i="49"/>
  <c r="H280" i="49"/>
  <c r="I280" i="49" s="1"/>
  <c r="H282" i="49"/>
  <c r="H284" i="49"/>
  <c r="I284" i="49" s="1"/>
  <c r="H94" i="49"/>
  <c r="I94" i="49" s="1"/>
  <c r="H102" i="49"/>
  <c r="I102" i="49" s="1"/>
  <c r="H110" i="49"/>
  <c r="I110" i="49" s="1"/>
  <c r="H114" i="49"/>
  <c r="H130" i="49"/>
  <c r="H146" i="49"/>
  <c r="H162" i="49"/>
  <c r="I162" i="49" s="1"/>
  <c r="H124" i="49"/>
  <c r="H140" i="49"/>
  <c r="I140" i="49" s="1"/>
  <c r="H156" i="49"/>
  <c r="I156" i="49" s="1"/>
  <c r="H96" i="49"/>
  <c r="I96" i="49" s="1"/>
  <c r="H104" i="49"/>
  <c r="I104" i="49" s="1"/>
  <c r="H118" i="49"/>
  <c r="H134" i="49"/>
  <c r="I134" i="49" s="1"/>
  <c r="H150" i="49"/>
  <c r="H166" i="49"/>
  <c r="I166" i="49" s="1"/>
  <c r="H144" i="49"/>
  <c r="H169" i="49"/>
  <c r="I169" i="49" s="1"/>
  <c r="H177" i="49"/>
  <c r="I177" i="49" s="1"/>
  <c r="H199" i="49"/>
  <c r="I199" i="49" s="1"/>
  <c r="H207" i="49"/>
  <c r="I207" i="49" s="1"/>
  <c r="H215" i="49"/>
  <c r="I215" i="49" s="1"/>
  <c r="H160" i="49"/>
  <c r="I160" i="49" s="1"/>
  <c r="H185" i="49"/>
  <c r="I185" i="49" s="1"/>
  <c r="H193" i="49"/>
  <c r="I193" i="49" s="1"/>
  <c r="H287" i="49"/>
  <c r="H292" i="49"/>
  <c r="I292" i="49" s="1"/>
  <c r="H295" i="49"/>
  <c r="I295" i="49" s="1"/>
  <c r="H300" i="49"/>
  <c r="I300" i="49" s="1"/>
  <c r="H223" i="49"/>
  <c r="I223" i="49" s="1"/>
  <c r="H239" i="49"/>
  <c r="I239" i="49" s="1"/>
  <c r="H243" i="49"/>
  <c r="I243" i="49" s="1"/>
  <c r="H247" i="49"/>
  <c r="I247" i="49" s="1"/>
  <c r="H302" i="49"/>
  <c r="I302" i="49" s="1"/>
  <c r="H112" i="49"/>
  <c r="I112" i="49" s="1"/>
  <c r="H128" i="49"/>
  <c r="H171" i="49"/>
  <c r="I171" i="49" s="1"/>
  <c r="H179" i="49"/>
  <c r="I179" i="49" s="1"/>
  <c r="H201" i="49"/>
  <c r="I201" i="49" s="1"/>
  <c r="H209" i="49"/>
  <c r="I209" i="49" s="1"/>
  <c r="H303" i="49"/>
  <c r="I303" i="49" s="1"/>
  <c r="H305" i="49"/>
  <c r="I305" i="49" s="1"/>
  <c r="H164" i="49"/>
  <c r="I164" i="49" s="1"/>
  <c r="H267" i="49"/>
  <c r="H279" i="49"/>
  <c r="I279" i="49" s="1"/>
  <c r="H187" i="49"/>
  <c r="I187" i="49" s="1"/>
  <c r="H195" i="49"/>
  <c r="H217" i="49"/>
  <c r="I217" i="49" s="1"/>
  <c r="H221" i="49"/>
  <c r="I221" i="49" s="1"/>
  <c r="H225" i="49"/>
  <c r="I225" i="49" s="1"/>
  <c r="H229" i="49"/>
  <c r="I229" i="49" s="1"/>
  <c r="H233" i="49"/>
  <c r="I233" i="49" s="1"/>
  <c r="H237" i="49"/>
  <c r="I237" i="49" s="1"/>
  <c r="H241" i="49"/>
  <c r="I241" i="49" s="1"/>
  <c r="H245" i="49"/>
  <c r="I245" i="49" s="1"/>
  <c r="H249" i="49"/>
  <c r="I249" i="49" s="1"/>
  <c r="H253" i="49"/>
  <c r="I253" i="49" s="1"/>
  <c r="H257" i="49"/>
  <c r="I257" i="49" s="1"/>
  <c r="H261" i="49"/>
  <c r="I261" i="49" s="1"/>
  <c r="H265" i="49"/>
  <c r="I265" i="49" s="1"/>
  <c r="H269" i="49"/>
  <c r="H273" i="49"/>
  <c r="H277" i="49"/>
  <c r="I277" i="49" s="1"/>
  <c r="H281" i="49"/>
  <c r="I281" i="49" s="1"/>
  <c r="H285" i="49"/>
  <c r="I285" i="49" s="1"/>
  <c r="H290" i="49"/>
  <c r="I290" i="49" s="1"/>
  <c r="H293" i="49"/>
  <c r="I293" i="49" s="1"/>
  <c r="H298" i="49"/>
  <c r="H301" i="49"/>
  <c r="I301" i="49" s="1"/>
  <c r="H283" i="49"/>
  <c r="I283" i="49" s="1"/>
  <c r="H286" i="49"/>
  <c r="I286" i="49" s="1"/>
  <c r="H289" i="49"/>
  <c r="I289" i="49" s="1"/>
  <c r="H294" i="49"/>
  <c r="H297" i="49"/>
  <c r="H173" i="49"/>
  <c r="I173" i="49" s="1"/>
  <c r="H181" i="49"/>
  <c r="I181" i="49" s="1"/>
  <c r="H203" i="49"/>
  <c r="I203" i="49" s="1"/>
  <c r="H211" i="49"/>
  <c r="I211" i="49" s="1"/>
  <c r="H189" i="49"/>
  <c r="I189" i="49" s="1"/>
  <c r="H288" i="49"/>
  <c r="H291" i="49"/>
  <c r="I291" i="49" s="1"/>
  <c r="H296" i="49"/>
  <c r="H299" i="49"/>
  <c r="I299" i="49" s="1"/>
  <c r="H191" i="49"/>
  <c r="I191" i="49" s="1"/>
  <c r="H219" i="49"/>
  <c r="I219" i="49" s="1"/>
  <c r="H227" i="49"/>
  <c r="I227" i="49" s="1"/>
  <c r="H231" i="49"/>
  <c r="I231" i="49" s="1"/>
  <c r="H235" i="49"/>
  <c r="I235" i="49" s="1"/>
  <c r="H251" i="49"/>
  <c r="I251" i="49" s="1"/>
  <c r="H255" i="49"/>
  <c r="I255" i="49" s="1"/>
  <c r="H259" i="49"/>
  <c r="I259" i="49" s="1"/>
  <c r="H263" i="49"/>
  <c r="I263" i="49" s="1"/>
  <c r="H271" i="49"/>
  <c r="H275" i="49"/>
  <c r="H175" i="49"/>
  <c r="I175" i="49" s="1"/>
  <c r="H183" i="49"/>
  <c r="I183" i="49" s="1"/>
  <c r="H197" i="49"/>
  <c r="I197" i="49" s="1"/>
  <c r="H205" i="49"/>
  <c r="I205" i="49" s="1"/>
  <c r="H213" i="49"/>
  <c r="I213" i="49" s="1"/>
  <c r="H304" i="49"/>
  <c r="E47" i="48"/>
  <c r="E5" i="25"/>
  <c r="AK6" i="42"/>
  <c r="J6" i="49"/>
  <c r="AC6" i="42"/>
  <c r="AM6" i="42"/>
  <c r="AE6" i="42"/>
  <c r="C6" i="33"/>
  <c r="C12" i="9"/>
  <c r="H6" i="49"/>
  <c r="E312" i="34"/>
  <c r="C6" i="39"/>
  <c r="C6" i="12"/>
  <c r="E6" i="12" s="1"/>
  <c r="C6" i="13"/>
  <c r="C312" i="9" l="1"/>
  <c r="E6" i="33"/>
  <c r="D6" i="37" s="1"/>
  <c r="C6" i="11"/>
  <c r="C12" i="34"/>
  <c r="H306" i="49"/>
  <c r="I306" i="49" l="1"/>
  <c r="F6" i="11" l="1"/>
  <c r="G6" i="11" s="1"/>
  <c r="K6" i="11" l="1"/>
  <c r="L6" i="11" l="1"/>
  <c r="F306" i="42" l="1"/>
  <c r="M306" i="42" l="1"/>
  <c r="M306" i="19"/>
  <c r="T306" i="42" l="1"/>
  <c r="P306" i="19"/>
  <c r="P318" i="19" l="1"/>
  <c r="R306" i="19"/>
  <c r="C306" i="12"/>
  <c r="E306" i="12" s="1"/>
  <c r="C306" i="13"/>
  <c r="H46" i="40" l="1"/>
  <c r="K47" i="40" s="1"/>
  <c r="AK306" i="42"/>
  <c r="AM306" i="42"/>
  <c r="AC306" i="42"/>
  <c r="AE306" i="42"/>
  <c r="C306" i="39"/>
  <c r="E5" i="9"/>
  <c r="E305" i="25"/>
  <c r="C306" i="33"/>
  <c r="E306" i="33" s="1"/>
  <c r="J306" i="49"/>
  <c r="K5" i="49" s="1"/>
  <c r="Q306" i="19"/>
  <c r="C305" i="25" s="1"/>
  <c r="F12" i="33" l="1"/>
  <c r="F9" i="33"/>
  <c r="F20" i="33"/>
  <c r="F21" i="33"/>
  <c r="F36" i="33"/>
  <c r="F37" i="33"/>
  <c r="F52" i="33"/>
  <c r="F53" i="33"/>
  <c r="F68" i="33"/>
  <c r="F69" i="33"/>
  <c r="F29" i="33"/>
  <c r="F33" i="33"/>
  <c r="F97" i="33"/>
  <c r="F121" i="33"/>
  <c r="F110" i="33"/>
  <c r="F113" i="33"/>
  <c r="F61" i="33"/>
  <c r="F101" i="33"/>
  <c r="F45" i="33"/>
  <c r="F89" i="33"/>
  <c r="F133" i="33"/>
  <c r="F138" i="33"/>
  <c r="F152" i="33"/>
  <c r="F60" i="33"/>
  <c r="F76" i="33"/>
  <c r="F132" i="33"/>
  <c r="F140" i="33"/>
  <c r="F141" i="33"/>
  <c r="F158" i="33"/>
  <c r="F166" i="33"/>
  <c r="F174" i="33"/>
  <c r="F182" i="33"/>
  <c r="F190" i="33"/>
  <c r="F179" i="33"/>
  <c r="F105" i="33"/>
  <c r="F127" i="33"/>
  <c r="F146" i="33"/>
  <c r="F171" i="33"/>
  <c r="F195" i="33"/>
  <c r="F200" i="33"/>
  <c r="F202" i="33"/>
  <c r="F210" i="33"/>
  <c r="F218" i="33"/>
  <c r="F226" i="33"/>
  <c r="F187" i="33"/>
  <c r="F222" i="33"/>
  <c r="F238" i="33"/>
  <c r="F272" i="33"/>
  <c r="F120" i="33"/>
  <c r="F198" i="33"/>
  <c r="F231" i="33"/>
  <c r="F234" i="33"/>
  <c r="F223" i="33"/>
  <c r="F207" i="33"/>
  <c r="F201" i="33"/>
  <c r="F163" i="33"/>
  <c r="F143" i="33"/>
  <c r="F162" i="33"/>
  <c r="F181" i="33"/>
  <c r="F215" i="33"/>
  <c r="F255" i="33"/>
  <c r="F271" i="33"/>
  <c r="F298" i="33"/>
  <c r="F279" i="33"/>
  <c r="F290" i="33"/>
  <c r="F214" i="33"/>
  <c r="F287" i="33"/>
  <c r="F263" i="33"/>
  <c r="F292" i="33"/>
  <c r="F304" i="33"/>
  <c r="F293" i="33"/>
  <c r="F253" i="33"/>
  <c r="F275" i="33"/>
  <c r="F204" i="33"/>
  <c r="F160" i="33"/>
  <c r="F46" i="33"/>
  <c r="F220" i="33"/>
  <c r="F228" i="33"/>
  <c r="F175" i="33"/>
  <c r="F176" i="33"/>
  <c r="F135" i="33"/>
  <c r="F39" i="33"/>
  <c r="F130" i="33"/>
  <c r="F108" i="33"/>
  <c r="F79" i="33"/>
  <c r="F74" i="33"/>
  <c r="F58" i="33"/>
  <c r="F144" i="33"/>
  <c r="F77" i="33"/>
  <c r="F18" i="33"/>
  <c r="F13" i="33"/>
  <c r="F38" i="33"/>
  <c r="F8" i="33"/>
  <c r="F262" i="33"/>
  <c r="F168" i="33"/>
  <c r="F284" i="33"/>
  <c r="F303" i="33"/>
  <c r="F268" i="33"/>
  <c r="F250" i="33"/>
  <c r="F266" i="33"/>
  <c r="F285" i="33"/>
  <c r="F245" i="33"/>
  <c r="F236" i="33"/>
  <c r="F203" i="33"/>
  <c r="F235" i="33"/>
  <c r="F227" i="33"/>
  <c r="F197" i="33"/>
  <c r="F219" i="33"/>
  <c r="F93" i="33"/>
  <c r="F42" i="33"/>
  <c r="F107" i="33"/>
  <c r="F192" i="33"/>
  <c r="F86" i="33"/>
  <c r="F118" i="33"/>
  <c r="F129" i="33"/>
  <c r="F136" i="33"/>
  <c r="F62" i="33"/>
  <c r="F98" i="33"/>
  <c r="F32" i="33"/>
  <c r="F54" i="33"/>
  <c r="F289" i="33"/>
  <c r="F208" i="33"/>
  <c r="F178" i="33"/>
  <c r="F259" i="33"/>
  <c r="F34" i="33"/>
  <c r="F49" i="33"/>
  <c r="F296" i="33"/>
  <c r="F242" i="33"/>
  <c r="F173" i="33"/>
  <c r="F283" i="33"/>
  <c r="F278" i="33"/>
  <c r="F251" i="33"/>
  <c r="F243" i="33"/>
  <c r="F244" i="33"/>
  <c r="F161" i="33"/>
  <c r="F277" i="33"/>
  <c r="F267" i="33"/>
  <c r="F156" i="33"/>
  <c r="F221" i="33"/>
  <c r="F92" i="33"/>
  <c r="F177" i="33"/>
  <c r="F199" i="33"/>
  <c r="F205" i="33"/>
  <c r="F125" i="33"/>
  <c r="F191" i="33"/>
  <c r="F193" i="33"/>
  <c r="F172" i="33"/>
  <c r="F44" i="33"/>
  <c r="F106" i="33"/>
  <c r="F94" i="33"/>
  <c r="F82" i="33"/>
  <c r="F131" i="33"/>
  <c r="F102" i="33"/>
  <c r="F30" i="33"/>
  <c r="F128" i="33"/>
  <c r="F78" i="33"/>
  <c r="F41" i="33"/>
  <c r="F70" i="33"/>
  <c r="F22" i="33"/>
  <c r="F10" i="33"/>
  <c r="F276" i="33"/>
  <c r="F246" i="33"/>
  <c r="F254" i="33"/>
  <c r="F212" i="33"/>
  <c r="F134" i="33"/>
  <c r="F83" i="33"/>
  <c r="F258" i="33"/>
  <c r="F229" i="33"/>
  <c r="F247" i="33"/>
  <c r="F155" i="33"/>
  <c r="F211" i="33"/>
  <c r="F230" i="33"/>
  <c r="F295" i="33"/>
  <c r="F213" i="33"/>
  <c r="F194" i="33"/>
  <c r="F116" i="33"/>
  <c r="F64" i="33"/>
  <c r="F7" i="33"/>
  <c r="F24" i="33"/>
  <c r="F260" i="33"/>
  <c r="F206" i="33"/>
  <c r="F299" i="33"/>
  <c r="F297" i="33"/>
  <c r="F302" i="33"/>
  <c r="F288" i="33"/>
  <c r="F264" i="33"/>
  <c r="F269" i="33"/>
  <c r="F159" i="33"/>
  <c r="F167" i="33"/>
  <c r="F115" i="33"/>
  <c r="F85" i="33"/>
  <c r="F169" i="33"/>
  <c r="F148" i="33"/>
  <c r="F124" i="33"/>
  <c r="F73" i="33"/>
  <c r="F84" i="33"/>
  <c r="F119" i="33"/>
  <c r="F282" i="33"/>
  <c r="F280" i="33"/>
  <c r="F170" i="33"/>
  <c r="F239" i="33"/>
  <c r="F248" i="33"/>
  <c r="F274" i="33"/>
  <c r="F256" i="33"/>
  <c r="F270" i="33"/>
  <c r="F186" i="33"/>
  <c r="F185" i="33"/>
  <c r="F123" i="33"/>
  <c r="F14" i="33"/>
  <c r="F57" i="33"/>
  <c r="F26" i="33"/>
  <c r="F71" i="33"/>
  <c r="F23" i="33"/>
  <c r="F56" i="33"/>
  <c r="F273" i="33"/>
  <c r="F301" i="33"/>
  <c r="F237" i="33"/>
  <c r="F65" i="33"/>
  <c r="F55" i="33"/>
  <c r="F291" i="33"/>
  <c r="F261" i="33"/>
  <c r="F147" i="33"/>
  <c r="F109" i="33"/>
  <c r="F81" i="33"/>
  <c r="F28" i="33"/>
  <c r="F17" i="33"/>
  <c r="F72" i="33"/>
  <c r="F80" i="33"/>
  <c r="F216" i="33"/>
  <c r="F139" i="33"/>
  <c r="F25" i="33"/>
  <c r="F286" i="33"/>
  <c r="F183" i="33"/>
  <c r="F184" i="33"/>
  <c r="F66" i="33"/>
  <c r="F99" i="33"/>
  <c r="F48" i="33"/>
  <c r="F91" i="33"/>
  <c r="F50" i="33"/>
  <c r="F90" i="33"/>
  <c r="F114" i="33"/>
  <c r="F40" i="33"/>
  <c r="F252" i="33"/>
  <c r="F294" i="33"/>
  <c r="F154" i="33"/>
  <c r="F122" i="33"/>
  <c r="F100" i="33"/>
  <c r="F16" i="33"/>
  <c r="F11" i="33"/>
  <c r="F300" i="33"/>
  <c r="F137" i="33"/>
  <c r="F240" i="33"/>
  <c r="F225" i="33"/>
  <c r="F27" i="33"/>
  <c r="F126" i="33"/>
  <c r="F95" i="33"/>
  <c r="F209" i="33"/>
  <c r="F281" i="33"/>
  <c r="F153" i="33"/>
  <c r="F104" i="33"/>
  <c r="F112" i="33"/>
  <c r="F165" i="33"/>
  <c r="F233" i="33"/>
  <c r="F224" i="33"/>
  <c r="F111" i="33"/>
  <c r="F142" i="33"/>
  <c r="F249" i="33"/>
  <c r="F59" i="33"/>
  <c r="F164" i="33"/>
  <c r="F305" i="33"/>
  <c r="F257" i="33"/>
  <c r="F180" i="33"/>
  <c r="F103" i="33"/>
  <c r="F96" i="33"/>
  <c r="F117" i="33"/>
  <c r="F15" i="33"/>
  <c r="F241" i="33"/>
  <c r="F31" i="33"/>
  <c r="F151" i="33"/>
  <c r="F51" i="33"/>
  <c r="F35" i="33"/>
  <c r="F232" i="33"/>
  <c r="F265" i="33"/>
  <c r="F189" i="33"/>
  <c r="F67" i="33"/>
  <c r="F88" i="33"/>
  <c r="F149" i="33"/>
  <c r="F157" i="33"/>
  <c r="F47" i="33"/>
  <c r="F87" i="33"/>
  <c r="F43" i="33"/>
  <c r="F150" i="33"/>
  <c r="F196" i="33"/>
  <c r="F145" i="33"/>
  <c r="F75" i="33"/>
  <c r="F19" i="33"/>
  <c r="F188" i="33"/>
  <c r="F217" i="33"/>
  <c r="F63" i="33"/>
  <c r="G40" i="40"/>
  <c r="K7" i="49"/>
  <c r="L7" i="49" s="1"/>
  <c r="K9" i="49"/>
  <c r="L9" i="49" s="1"/>
  <c r="K11" i="49"/>
  <c r="L11" i="49" s="1"/>
  <c r="H10" i="25" s="1"/>
  <c r="K13" i="49"/>
  <c r="L13" i="49" s="1"/>
  <c r="H12" i="25" s="1"/>
  <c r="K15" i="49"/>
  <c r="L15" i="49" s="1"/>
  <c r="H14" i="25" s="1"/>
  <c r="K17" i="49"/>
  <c r="L17" i="49" s="1"/>
  <c r="H16" i="25" s="1"/>
  <c r="K19" i="49"/>
  <c r="L19" i="49" s="1"/>
  <c r="H18" i="25" s="1"/>
  <c r="K21" i="49"/>
  <c r="L21" i="49" s="1"/>
  <c r="H20" i="25" s="1"/>
  <c r="K23" i="49"/>
  <c r="L23" i="49" s="1"/>
  <c r="K25" i="49"/>
  <c r="L25" i="49" s="1"/>
  <c r="H24" i="25" s="1"/>
  <c r="K27" i="49"/>
  <c r="L27" i="49" s="1"/>
  <c r="H26" i="25" s="1"/>
  <c r="K29" i="49"/>
  <c r="L29" i="49" s="1"/>
  <c r="H28" i="25" s="1"/>
  <c r="K31" i="49"/>
  <c r="L31" i="49" s="1"/>
  <c r="H30" i="25" s="1"/>
  <c r="K33" i="49"/>
  <c r="L33" i="49" s="1"/>
  <c r="H32" i="25" s="1"/>
  <c r="K35" i="49"/>
  <c r="L35" i="49" s="1"/>
  <c r="H34" i="25" s="1"/>
  <c r="K37" i="49"/>
  <c r="L37" i="49" s="1"/>
  <c r="H36" i="25" s="1"/>
  <c r="K39" i="49"/>
  <c r="L39" i="49" s="1"/>
  <c r="K41" i="49"/>
  <c r="L41" i="49" s="1"/>
  <c r="K43" i="49"/>
  <c r="L43" i="49" s="1"/>
  <c r="H42" i="25" s="1"/>
  <c r="K45" i="49"/>
  <c r="L45" i="49" s="1"/>
  <c r="H44" i="25" s="1"/>
  <c r="K47" i="49"/>
  <c r="L47" i="49" s="1"/>
  <c r="H46" i="25" s="1"/>
  <c r="K49" i="49"/>
  <c r="L49" i="49" s="1"/>
  <c r="H48" i="25" s="1"/>
  <c r="K51" i="49"/>
  <c r="L51" i="49" s="1"/>
  <c r="H50" i="25" s="1"/>
  <c r="K53" i="49"/>
  <c r="L53" i="49" s="1"/>
  <c r="H52" i="25" s="1"/>
  <c r="K55" i="49"/>
  <c r="L55" i="49" s="1"/>
  <c r="K57" i="49"/>
  <c r="L57" i="49" s="1"/>
  <c r="K59" i="49"/>
  <c r="L59" i="49" s="1"/>
  <c r="H58" i="25" s="1"/>
  <c r="K61" i="49"/>
  <c r="L61" i="49" s="1"/>
  <c r="H60" i="25" s="1"/>
  <c r="K63" i="49"/>
  <c r="L63" i="49" s="1"/>
  <c r="H62" i="25" s="1"/>
  <c r="K65" i="49"/>
  <c r="L65" i="49" s="1"/>
  <c r="H64" i="25" s="1"/>
  <c r="K67" i="49"/>
  <c r="L67" i="49" s="1"/>
  <c r="H66" i="25" s="1"/>
  <c r="K69" i="49"/>
  <c r="L69" i="49" s="1"/>
  <c r="H68" i="25" s="1"/>
  <c r="K71" i="49"/>
  <c r="L71" i="49" s="1"/>
  <c r="K73" i="49"/>
  <c r="L73" i="49" s="1"/>
  <c r="K75" i="49"/>
  <c r="L75" i="49" s="1"/>
  <c r="H74" i="25" s="1"/>
  <c r="K77" i="49"/>
  <c r="L77" i="49" s="1"/>
  <c r="H76" i="25" s="1"/>
  <c r="K79" i="49"/>
  <c r="L79" i="49" s="1"/>
  <c r="H78" i="25" s="1"/>
  <c r="K81" i="49"/>
  <c r="L81" i="49" s="1"/>
  <c r="H80" i="25" s="1"/>
  <c r="K83" i="49"/>
  <c r="L83" i="49" s="1"/>
  <c r="H82" i="25" s="1"/>
  <c r="K85" i="49"/>
  <c r="L85" i="49" s="1"/>
  <c r="H84" i="25" s="1"/>
  <c r="K87" i="49"/>
  <c r="L87" i="49" s="1"/>
  <c r="K89" i="49"/>
  <c r="L89" i="49" s="1"/>
  <c r="H88" i="25" s="1"/>
  <c r="K91" i="49"/>
  <c r="L91" i="49" s="1"/>
  <c r="H90" i="25" s="1"/>
  <c r="K8" i="49"/>
  <c r="L8" i="49" s="1"/>
  <c r="K10" i="49"/>
  <c r="L10" i="49" s="1"/>
  <c r="K12" i="49"/>
  <c r="L12" i="49" s="1"/>
  <c r="H11" i="25" s="1"/>
  <c r="K14" i="49"/>
  <c r="L14" i="49" s="1"/>
  <c r="H13" i="25" s="1"/>
  <c r="K16" i="49"/>
  <c r="L16" i="49" s="1"/>
  <c r="K18" i="49"/>
  <c r="L18" i="49" s="1"/>
  <c r="K26" i="49"/>
  <c r="L26" i="49" s="1"/>
  <c r="H25" i="25" s="1"/>
  <c r="K32" i="49"/>
  <c r="L32" i="49" s="1"/>
  <c r="H31" i="25" s="1"/>
  <c r="K93" i="49"/>
  <c r="L93" i="49" s="1"/>
  <c r="H92" i="25" s="1"/>
  <c r="K95" i="49"/>
  <c r="L95" i="49" s="1"/>
  <c r="H94" i="25" s="1"/>
  <c r="K97" i="49"/>
  <c r="L97" i="49" s="1"/>
  <c r="H96" i="25" s="1"/>
  <c r="K99" i="49"/>
  <c r="L99" i="49" s="1"/>
  <c r="H98" i="25" s="1"/>
  <c r="K101" i="49"/>
  <c r="L101" i="49" s="1"/>
  <c r="H100" i="25" s="1"/>
  <c r="K103" i="49"/>
  <c r="L103" i="49" s="1"/>
  <c r="K105" i="49"/>
  <c r="L105" i="49" s="1"/>
  <c r="H104" i="25" s="1"/>
  <c r="K107" i="49"/>
  <c r="L107" i="49" s="1"/>
  <c r="H106" i="25" s="1"/>
  <c r="K109" i="49"/>
  <c r="L109" i="49" s="1"/>
  <c r="H108" i="25" s="1"/>
  <c r="K111" i="49"/>
  <c r="L111" i="49" s="1"/>
  <c r="H110" i="25" s="1"/>
  <c r="K22" i="49"/>
  <c r="L22" i="49" s="1"/>
  <c r="H21" i="25" s="1"/>
  <c r="K38" i="49"/>
  <c r="L38" i="49" s="1"/>
  <c r="H37" i="25" s="1"/>
  <c r="K28" i="49"/>
  <c r="L28" i="49" s="1"/>
  <c r="H27" i="25" s="1"/>
  <c r="K44" i="49"/>
  <c r="L44" i="49" s="1"/>
  <c r="K48" i="49"/>
  <c r="L48" i="49" s="1"/>
  <c r="K52" i="49"/>
  <c r="L52" i="49" s="1"/>
  <c r="H51" i="25" s="1"/>
  <c r="K56" i="49"/>
  <c r="L56" i="49" s="1"/>
  <c r="H55" i="25" s="1"/>
  <c r="K60" i="49"/>
  <c r="L60" i="49" s="1"/>
  <c r="H59" i="25" s="1"/>
  <c r="K64" i="49"/>
  <c r="L64" i="49" s="1"/>
  <c r="H63" i="25" s="1"/>
  <c r="K68" i="49"/>
  <c r="L68" i="49" s="1"/>
  <c r="H67" i="25" s="1"/>
  <c r="K72" i="49"/>
  <c r="L72" i="49" s="1"/>
  <c r="H71" i="25" s="1"/>
  <c r="K76" i="49"/>
  <c r="L76" i="49" s="1"/>
  <c r="K80" i="49"/>
  <c r="L80" i="49" s="1"/>
  <c r="H79" i="25" s="1"/>
  <c r="K84" i="49"/>
  <c r="L84" i="49" s="1"/>
  <c r="H83" i="25" s="1"/>
  <c r="K88" i="49"/>
  <c r="L88" i="49" s="1"/>
  <c r="H87" i="25" s="1"/>
  <c r="K34" i="49"/>
  <c r="L34" i="49" s="1"/>
  <c r="H33" i="25" s="1"/>
  <c r="K24" i="49"/>
  <c r="L24" i="49" s="1"/>
  <c r="H23" i="25" s="1"/>
  <c r="K40" i="49"/>
  <c r="L40" i="49" s="1"/>
  <c r="H39" i="25" s="1"/>
  <c r="K92" i="49"/>
  <c r="L92" i="49" s="1"/>
  <c r="H91" i="25" s="1"/>
  <c r="K94" i="49"/>
  <c r="L94" i="49" s="1"/>
  <c r="K96" i="49"/>
  <c r="L96" i="49" s="1"/>
  <c r="H95" i="25" s="1"/>
  <c r="K98" i="49"/>
  <c r="L98" i="49" s="1"/>
  <c r="H97" i="25" s="1"/>
  <c r="K100" i="49"/>
  <c r="L100" i="49" s="1"/>
  <c r="H99" i="25" s="1"/>
  <c r="K102" i="49"/>
  <c r="L102" i="49" s="1"/>
  <c r="H101" i="25" s="1"/>
  <c r="K104" i="49"/>
  <c r="L104" i="49" s="1"/>
  <c r="H103" i="25" s="1"/>
  <c r="K106" i="49"/>
  <c r="L106" i="49" s="1"/>
  <c r="H105" i="25" s="1"/>
  <c r="K108" i="49"/>
  <c r="L108" i="49" s="1"/>
  <c r="H107" i="25" s="1"/>
  <c r="K30" i="49"/>
  <c r="L30" i="49" s="1"/>
  <c r="K115" i="49"/>
  <c r="L115" i="49" s="1"/>
  <c r="H114" i="25" s="1"/>
  <c r="K118" i="49"/>
  <c r="L118" i="49" s="1"/>
  <c r="H117" i="25" s="1"/>
  <c r="K131" i="49"/>
  <c r="L131" i="49" s="1"/>
  <c r="H130" i="25" s="1"/>
  <c r="K134" i="49"/>
  <c r="L134" i="49" s="1"/>
  <c r="H133" i="25" s="1"/>
  <c r="K147" i="49"/>
  <c r="L147" i="49" s="1"/>
  <c r="H146" i="25" s="1"/>
  <c r="K150" i="49"/>
  <c r="L150" i="49" s="1"/>
  <c r="H149" i="25" s="1"/>
  <c r="K163" i="49"/>
  <c r="L163" i="49" s="1"/>
  <c r="H162" i="25" s="1"/>
  <c r="K166" i="49"/>
  <c r="L166" i="49" s="1"/>
  <c r="K46" i="49"/>
  <c r="L46" i="49" s="1"/>
  <c r="H45" i="25" s="1"/>
  <c r="K50" i="49"/>
  <c r="L50" i="49" s="1"/>
  <c r="H49" i="25" s="1"/>
  <c r="K54" i="49"/>
  <c r="L54" i="49" s="1"/>
  <c r="H53" i="25" s="1"/>
  <c r="K58" i="49"/>
  <c r="L58" i="49" s="1"/>
  <c r="H57" i="25" s="1"/>
  <c r="K62" i="49"/>
  <c r="L62" i="49" s="1"/>
  <c r="H61" i="25" s="1"/>
  <c r="K66" i="49"/>
  <c r="L66" i="49" s="1"/>
  <c r="H65" i="25" s="1"/>
  <c r="K70" i="49"/>
  <c r="L70" i="49" s="1"/>
  <c r="H69" i="25" s="1"/>
  <c r="K74" i="49"/>
  <c r="L74" i="49" s="1"/>
  <c r="K78" i="49"/>
  <c r="L78" i="49" s="1"/>
  <c r="H77" i="25" s="1"/>
  <c r="K82" i="49"/>
  <c r="L82" i="49" s="1"/>
  <c r="H81" i="25" s="1"/>
  <c r="K86" i="49"/>
  <c r="L86" i="49" s="1"/>
  <c r="H85" i="25" s="1"/>
  <c r="K90" i="49"/>
  <c r="L90" i="49" s="1"/>
  <c r="H89" i="25" s="1"/>
  <c r="K112" i="49"/>
  <c r="L112" i="49" s="1"/>
  <c r="H111" i="25" s="1"/>
  <c r="K125" i="49"/>
  <c r="L125" i="49" s="1"/>
  <c r="H124" i="25" s="1"/>
  <c r="K128" i="49"/>
  <c r="L128" i="49" s="1"/>
  <c r="H127" i="25" s="1"/>
  <c r="K141" i="49"/>
  <c r="L141" i="49" s="1"/>
  <c r="K144" i="49"/>
  <c r="L144" i="49" s="1"/>
  <c r="H143" i="25" s="1"/>
  <c r="K157" i="49"/>
  <c r="L157" i="49" s="1"/>
  <c r="H156" i="25" s="1"/>
  <c r="K160" i="49"/>
  <c r="L160" i="49" s="1"/>
  <c r="H159" i="25" s="1"/>
  <c r="K119" i="49"/>
  <c r="L119" i="49" s="1"/>
  <c r="H118" i="25" s="1"/>
  <c r="K122" i="49"/>
  <c r="L122" i="49" s="1"/>
  <c r="H121" i="25" s="1"/>
  <c r="K135" i="49"/>
  <c r="L135" i="49" s="1"/>
  <c r="H134" i="25" s="1"/>
  <c r="K138" i="49"/>
  <c r="L138" i="49" s="1"/>
  <c r="H137" i="25" s="1"/>
  <c r="K151" i="49"/>
  <c r="L151" i="49" s="1"/>
  <c r="H150" i="25" s="1"/>
  <c r="K154" i="49"/>
  <c r="L154" i="49" s="1"/>
  <c r="H153" i="25" s="1"/>
  <c r="K42" i="49"/>
  <c r="L42" i="49" s="1"/>
  <c r="H41" i="25" s="1"/>
  <c r="K113" i="49"/>
  <c r="L113" i="49" s="1"/>
  <c r="H112" i="25" s="1"/>
  <c r="K116" i="49"/>
  <c r="L116" i="49" s="1"/>
  <c r="H115" i="25" s="1"/>
  <c r="K129" i="49"/>
  <c r="L129" i="49" s="1"/>
  <c r="H128" i="25" s="1"/>
  <c r="K132" i="49"/>
  <c r="L132" i="49" s="1"/>
  <c r="H131" i="25" s="1"/>
  <c r="K145" i="49"/>
  <c r="L145" i="49" s="1"/>
  <c r="H144" i="25" s="1"/>
  <c r="K148" i="49"/>
  <c r="L148" i="49" s="1"/>
  <c r="K161" i="49"/>
  <c r="L161" i="49" s="1"/>
  <c r="H160" i="25" s="1"/>
  <c r="K164" i="49"/>
  <c r="L164" i="49" s="1"/>
  <c r="H163" i="25" s="1"/>
  <c r="K123" i="49"/>
  <c r="L123" i="49" s="1"/>
  <c r="H122" i="25" s="1"/>
  <c r="K126" i="49"/>
  <c r="L126" i="49" s="1"/>
  <c r="H125" i="25" s="1"/>
  <c r="K139" i="49"/>
  <c r="L139" i="49" s="1"/>
  <c r="H138" i="25" s="1"/>
  <c r="K142" i="49"/>
  <c r="L142" i="49" s="1"/>
  <c r="H141" i="25" s="1"/>
  <c r="K155" i="49"/>
  <c r="L155" i="49" s="1"/>
  <c r="H154" i="25" s="1"/>
  <c r="K158" i="49"/>
  <c r="L158" i="49" s="1"/>
  <c r="K20" i="49"/>
  <c r="L20" i="49" s="1"/>
  <c r="H19" i="25" s="1"/>
  <c r="K117" i="49"/>
  <c r="L117" i="49" s="1"/>
  <c r="H116" i="25" s="1"/>
  <c r="K120" i="49"/>
  <c r="L120" i="49" s="1"/>
  <c r="H119" i="25" s="1"/>
  <c r="K133" i="49"/>
  <c r="L133" i="49" s="1"/>
  <c r="H132" i="25" s="1"/>
  <c r="K136" i="49"/>
  <c r="L136" i="49" s="1"/>
  <c r="H135" i="25" s="1"/>
  <c r="K149" i="49"/>
  <c r="L149" i="49" s="1"/>
  <c r="H148" i="25" s="1"/>
  <c r="K152" i="49"/>
  <c r="L152" i="49" s="1"/>
  <c r="H151" i="25" s="1"/>
  <c r="K165" i="49"/>
  <c r="L165" i="49" s="1"/>
  <c r="K36" i="49"/>
  <c r="L36" i="49" s="1"/>
  <c r="H35" i="25" s="1"/>
  <c r="K110" i="49"/>
  <c r="L110" i="49" s="1"/>
  <c r="H109" i="25" s="1"/>
  <c r="K114" i="49"/>
  <c r="L114" i="49" s="1"/>
  <c r="H113" i="25" s="1"/>
  <c r="K127" i="49"/>
  <c r="L127" i="49" s="1"/>
  <c r="H126" i="25" s="1"/>
  <c r="K130" i="49"/>
  <c r="L130" i="49" s="1"/>
  <c r="H129" i="25" s="1"/>
  <c r="K143" i="49"/>
  <c r="L143" i="49" s="1"/>
  <c r="H142" i="25" s="1"/>
  <c r="K146" i="49"/>
  <c r="L146" i="49" s="1"/>
  <c r="H145" i="25" s="1"/>
  <c r="K159" i="49"/>
  <c r="L159" i="49" s="1"/>
  <c r="H158" i="25" s="1"/>
  <c r="K162" i="49"/>
  <c r="L162" i="49" s="1"/>
  <c r="H161" i="25" s="1"/>
  <c r="K168" i="49"/>
  <c r="L168" i="49" s="1"/>
  <c r="H167" i="25" s="1"/>
  <c r="K170" i="49"/>
  <c r="L170" i="49" s="1"/>
  <c r="H169" i="25" s="1"/>
  <c r="K172" i="49"/>
  <c r="L172" i="49" s="1"/>
  <c r="H171" i="25" s="1"/>
  <c r="K174" i="49"/>
  <c r="L174" i="49" s="1"/>
  <c r="H173" i="25" s="1"/>
  <c r="K176" i="49"/>
  <c r="L176" i="49" s="1"/>
  <c r="H175" i="25" s="1"/>
  <c r="K178" i="49"/>
  <c r="L178" i="49" s="1"/>
  <c r="H177" i="25" s="1"/>
  <c r="K180" i="49"/>
  <c r="L180" i="49" s="1"/>
  <c r="K182" i="49"/>
  <c r="L182" i="49" s="1"/>
  <c r="H181" i="25" s="1"/>
  <c r="K184" i="49"/>
  <c r="L184" i="49" s="1"/>
  <c r="H183" i="25" s="1"/>
  <c r="K186" i="49"/>
  <c r="L186" i="49" s="1"/>
  <c r="H185" i="25" s="1"/>
  <c r="K188" i="49"/>
  <c r="L188" i="49" s="1"/>
  <c r="H187" i="25" s="1"/>
  <c r="K190" i="49"/>
  <c r="L190" i="49" s="1"/>
  <c r="H189" i="25" s="1"/>
  <c r="K192" i="49"/>
  <c r="L192" i="49" s="1"/>
  <c r="H191" i="25" s="1"/>
  <c r="K194" i="49"/>
  <c r="L194" i="49" s="1"/>
  <c r="H193" i="25" s="1"/>
  <c r="K196" i="49"/>
  <c r="L196" i="49" s="1"/>
  <c r="H195" i="25" s="1"/>
  <c r="K198" i="49"/>
  <c r="L198" i="49" s="1"/>
  <c r="H197" i="25" s="1"/>
  <c r="K200" i="49"/>
  <c r="L200" i="49" s="1"/>
  <c r="H199" i="25" s="1"/>
  <c r="K202" i="49"/>
  <c r="L202" i="49" s="1"/>
  <c r="H201" i="25" s="1"/>
  <c r="K204" i="49"/>
  <c r="L204" i="49" s="1"/>
  <c r="H203" i="25" s="1"/>
  <c r="K206" i="49"/>
  <c r="L206" i="49" s="1"/>
  <c r="H205" i="25" s="1"/>
  <c r="K208" i="49"/>
  <c r="L208" i="49" s="1"/>
  <c r="H207" i="25" s="1"/>
  <c r="K210" i="49"/>
  <c r="L210" i="49" s="1"/>
  <c r="H209" i="25" s="1"/>
  <c r="K212" i="49"/>
  <c r="L212" i="49" s="1"/>
  <c r="K214" i="49"/>
  <c r="L214" i="49" s="1"/>
  <c r="H213" i="25" s="1"/>
  <c r="K216" i="49"/>
  <c r="L216" i="49" s="1"/>
  <c r="H215" i="25" s="1"/>
  <c r="K218" i="49"/>
  <c r="L218" i="49" s="1"/>
  <c r="H217" i="25" s="1"/>
  <c r="K220" i="49"/>
  <c r="L220" i="49" s="1"/>
  <c r="H219" i="25" s="1"/>
  <c r="K222" i="49"/>
  <c r="L222" i="49" s="1"/>
  <c r="H221" i="25" s="1"/>
  <c r="K224" i="49"/>
  <c r="L224" i="49" s="1"/>
  <c r="H223" i="25" s="1"/>
  <c r="K226" i="49"/>
  <c r="L226" i="49" s="1"/>
  <c r="H225" i="25" s="1"/>
  <c r="K228" i="49"/>
  <c r="L228" i="49" s="1"/>
  <c r="H227" i="25" s="1"/>
  <c r="K230" i="49"/>
  <c r="L230" i="49" s="1"/>
  <c r="H229" i="25" s="1"/>
  <c r="K232" i="49"/>
  <c r="L232" i="49" s="1"/>
  <c r="H231" i="25" s="1"/>
  <c r="K234" i="49"/>
  <c r="L234" i="49" s="1"/>
  <c r="H233" i="25" s="1"/>
  <c r="K236" i="49"/>
  <c r="L236" i="49" s="1"/>
  <c r="H235" i="25" s="1"/>
  <c r="K238" i="49"/>
  <c r="L238" i="49" s="1"/>
  <c r="H237" i="25" s="1"/>
  <c r="K240" i="49"/>
  <c r="L240" i="49" s="1"/>
  <c r="H239" i="25" s="1"/>
  <c r="K242" i="49"/>
  <c r="L242" i="49" s="1"/>
  <c r="H241" i="25" s="1"/>
  <c r="K244" i="49"/>
  <c r="L244" i="49" s="1"/>
  <c r="H243" i="25" s="1"/>
  <c r="K246" i="49"/>
  <c r="L246" i="49" s="1"/>
  <c r="H245" i="25" s="1"/>
  <c r="K248" i="49"/>
  <c r="L248" i="49" s="1"/>
  <c r="H247" i="25" s="1"/>
  <c r="K250" i="49"/>
  <c r="L250" i="49" s="1"/>
  <c r="H249" i="25" s="1"/>
  <c r="K252" i="49"/>
  <c r="L252" i="49" s="1"/>
  <c r="H251" i="25" s="1"/>
  <c r="K254" i="49"/>
  <c r="L254" i="49" s="1"/>
  <c r="H253" i="25" s="1"/>
  <c r="K256" i="49"/>
  <c r="L256" i="49" s="1"/>
  <c r="H255" i="25" s="1"/>
  <c r="K258" i="49"/>
  <c r="L258" i="49" s="1"/>
  <c r="H257" i="25" s="1"/>
  <c r="K260" i="49"/>
  <c r="L260" i="49" s="1"/>
  <c r="H259" i="25" s="1"/>
  <c r="K262" i="49"/>
  <c r="L262" i="49" s="1"/>
  <c r="H261" i="25" s="1"/>
  <c r="K264" i="49"/>
  <c r="L264" i="49" s="1"/>
  <c r="H263" i="25" s="1"/>
  <c r="K266" i="49"/>
  <c r="L266" i="49" s="1"/>
  <c r="H265" i="25" s="1"/>
  <c r="K268" i="49"/>
  <c r="L268" i="49" s="1"/>
  <c r="H267" i="25" s="1"/>
  <c r="K270" i="49"/>
  <c r="L270" i="49" s="1"/>
  <c r="H269" i="25" s="1"/>
  <c r="K272" i="49"/>
  <c r="L272" i="49" s="1"/>
  <c r="H271" i="25" s="1"/>
  <c r="K274" i="49"/>
  <c r="L274" i="49" s="1"/>
  <c r="H273" i="25" s="1"/>
  <c r="K276" i="49"/>
  <c r="L276" i="49" s="1"/>
  <c r="K278" i="49"/>
  <c r="L278" i="49" s="1"/>
  <c r="H277" i="25" s="1"/>
  <c r="K280" i="49"/>
  <c r="L280" i="49" s="1"/>
  <c r="H279" i="25" s="1"/>
  <c r="K282" i="49"/>
  <c r="L282" i="49" s="1"/>
  <c r="H281" i="25" s="1"/>
  <c r="K284" i="49"/>
  <c r="L284" i="49" s="1"/>
  <c r="H283" i="25" s="1"/>
  <c r="K286" i="49"/>
  <c r="L286" i="49" s="1"/>
  <c r="H285" i="25" s="1"/>
  <c r="K288" i="49"/>
  <c r="L288" i="49" s="1"/>
  <c r="H287" i="25" s="1"/>
  <c r="K290" i="49"/>
  <c r="L290" i="49" s="1"/>
  <c r="H289" i="25" s="1"/>
  <c r="K292" i="49"/>
  <c r="L292" i="49" s="1"/>
  <c r="H291" i="25" s="1"/>
  <c r="K294" i="49"/>
  <c r="L294" i="49" s="1"/>
  <c r="H293" i="25" s="1"/>
  <c r="K296" i="49"/>
  <c r="L296" i="49" s="1"/>
  <c r="H295" i="25" s="1"/>
  <c r="K298" i="49"/>
  <c r="L298" i="49" s="1"/>
  <c r="H297" i="25" s="1"/>
  <c r="K300" i="49"/>
  <c r="L300" i="49" s="1"/>
  <c r="H299" i="25" s="1"/>
  <c r="K302" i="49"/>
  <c r="L302" i="49" s="1"/>
  <c r="H301" i="25" s="1"/>
  <c r="K167" i="49"/>
  <c r="L167" i="49" s="1"/>
  <c r="H166" i="25" s="1"/>
  <c r="K175" i="49"/>
  <c r="L175" i="49" s="1"/>
  <c r="H174" i="25" s="1"/>
  <c r="K183" i="49"/>
  <c r="L183" i="49" s="1"/>
  <c r="H182" i="25" s="1"/>
  <c r="K197" i="49"/>
  <c r="L197" i="49" s="1"/>
  <c r="H196" i="25" s="1"/>
  <c r="K205" i="49"/>
  <c r="L205" i="49" s="1"/>
  <c r="H204" i="25" s="1"/>
  <c r="K213" i="49"/>
  <c r="L213" i="49" s="1"/>
  <c r="H212" i="25" s="1"/>
  <c r="K291" i="49"/>
  <c r="L291" i="49" s="1"/>
  <c r="H290" i="25" s="1"/>
  <c r="K299" i="49"/>
  <c r="L299" i="49" s="1"/>
  <c r="H298" i="25" s="1"/>
  <c r="K121" i="49"/>
  <c r="L121" i="49" s="1"/>
  <c r="H120" i="25" s="1"/>
  <c r="K137" i="49"/>
  <c r="L137" i="49" s="1"/>
  <c r="H136" i="25" s="1"/>
  <c r="K140" i="49"/>
  <c r="L140" i="49" s="1"/>
  <c r="H139" i="25" s="1"/>
  <c r="K191" i="49"/>
  <c r="L191" i="49" s="1"/>
  <c r="H190" i="25" s="1"/>
  <c r="K304" i="49"/>
  <c r="L304" i="49" s="1"/>
  <c r="H303" i="25" s="1"/>
  <c r="K124" i="49"/>
  <c r="L124" i="49" s="1"/>
  <c r="H123" i="25" s="1"/>
  <c r="K169" i="49"/>
  <c r="L169" i="49" s="1"/>
  <c r="H168" i="25" s="1"/>
  <c r="K177" i="49"/>
  <c r="L177" i="49" s="1"/>
  <c r="H176" i="25" s="1"/>
  <c r="K199" i="49"/>
  <c r="L199" i="49" s="1"/>
  <c r="H198" i="25" s="1"/>
  <c r="K207" i="49"/>
  <c r="L207" i="49" s="1"/>
  <c r="H206" i="25" s="1"/>
  <c r="K219" i="49"/>
  <c r="L219" i="49" s="1"/>
  <c r="H218" i="25" s="1"/>
  <c r="K223" i="49"/>
  <c r="L223" i="49" s="1"/>
  <c r="H222" i="25" s="1"/>
  <c r="K227" i="49"/>
  <c r="L227" i="49" s="1"/>
  <c r="H226" i="25" s="1"/>
  <c r="K231" i="49"/>
  <c r="L231" i="49" s="1"/>
  <c r="H230" i="25" s="1"/>
  <c r="K235" i="49"/>
  <c r="L235" i="49" s="1"/>
  <c r="H234" i="25" s="1"/>
  <c r="K239" i="49"/>
  <c r="L239" i="49" s="1"/>
  <c r="H238" i="25" s="1"/>
  <c r="K243" i="49"/>
  <c r="L243" i="49" s="1"/>
  <c r="H242" i="25" s="1"/>
  <c r="K247" i="49"/>
  <c r="L247" i="49" s="1"/>
  <c r="H246" i="25" s="1"/>
  <c r="K251" i="49"/>
  <c r="L251" i="49" s="1"/>
  <c r="H250" i="25" s="1"/>
  <c r="K255" i="49"/>
  <c r="L255" i="49" s="1"/>
  <c r="H254" i="25" s="1"/>
  <c r="K259" i="49"/>
  <c r="L259" i="49" s="1"/>
  <c r="H258" i="25" s="1"/>
  <c r="K263" i="49"/>
  <c r="L263" i="49" s="1"/>
  <c r="H262" i="25" s="1"/>
  <c r="K267" i="49"/>
  <c r="L267" i="49" s="1"/>
  <c r="H266" i="25" s="1"/>
  <c r="K271" i="49"/>
  <c r="L271" i="49" s="1"/>
  <c r="H270" i="25" s="1"/>
  <c r="K275" i="49"/>
  <c r="L275" i="49" s="1"/>
  <c r="H274" i="25" s="1"/>
  <c r="K279" i="49"/>
  <c r="L279" i="49" s="1"/>
  <c r="H278" i="25" s="1"/>
  <c r="K283" i="49"/>
  <c r="L283" i="49" s="1"/>
  <c r="H282" i="25" s="1"/>
  <c r="K289" i="49"/>
  <c r="L289" i="49" s="1"/>
  <c r="H288" i="25" s="1"/>
  <c r="K297" i="49"/>
  <c r="L297" i="49" s="1"/>
  <c r="H296" i="25" s="1"/>
  <c r="K153" i="49"/>
  <c r="L153" i="49" s="1"/>
  <c r="H152" i="25" s="1"/>
  <c r="K156" i="49"/>
  <c r="L156" i="49" s="1"/>
  <c r="H155" i="25" s="1"/>
  <c r="K185" i="49"/>
  <c r="L185" i="49" s="1"/>
  <c r="H184" i="25" s="1"/>
  <c r="K193" i="49"/>
  <c r="L193" i="49" s="1"/>
  <c r="H192" i="25" s="1"/>
  <c r="K215" i="49"/>
  <c r="L215" i="49" s="1"/>
  <c r="H214" i="25" s="1"/>
  <c r="K171" i="49"/>
  <c r="L171" i="49" s="1"/>
  <c r="H170" i="25" s="1"/>
  <c r="K179" i="49"/>
  <c r="L179" i="49" s="1"/>
  <c r="H178" i="25" s="1"/>
  <c r="K201" i="49"/>
  <c r="L201" i="49" s="1"/>
  <c r="H200" i="25" s="1"/>
  <c r="K209" i="49"/>
  <c r="L209" i="49" s="1"/>
  <c r="H208" i="25" s="1"/>
  <c r="K287" i="49"/>
  <c r="L287" i="49" s="1"/>
  <c r="H286" i="25" s="1"/>
  <c r="K295" i="49"/>
  <c r="L295" i="49" s="1"/>
  <c r="H294" i="25" s="1"/>
  <c r="K187" i="49"/>
  <c r="L187" i="49" s="1"/>
  <c r="H186" i="25" s="1"/>
  <c r="K195" i="49"/>
  <c r="L195" i="49" s="1"/>
  <c r="H194" i="25" s="1"/>
  <c r="K303" i="49"/>
  <c r="L303" i="49" s="1"/>
  <c r="H302" i="25" s="1"/>
  <c r="K305" i="49"/>
  <c r="L305" i="49" s="1"/>
  <c r="H304" i="25" s="1"/>
  <c r="K189" i="49"/>
  <c r="L189" i="49" s="1"/>
  <c r="H188" i="25" s="1"/>
  <c r="K173" i="49"/>
  <c r="L173" i="49" s="1"/>
  <c r="H172" i="25" s="1"/>
  <c r="K181" i="49"/>
  <c r="L181" i="49" s="1"/>
  <c r="H180" i="25" s="1"/>
  <c r="K203" i="49"/>
  <c r="L203" i="49" s="1"/>
  <c r="H202" i="25" s="1"/>
  <c r="K211" i="49"/>
  <c r="L211" i="49" s="1"/>
  <c r="H210" i="25" s="1"/>
  <c r="K217" i="49"/>
  <c r="L217" i="49" s="1"/>
  <c r="H216" i="25" s="1"/>
  <c r="K221" i="49"/>
  <c r="L221" i="49" s="1"/>
  <c r="H220" i="25" s="1"/>
  <c r="K225" i="49"/>
  <c r="L225" i="49" s="1"/>
  <c r="H224" i="25" s="1"/>
  <c r="K229" i="49"/>
  <c r="L229" i="49" s="1"/>
  <c r="H228" i="25" s="1"/>
  <c r="K233" i="49"/>
  <c r="L233" i="49" s="1"/>
  <c r="H232" i="25" s="1"/>
  <c r="K237" i="49"/>
  <c r="L237" i="49" s="1"/>
  <c r="H236" i="25" s="1"/>
  <c r="K241" i="49"/>
  <c r="L241" i="49" s="1"/>
  <c r="H240" i="25" s="1"/>
  <c r="K245" i="49"/>
  <c r="L245" i="49" s="1"/>
  <c r="H244" i="25" s="1"/>
  <c r="K249" i="49"/>
  <c r="L249" i="49" s="1"/>
  <c r="H248" i="25" s="1"/>
  <c r="K253" i="49"/>
  <c r="L253" i="49" s="1"/>
  <c r="H252" i="25" s="1"/>
  <c r="K257" i="49"/>
  <c r="L257" i="49" s="1"/>
  <c r="H256" i="25" s="1"/>
  <c r="K261" i="49"/>
  <c r="L261" i="49" s="1"/>
  <c r="H260" i="25" s="1"/>
  <c r="K265" i="49"/>
  <c r="L265" i="49" s="1"/>
  <c r="H264" i="25" s="1"/>
  <c r="K269" i="49"/>
  <c r="L269" i="49" s="1"/>
  <c r="H268" i="25" s="1"/>
  <c r="K273" i="49"/>
  <c r="L273" i="49" s="1"/>
  <c r="H272" i="25" s="1"/>
  <c r="K277" i="49"/>
  <c r="L277" i="49" s="1"/>
  <c r="H276" i="25" s="1"/>
  <c r="K281" i="49"/>
  <c r="L281" i="49" s="1"/>
  <c r="H280" i="25" s="1"/>
  <c r="K285" i="49"/>
  <c r="L285" i="49" s="1"/>
  <c r="H284" i="25" s="1"/>
  <c r="K293" i="49"/>
  <c r="L293" i="49" s="1"/>
  <c r="H292" i="25" s="1"/>
  <c r="K301" i="49"/>
  <c r="L301" i="49" s="1"/>
  <c r="H300" i="25" s="1"/>
  <c r="H7" i="25"/>
  <c r="H9" i="25"/>
  <c r="H15" i="25"/>
  <c r="H17" i="25"/>
  <c r="H29" i="25"/>
  <c r="H43" i="25"/>
  <c r="H47" i="25"/>
  <c r="H73" i="25"/>
  <c r="H75" i="25"/>
  <c r="H6" i="25"/>
  <c r="H22" i="25"/>
  <c r="H38" i="25"/>
  <c r="H54" i="25"/>
  <c r="H86" i="25"/>
  <c r="H93" i="25"/>
  <c r="H8" i="25"/>
  <c r="H40" i="25"/>
  <c r="H56" i="25"/>
  <c r="H72" i="25"/>
  <c r="H70" i="25"/>
  <c r="H140" i="25"/>
  <c r="H164" i="25"/>
  <c r="H102" i="25"/>
  <c r="H147" i="25"/>
  <c r="H157" i="25"/>
  <c r="H165" i="25"/>
  <c r="H179" i="25"/>
  <c r="H211" i="25"/>
  <c r="H275" i="25"/>
  <c r="C312" i="34"/>
  <c r="K6" i="49"/>
  <c r="F306" i="37"/>
  <c r="E306" i="13"/>
  <c r="F306" i="13" s="1"/>
  <c r="C306" i="11"/>
  <c r="H9" i="37" l="1"/>
  <c r="H17" i="37"/>
  <c r="H25" i="37"/>
  <c r="H33" i="37"/>
  <c r="H41" i="37"/>
  <c r="H81" i="37"/>
  <c r="H85" i="37"/>
  <c r="H89" i="37"/>
  <c r="H93" i="37"/>
  <c r="H106" i="37"/>
  <c r="H114" i="37"/>
  <c r="H122" i="37"/>
  <c r="H143" i="37"/>
  <c r="H166" i="37"/>
  <c r="H174" i="37"/>
  <c r="H184" i="37"/>
  <c r="H62" i="37"/>
  <c r="H129" i="37"/>
  <c r="H141" i="37"/>
  <c r="H146" i="37"/>
  <c r="H177" i="37"/>
  <c r="H54" i="37"/>
  <c r="H58" i="37"/>
  <c r="H66" i="37"/>
  <c r="H70" i="37"/>
  <c r="H137" i="37"/>
  <c r="H149" i="37"/>
  <c r="H154" i="37"/>
  <c r="H163" i="37"/>
  <c r="H176" i="37"/>
  <c r="H192" i="37"/>
  <c r="H14" i="37"/>
  <c r="H22" i="37"/>
  <c r="H30" i="37"/>
  <c r="H38" i="37"/>
  <c r="H46" i="37"/>
  <c r="H50" i="37"/>
  <c r="H74" i="37"/>
  <c r="H78" i="37"/>
  <c r="H145" i="37"/>
  <c r="H186" i="37"/>
  <c r="H187" i="37"/>
  <c r="H188" i="37"/>
  <c r="H10" i="37"/>
  <c r="H18" i="37"/>
  <c r="H26" i="37"/>
  <c r="H34" i="37"/>
  <c r="H42" i="37"/>
  <c r="H57" i="37"/>
  <c r="H65" i="37"/>
  <c r="H69" i="37"/>
  <c r="H82" i="37"/>
  <c r="H86" i="37"/>
  <c r="H90" i="37"/>
  <c r="H94" i="37"/>
  <c r="H127" i="37"/>
  <c r="H153" i="37"/>
  <c r="H161" i="37"/>
  <c r="H162" i="37"/>
  <c r="H167" i="37"/>
  <c r="H168" i="37"/>
  <c r="H175" i="37"/>
  <c r="H191" i="37"/>
  <c r="H49" i="37"/>
  <c r="H97" i="37"/>
  <c r="H121" i="37"/>
  <c r="H134" i="37"/>
  <c r="H158" i="37"/>
  <c r="H195" i="37"/>
  <c r="H196" i="37"/>
  <c r="H210" i="37"/>
  <c r="H218" i="37"/>
  <c r="H244" i="37"/>
  <c r="H249" i="37"/>
  <c r="H282" i="37"/>
  <c r="H292" i="37"/>
  <c r="H185" i="37"/>
  <c r="H73" i="37"/>
  <c r="H117" i="37"/>
  <c r="H173" i="37"/>
  <c r="H194" i="37"/>
  <c r="H199" i="37"/>
  <c r="H231" i="37"/>
  <c r="H236" i="37"/>
  <c r="H248" i="37"/>
  <c r="H300" i="37"/>
  <c r="H110" i="37"/>
  <c r="H130" i="37"/>
  <c r="H133" i="37"/>
  <c r="H180" i="37"/>
  <c r="H204" i="37"/>
  <c r="H209" i="37"/>
  <c r="H217" i="37"/>
  <c r="H252" i="37"/>
  <c r="H257" i="37"/>
  <c r="H271" i="37"/>
  <c r="H275" i="37"/>
  <c r="H276" i="37"/>
  <c r="H280" i="37"/>
  <c r="H281" i="37"/>
  <c r="H98" i="37"/>
  <c r="H125" i="37"/>
  <c r="H150" i="37"/>
  <c r="H113" i="37"/>
  <c r="H183" i="37"/>
  <c r="H193" i="37"/>
  <c r="H208" i="37"/>
  <c r="H216" i="37"/>
  <c r="H247" i="37"/>
  <c r="H256" i="37"/>
  <c r="H270" i="37"/>
  <c r="H295" i="37"/>
  <c r="H299" i="37"/>
  <c r="H303" i="37"/>
  <c r="H109" i="37"/>
  <c r="H126" i="37"/>
  <c r="H142" i="37"/>
  <c r="H151" i="37"/>
  <c r="H178" i="37"/>
  <c r="H179" i="37"/>
  <c r="H260" i="37"/>
  <c r="H265" i="37"/>
  <c r="H279" i="37"/>
  <c r="H302" i="37"/>
  <c r="H201" i="37"/>
  <c r="H241" i="37"/>
  <c r="H102" i="37"/>
  <c r="H202" i="37"/>
  <c r="H207" i="37"/>
  <c r="H212" i="37"/>
  <c r="H220" i="37"/>
  <c r="H224" i="37"/>
  <c r="H225" i="37"/>
  <c r="H255" i="37"/>
  <c r="H264" i="37"/>
  <c r="H288" i="37"/>
  <c r="H289" i="37"/>
  <c r="H105" i="37"/>
  <c r="H171" i="37"/>
  <c r="H77" i="37"/>
  <c r="H101" i="37"/>
  <c r="H118" i="37"/>
  <c r="H138" i="37"/>
  <c r="H200" i="37"/>
  <c r="H223" i="37"/>
  <c r="H228" i="37"/>
  <c r="H232" i="37"/>
  <c r="H233" i="37"/>
  <c r="H240" i="37"/>
  <c r="H263" i="37"/>
  <c r="H287" i="37"/>
  <c r="H297" i="37"/>
  <c r="H305" i="37"/>
  <c r="H135" i="37"/>
  <c r="H159" i="37"/>
  <c r="H273" i="37"/>
  <c r="H268" i="37"/>
  <c r="H259" i="37"/>
  <c r="H197" i="37"/>
  <c r="H44" i="37"/>
  <c r="H269" i="37"/>
  <c r="H206" i="37"/>
  <c r="H266" i="37"/>
  <c r="H79" i="37"/>
  <c r="H222" i="37"/>
  <c r="H15" i="37"/>
  <c r="H148" i="37"/>
  <c r="H111" i="37"/>
  <c r="H83" i="37"/>
  <c r="H35" i="37"/>
  <c r="H7" i="37"/>
  <c r="H72" i="37"/>
  <c r="H301" i="37"/>
  <c r="H277" i="37"/>
  <c r="H88" i="37"/>
  <c r="H219" i="37"/>
  <c r="H250" i="37"/>
  <c r="H246" i="37"/>
  <c r="H59" i="37"/>
  <c r="H198" i="37"/>
  <c r="H235" i="37"/>
  <c r="H261" i="37"/>
  <c r="H76" i="37"/>
  <c r="H140" i="37"/>
  <c r="H107" i="37"/>
  <c r="H157" i="37"/>
  <c r="H120" i="37"/>
  <c r="H100" i="37"/>
  <c r="H51" i="37"/>
  <c r="H237" i="37"/>
  <c r="H272" i="37"/>
  <c r="H67" i="37"/>
  <c r="H245" i="37"/>
  <c r="H156" i="37"/>
  <c r="H16" i="37"/>
  <c r="H189" i="37"/>
  <c r="H56" i="37"/>
  <c r="H251" i="37"/>
  <c r="H290" i="37"/>
  <c r="H230" i="37"/>
  <c r="H45" i="37"/>
  <c r="H214" i="37"/>
  <c r="H131" i="37"/>
  <c r="H132" i="37"/>
  <c r="H27" i="37"/>
  <c r="H169" i="37"/>
  <c r="H95" i="37"/>
  <c r="H190" i="37"/>
  <c r="H147" i="37"/>
  <c r="H68" i="37"/>
  <c r="H267" i="37"/>
  <c r="H64" i="37"/>
  <c r="H13" i="37"/>
  <c r="H24" i="37"/>
  <c r="H139" i="37"/>
  <c r="H47" i="37"/>
  <c r="H242" i="37"/>
  <c r="H39" i="37"/>
  <c r="H226" i="37"/>
  <c r="H243" i="37"/>
  <c r="H262" i="37"/>
  <c r="H53" i="37"/>
  <c r="H99" i="37"/>
  <c r="H103" i="37"/>
  <c r="H116" i="37"/>
  <c r="H87" i="37"/>
  <c r="H63" i="37"/>
  <c r="H283" i="37"/>
  <c r="H254" i="37"/>
  <c r="H258" i="37"/>
  <c r="H55" i="37"/>
  <c r="H298" i="37"/>
  <c r="H238" i="37"/>
  <c r="H28" i="37"/>
  <c r="H31" i="37"/>
  <c r="H80" i="37"/>
  <c r="H239" i="37"/>
  <c r="H37" i="37"/>
  <c r="H170" i="37"/>
  <c r="H52" i="37"/>
  <c r="H181" i="37"/>
  <c r="H19" i="37"/>
  <c r="H112" i="37"/>
  <c r="H60" i="37"/>
  <c r="H211" i="37"/>
  <c r="H253" i="37"/>
  <c r="H32" i="37"/>
  <c r="H294" i="37"/>
  <c r="H234" i="37"/>
  <c r="H92" i="37"/>
  <c r="H36" i="37"/>
  <c r="H221" i="37"/>
  <c r="H291" i="37"/>
  <c r="H304" i="37"/>
  <c r="H164" i="37"/>
  <c r="H40" i="37"/>
  <c r="H123" i="37"/>
  <c r="H182" i="37"/>
  <c r="H91" i="37"/>
  <c r="H21" i="37"/>
  <c r="H284" i="37"/>
  <c r="H215" i="37"/>
  <c r="H285" i="37"/>
  <c r="H213" i="37"/>
  <c r="H20" i="37"/>
  <c r="H96" i="37"/>
  <c r="H23" i="37"/>
  <c r="H296" i="37"/>
  <c r="H155" i="37"/>
  <c r="H29" i="37"/>
  <c r="H119" i="37"/>
  <c r="H43" i="37"/>
  <c r="H11" i="37"/>
  <c r="H108" i="37"/>
  <c r="H75" i="37"/>
  <c r="H165" i="37"/>
  <c r="H293" i="37"/>
  <c r="H12" i="37"/>
  <c r="H203" i="37"/>
  <c r="H229" i="37"/>
  <c r="H227" i="37"/>
  <c r="H115" i="37"/>
  <c r="H205" i="37"/>
  <c r="H71" i="37"/>
  <c r="H61" i="37"/>
  <c r="H124" i="37"/>
  <c r="H48" i="37"/>
  <c r="H128" i="37"/>
  <c r="H8" i="37"/>
  <c r="H104" i="37"/>
  <c r="H274" i="37"/>
  <c r="H286" i="37"/>
  <c r="H172" i="37"/>
  <c r="H160" i="37"/>
  <c r="H144" i="37"/>
  <c r="H278" i="37"/>
  <c r="H84" i="37"/>
  <c r="H152" i="37"/>
  <c r="H136" i="37"/>
  <c r="E48" i="48"/>
  <c r="F48" i="48" s="1"/>
  <c r="F50" i="48" s="1"/>
  <c r="J253" i="54"/>
  <c r="J261" i="54"/>
  <c r="K261" i="54" s="1"/>
  <c r="J184" i="54"/>
  <c r="K184" i="54" s="1"/>
  <c r="J226" i="54"/>
  <c r="K226" i="54" s="1"/>
  <c r="J220" i="54"/>
  <c r="K220" i="54" s="1"/>
  <c r="J173" i="54"/>
  <c r="K173" i="54" s="1"/>
  <c r="J172" i="54"/>
  <c r="K172" i="54" s="1"/>
  <c r="J87" i="54"/>
  <c r="K87" i="54" s="1"/>
  <c r="J131" i="54"/>
  <c r="K131" i="54" s="1"/>
  <c r="J134" i="54"/>
  <c r="K134" i="54" s="1"/>
  <c r="J98" i="54"/>
  <c r="K98" i="54" s="1"/>
  <c r="J105" i="54"/>
  <c r="K105" i="54" s="1"/>
  <c r="J112" i="54"/>
  <c r="K112" i="54" s="1"/>
  <c r="J11" i="54"/>
  <c r="K11" i="54" s="1"/>
  <c r="J46" i="54"/>
  <c r="K46" i="54" s="1"/>
  <c r="J289" i="54"/>
  <c r="K289" i="54" s="1"/>
  <c r="J257" i="54"/>
  <c r="K257" i="54" s="1"/>
  <c r="J292" i="54"/>
  <c r="K292" i="54" s="1"/>
  <c r="J260" i="54"/>
  <c r="K260" i="54" s="1"/>
  <c r="J303" i="54"/>
  <c r="K303" i="54" s="1"/>
  <c r="J271" i="54"/>
  <c r="K271" i="54" s="1"/>
  <c r="J210" i="54"/>
  <c r="K210" i="54" s="1"/>
  <c r="J278" i="54"/>
  <c r="K278" i="54" s="1"/>
  <c r="J238" i="54"/>
  <c r="K238" i="54" s="1"/>
  <c r="J237" i="54"/>
  <c r="K237" i="54" s="1"/>
  <c r="J205" i="54"/>
  <c r="K205" i="54" s="1"/>
  <c r="J248" i="54"/>
  <c r="K248" i="54" s="1"/>
  <c r="J216" i="54"/>
  <c r="K216" i="54" s="1"/>
  <c r="J239" i="54"/>
  <c r="K239" i="54" s="1"/>
  <c r="J207" i="54"/>
  <c r="K207" i="54" s="1"/>
  <c r="J169" i="54"/>
  <c r="K169" i="54" s="1"/>
  <c r="J137" i="54"/>
  <c r="K137" i="54" s="1"/>
  <c r="J168" i="54"/>
  <c r="K168" i="54" s="1"/>
  <c r="J136" i="54"/>
  <c r="K136" i="54" s="1"/>
  <c r="J79" i="54"/>
  <c r="K79" i="54" s="1"/>
  <c r="J159" i="54"/>
  <c r="K159" i="54" s="1"/>
  <c r="J127" i="54"/>
  <c r="K127" i="54" s="1"/>
  <c r="J162" i="54"/>
  <c r="K162" i="54" s="1"/>
  <c r="J130" i="54"/>
  <c r="K130" i="54" s="1"/>
  <c r="J83" i="54"/>
  <c r="K83" i="54" s="1"/>
  <c r="J94" i="54"/>
  <c r="K94" i="54" s="1"/>
  <c r="J27" i="54"/>
  <c r="K27" i="54" s="1"/>
  <c r="J101" i="54"/>
  <c r="K101" i="54" s="1"/>
  <c r="J64" i="54"/>
  <c r="K64" i="54" s="1"/>
  <c r="J108" i="54"/>
  <c r="K108" i="54" s="1"/>
  <c r="J76" i="54"/>
  <c r="K76" i="54" s="1"/>
  <c r="J74" i="54"/>
  <c r="K74" i="54" s="1"/>
  <c r="J42" i="54"/>
  <c r="K42" i="54" s="1"/>
  <c r="J10" i="54"/>
  <c r="K10" i="54" s="1"/>
  <c r="J45" i="54"/>
  <c r="K45" i="54" s="1"/>
  <c r="J13" i="54"/>
  <c r="K13" i="54" s="1"/>
  <c r="J32" i="54"/>
  <c r="K32" i="54" s="1"/>
  <c r="J293" i="54"/>
  <c r="K293" i="54" s="1"/>
  <c r="J296" i="54"/>
  <c r="K296" i="54" s="1"/>
  <c r="J275" i="54"/>
  <c r="K275" i="54" s="1"/>
  <c r="J282" i="54"/>
  <c r="K282" i="54" s="1"/>
  <c r="J252" i="54"/>
  <c r="K252" i="54" s="1"/>
  <c r="J211" i="54"/>
  <c r="K211" i="54" s="1"/>
  <c r="J141" i="54"/>
  <c r="K141" i="54" s="1"/>
  <c r="J140" i="54"/>
  <c r="K140" i="54" s="1"/>
  <c r="J163" i="54"/>
  <c r="K163" i="54" s="1"/>
  <c r="J166" i="54"/>
  <c r="K166" i="54" s="1"/>
  <c r="J91" i="54"/>
  <c r="K91" i="54" s="1"/>
  <c r="J43" i="54"/>
  <c r="K43" i="54" s="1"/>
  <c r="J72" i="54"/>
  <c r="K72" i="54" s="1"/>
  <c r="J80" i="54"/>
  <c r="K80" i="54" s="1"/>
  <c r="J49" i="54"/>
  <c r="K49" i="54" s="1"/>
  <c r="J285" i="54"/>
  <c r="K285" i="54" s="1"/>
  <c r="J246" i="54"/>
  <c r="K246" i="54" s="1"/>
  <c r="J288" i="54"/>
  <c r="K288" i="54" s="1"/>
  <c r="J256" i="54"/>
  <c r="K256" i="54" s="1"/>
  <c r="J299" i="54"/>
  <c r="K299" i="54" s="1"/>
  <c r="J267" i="54"/>
  <c r="K267" i="54" s="1"/>
  <c r="J180" i="54"/>
  <c r="K180" i="54" s="1"/>
  <c r="J274" i="54"/>
  <c r="K274" i="54" s="1"/>
  <c r="J222" i="54"/>
  <c r="K222" i="54" s="1"/>
  <c r="J233" i="54"/>
  <c r="K233" i="54" s="1"/>
  <c r="J201" i="54"/>
  <c r="J244" i="54"/>
  <c r="K244" i="54" s="1"/>
  <c r="J212" i="54"/>
  <c r="K212" i="54" s="1"/>
  <c r="J235" i="54"/>
  <c r="K235" i="54" s="1"/>
  <c r="J203" i="54"/>
  <c r="K203" i="54" s="1"/>
  <c r="J165" i="54"/>
  <c r="K165" i="54" s="1"/>
  <c r="J133" i="54"/>
  <c r="K133" i="54" s="1"/>
  <c r="J164" i="54"/>
  <c r="K164" i="54" s="1"/>
  <c r="J132" i="54"/>
  <c r="K132" i="54" s="1"/>
  <c r="J187" i="54"/>
  <c r="K187" i="54" s="1"/>
  <c r="J155" i="54"/>
  <c r="K155" i="54" s="1"/>
  <c r="J107" i="54"/>
  <c r="K107" i="54" s="1"/>
  <c r="J158" i="54"/>
  <c r="K158" i="54" s="1"/>
  <c r="J118" i="54"/>
  <c r="K118" i="54" s="1"/>
  <c r="J68" i="54"/>
  <c r="K68" i="54" s="1"/>
  <c r="J90" i="54"/>
  <c r="K90" i="54" s="1"/>
  <c r="J7" i="54"/>
  <c r="K7" i="54" s="1"/>
  <c r="J97" i="54"/>
  <c r="K97" i="54" s="1"/>
  <c r="J55" i="54"/>
  <c r="K55" i="54" s="1"/>
  <c r="J104" i="54"/>
  <c r="K104" i="54" s="1"/>
  <c r="J75" i="54"/>
  <c r="K75" i="54" s="1"/>
  <c r="J70" i="54"/>
  <c r="K70" i="54" s="1"/>
  <c r="J38" i="54"/>
  <c r="K38" i="54" s="1"/>
  <c r="J73" i="54"/>
  <c r="K73" i="54" s="1"/>
  <c r="J41" i="54"/>
  <c r="K41" i="54" s="1"/>
  <c r="J9" i="54"/>
  <c r="K9" i="54" s="1"/>
  <c r="J28" i="54"/>
  <c r="K28" i="54" s="1"/>
  <c r="J264" i="54"/>
  <c r="K264" i="54" s="1"/>
  <c r="J243" i="54"/>
  <c r="K243" i="54" s="1"/>
  <c r="J14" i="54"/>
  <c r="K14" i="54" s="1"/>
  <c r="J281" i="54"/>
  <c r="K281" i="54" s="1"/>
  <c r="J234" i="54"/>
  <c r="K234" i="54" s="1"/>
  <c r="J284" i="54"/>
  <c r="K284" i="54" s="1"/>
  <c r="J247" i="54"/>
  <c r="K247" i="54" s="1"/>
  <c r="J295" i="54"/>
  <c r="K295" i="54" s="1"/>
  <c r="J263" i="54"/>
  <c r="K263" i="54" s="1"/>
  <c r="J302" i="54"/>
  <c r="K302" i="54" s="1"/>
  <c r="J270" i="54"/>
  <c r="K270" i="54" s="1"/>
  <c r="J206" i="54"/>
  <c r="K206" i="54" s="1"/>
  <c r="J229" i="54"/>
  <c r="K229" i="54" s="1"/>
  <c r="J197" i="54"/>
  <c r="K197" i="54" s="1"/>
  <c r="J240" i="54"/>
  <c r="K240" i="54" s="1"/>
  <c r="J208" i="54"/>
  <c r="K208" i="54" s="1"/>
  <c r="J231" i="54"/>
  <c r="K231" i="54" s="1"/>
  <c r="J199" i="54"/>
  <c r="K199" i="54" s="1"/>
  <c r="J161" i="54"/>
  <c r="K161" i="54" s="1"/>
  <c r="J129" i="54"/>
  <c r="K129" i="54" s="1"/>
  <c r="J160" i="54"/>
  <c r="K160" i="54" s="1"/>
  <c r="J128" i="54"/>
  <c r="K128" i="54" s="1"/>
  <c r="J183" i="54"/>
  <c r="K183" i="54" s="1"/>
  <c r="J151" i="54"/>
  <c r="K151" i="54" s="1"/>
  <c r="J186" i="54"/>
  <c r="K186" i="54" s="1"/>
  <c r="J154" i="54"/>
  <c r="K154" i="54" s="1"/>
  <c r="J115" i="54"/>
  <c r="K115" i="54" s="1"/>
  <c r="J60" i="54"/>
  <c r="K60" i="54" s="1"/>
  <c r="J86" i="54"/>
  <c r="K86" i="54" s="1"/>
  <c r="J125" i="54"/>
  <c r="K125" i="54" s="1"/>
  <c r="J93" i="54"/>
  <c r="K93" i="54" s="1"/>
  <c r="J39" i="54"/>
  <c r="K39" i="54" s="1"/>
  <c r="J100" i="54"/>
  <c r="K100" i="54" s="1"/>
  <c r="J67" i="54"/>
  <c r="K67" i="54" s="1"/>
  <c r="J66" i="54"/>
  <c r="K66" i="54" s="1"/>
  <c r="J34" i="54"/>
  <c r="K34" i="54" s="1"/>
  <c r="J69" i="54"/>
  <c r="K69" i="54" s="1"/>
  <c r="J37" i="54"/>
  <c r="K37" i="54" s="1"/>
  <c r="J56" i="54"/>
  <c r="K56" i="54" s="1"/>
  <c r="J24" i="54"/>
  <c r="K24" i="54" s="1"/>
  <c r="J251" i="54"/>
  <c r="K251" i="54" s="1"/>
  <c r="J277" i="54"/>
  <c r="K277" i="54" s="1"/>
  <c r="J218" i="54"/>
  <c r="K218" i="54" s="1"/>
  <c r="J280" i="54"/>
  <c r="K280" i="54" s="1"/>
  <c r="J230" i="54"/>
  <c r="K230" i="54" s="1"/>
  <c r="J291" i="54"/>
  <c r="K291" i="54" s="1"/>
  <c r="J259" i="54"/>
  <c r="K259" i="54" s="1"/>
  <c r="J298" i="54"/>
  <c r="K298" i="54" s="1"/>
  <c r="J266" i="54"/>
  <c r="K266" i="54" s="1"/>
  <c r="J194" i="54"/>
  <c r="K194" i="54" s="1"/>
  <c r="J225" i="54"/>
  <c r="K225" i="54" s="1"/>
  <c r="J193" i="54"/>
  <c r="K193" i="54" s="1"/>
  <c r="J236" i="54"/>
  <c r="K236" i="54" s="1"/>
  <c r="J204" i="54"/>
  <c r="K204" i="54" s="1"/>
  <c r="J227" i="54"/>
  <c r="K227" i="54" s="1"/>
  <c r="J195" i="54"/>
  <c r="K195" i="54" s="1"/>
  <c r="J157" i="54"/>
  <c r="K157" i="54" s="1"/>
  <c r="J123" i="54"/>
  <c r="K123" i="54" s="1"/>
  <c r="J156" i="54"/>
  <c r="K156" i="54" s="1"/>
  <c r="J126" i="54"/>
  <c r="K126" i="54" s="1"/>
  <c r="J179" i="54"/>
  <c r="K179" i="54" s="1"/>
  <c r="J147" i="54"/>
  <c r="K147" i="54" s="1"/>
  <c r="J182" i="54"/>
  <c r="K182" i="54" s="1"/>
  <c r="J150" i="54"/>
  <c r="K150" i="54" s="1"/>
  <c r="J114" i="54"/>
  <c r="K114" i="54" s="1"/>
  <c r="J47" i="54"/>
  <c r="K47" i="54" s="1"/>
  <c r="J82" i="54"/>
  <c r="K82" i="54" s="1"/>
  <c r="J121" i="54"/>
  <c r="K121" i="54" s="1"/>
  <c r="J89" i="54"/>
  <c r="K89" i="54" s="1"/>
  <c r="J23" i="54"/>
  <c r="K23" i="54" s="1"/>
  <c r="J96" i="54"/>
  <c r="K96" i="54" s="1"/>
  <c r="J59" i="54"/>
  <c r="K59" i="54" s="1"/>
  <c r="J62" i="54"/>
  <c r="K62" i="54" s="1"/>
  <c r="J30" i="54"/>
  <c r="K30" i="54" s="1"/>
  <c r="J65" i="54"/>
  <c r="K65" i="54" s="1"/>
  <c r="J33" i="54"/>
  <c r="K33" i="54" s="1"/>
  <c r="J52" i="54"/>
  <c r="K52" i="54" s="1"/>
  <c r="J20" i="54"/>
  <c r="K20" i="54" s="1"/>
  <c r="J241" i="54"/>
  <c r="K241" i="54" s="1"/>
  <c r="J17" i="54"/>
  <c r="K17" i="54" s="1"/>
  <c r="J305" i="54"/>
  <c r="K305" i="54" s="1"/>
  <c r="J273" i="54"/>
  <c r="K273" i="54" s="1"/>
  <c r="J202" i="54"/>
  <c r="K202" i="54" s="1"/>
  <c r="J276" i="54"/>
  <c r="K276" i="54" s="1"/>
  <c r="J214" i="54"/>
  <c r="K214" i="54" s="1"/>
  <c r="J287" i="54"/>
  <c r="K287" i="54" s="1"/>
  <c r="J255" i="54"/>
  <c r="K255" i="54" s="1"/>
  <c r="J294" i="54"/>
  <c r="K294" i="54" s="1"/>
  <c r="J262" i="54"/>
  <c r="K262" i="54" s="1"/>
  <c r="J221" i="54"/>
  <c r="K221" i="54" s="1"/>
  <c r="J189" i="54"/>
  <c r="K189" i="54" s="1"/>
  <c r="J232" i="54"/>
  <c r="K232" i="54" s="1"/>
  <c r="J200" i="54"/>
  <c r="K200" i="54" s="1"/>
  <c r="J223" i="54"/>
  <c r="K223" i="54" s="1"/>
  <c r="J191" i="54"/>
  <c r="K191" i="54" s="1"/>
  <c r="J153" i="54"/>
  <c r="K153" i="54" s="1"/>
  <c r="J122" i="54"/>
  <c r="K122" i="54" s="1"/>
  <c r="J152" i="54"/>
  <c r="K152" i="54" s="1"/>
  <c r="J106" i="54"/>
  <c r="K106" i="54" s="1"/>
  <c r="J175" i="54"/>
  <c r="K175" i="54" s="1"/>
  <c r="J143" i="54"/>
  <c r="K143" i="54" s="1"/>
  <c r="J178" i="54"/>
  <c r="K178" i="54" s="1"/>
  <c r="J146" i="54"/>
  <c r="K146" i="54" s="1"/>
  <c r="J31" i="54"/>
  <c r="K31" i="54" s="1"/>
  <c r="J78" i="54"/>
  <c r="K78" i="54" s="1"/>
  <c r="J117" i="54"/>
  <c r="K117" i="54" s="1"/>
  <c r="J85" i="54"/>
  <c r="K85" i="54" s="1"/>
  <c r="J124" i="54"/>
  <c r="K124" i="54" s="1"/>
  <c r="J92" i="54"/>
  <c r="K92" i="54" s="1"/>
  <c r="J51" i="54"/>
  <c r="K51" i="54" s="1"/>
  <c r="J58" i="54"/>
  <c r="K58" i="54" s="1"/>
  <c r="J26" i="54"/>
  <c r="K26" i="54" s="1"/>
  <c r="J61" i="54"/>
  <c r="K61" i="54" s="1"/>
  <c r="J29" i="54"/>
  <c r="K29" i="54" s="1"/>
  <c r="J48" i="54"/>
  <c r="K48" i="54" s="1"/>
  <c r="J16" i="54"/>
  <c r="K16" i="54" s="1"/>
  <c r="J209" i="54"/>
  <c r="K209" i="54" s="1"/>
  <c r="J36" i="54"/>
  <c r="K36" i="54" s="1"/>
  <c r="J301" i="54"/>
  <c r="K301" i="54" s="1"/>
  <c r="J269" i="54"/>
  <c r="K269" i="54" s="1"/>
  <c r="J304" i="54"/>
  <c r="K304" i="54" s="1"/>
  <c r="J272" i="54"/>
  <c r="K272" i="54" s="1"/>
  <c r="J198" i="54"/>
  <c r="K198" i="54" s="1"/>
  <c r="J283" i="54"/>
  <c r="K283" i="54" s="1"/>
  <c r="J250" i="54"/>
  <c r="K250" i="54" s="1"/>
  <c r="J290" i="54"/>
  <c r="K290" i="54" s="1"/>
  <c r="J258" i="54"/>
  <c r="K258" i="54" s="1"/>
  <c r="J249" i="54"/>
  <c r="K249" i="54" s="1"/>
  <c r="J217" i="54"/>
  <c r="K217" i="54" s="1"/>
  <c r="J188" i="54"/>
  <c r="K188" i="54" s="1"/>
  <c r="J228" i="54"/>
  <c r="K228" i="54" s="1"/>
  <c r="J196" i="54"/>
  <c r="K196" i="54" s="1"/>
  <c r="J219" i="54"/>
  <c r="K219" i="54" s="1"/>
  <c r="J181" i="54"/>
  <c r="K181" i="54" s="1"/>
  <c r="J149" i="54"/>
  <c r="K149" i="54" s="1"/>
  <c r="J119" i="54"/>
  <c r="K119" i="54" s="1"/>
  <c r="J148" i="54"/>
  <c r="K148" i="54" s="1"/>
  <c r="J103" i="54"/>
  <c r="K103" i="54" s="1"/>
  <c r="J171" i="54"/>
  <c r="K171" i="54" s="1"/>
  <c r="J139" i="54"/>
  <c r="K139" i="54" s="1"/>
  <c r="J174" i="54"/>
  <c r="K174" i="54" s="1"/>
  <c r="J142" i="54"/>
  <c r="K142" i="54" s="1"/>
  <c r="J110" i="54"/>
  <c r="K110" i="54" s="1"/>
  <c r="J15" i="54"/>
  <c r="K15" i="54" s="1"/>
  <c r="J71" i="54"/>
  <c r="K71" i="54" s="1"/>
  <c r="J113" i="54"/>
  <c r="K113" i="54" s="1"/>
  <c r="J81" i="54"/>
  <c r="K81" i="54" s="1"/>
  <c r="J120" i="54"/>
  <c r="K120" i="54" s="1"/>
  <c r="J88" i="54"/>
  <c r="K88" i="54" s="1"/>
  <c r="J35" i="54"/>
  <c r="K35" i="54" s="1"/>
  <c r="J54" i="54"/>
  <c r="K54" i="54" s="1"/>
  <c r="J22" i="54"/>
  <c r="K22" i="54" s="1"/>
  <c r="J57" i="54"/>
  <c r="K57" i="54" s="1"/>
  <c r="J25" i="54"/>
  <c r="K25" i="54" s="1"/>
  <c r="J44" i="54"/>
  <c r="K44" i="54" s="1"/>
  <c r="J12" i="54"/>
  <c r="K12" i="54" s="1"/>
  <c r="J297" i="54"/>
  <c r="K297" i="54" s="1"/>
  <c r="J265" i="54"/>
  <c r="K265" i="54" s="1"/>
  <c r="J300" i="54"/>
  <c r="K300" i="54" s="1"/>
  <c r="J268" i="54"/>
  <c r="K268" i="54" s="1"/>
  <c r="J190" i="54"/>
  <c r="K190" i="54" s="1"/>
  <c r="J279" i="54"/>
  <c r="K279" i="54" s="1"/>
  <c r="J242" i="54"/>
  <c r="K242" i="54" s="1"/>
  <c r="J286" i="54"/>
  <c r="K286" i="54" s="1"/>
  <c r="J254" i="54"/>
  <c r="K254" i="54" s="1"/>
  <c r="J245" i="54"/>
  <c r="K245" i="54" s="1"/>
  <c r="J213" i="54"/>
  <c r="K213" i="54" s="1"/>
  <c r="J185" i="54"/>
  <c r="K185" i="54" s="1"/>
  <c r="J224" i="54"/>
  <c r="K224" i="54" s="1"/>
  <c r="J192" i="54"/>
  <c r="K192" i="54" s="1"/>
  <c r="J215" i="54"/>
  <c r="K215" i="54" s="1"/>
  <c r="J177" i="54"/>
  <c r="K177" i="54" s="1"/>
  <c r="J145" i="54"/>
  <c r="K145" i="54" s="1"/>
  <c r="J176" i="54"/>
  <c r="K176" i="54" s="1"/>
  <c r="J144" i="54"/>
  <c r="K144" i="54" s="1"/>
  <c r="J95" i="54"/>
  <c r="K95" i="54" s="1"/>
  <c r="J167" i="54"/>
  <c r="K167" i="54" s="1"/>
  <c r="J135" i="54"/>
  <c r="K135" i="54" s="1"/>
  <c r="J170" i="54"/>
  <c r="K170" i="54" s="1"/>
  <c r="J138" i="54"/>
  <c r="K138" i="54" s="1"/>
  <c r="J99" i="54"/>
  <c r="K99" i="54" s="1"/>
  <c r="J102" i="54"/>
  <c r="K102" i="54" s="1"/>
  <c r="J63" i="54"/>
  <c r="K63" i="54" s="1"/>
  <c r="J109" i="54"/>
  <c r="K109" i="54" s="1"/>
  <c r="J77" i="54"/>
  <c r="K77" i="54" s="1"/>
  <c r="J116" i="54"/>
  <c r="K116" i="54" s="1"/>
  <c r="J84" i="54"/>
  <c r="K84" i="54" s="1"/>
  <c r="J19" i="54"/>
  <c r="K19" i="54" s="1"/>
  <c r="J50" i="54"/>
  <c r="K50" i="54" s="1"/>
  <c r="J18" i="54"/>
  <c r="K18" i="54" s="1"/>
  <c r="J53" i="54"/>
  <c r="K53" i="54" s="1"/>
  <c r="J21" i="54"/>
  <c r="K21" i="54" s="1"/>
  <c r="J40" i="54"/>
  <c r="K40" i="54" s="1"/>
  <c r="J8" i="54"/>
  <c r="K8" i="54" s="1"/>
  <c r="K306" i="49"/>
  <c r="E11" i="34"/>
  <c r="D7" i="34"/>
  <c r="L6" i="49"/>
  <c r="H5" i="25" s="1"/>
  <c r="H306" i="37"/>
  <c r="H6" i="37"/>
  <c r="I5" i="13"/>
  <c r="K306" i="11"/>
  <c r="J3" i="33"/>
  <c r="F6" i="33"/>
  <c r="I3" i="33"/>
  <c r="D306" i="37"/>
  <c r="K3" i="33"/>
  <c r="H3" i="33"/>
  <c r="G3" i="33"/>
  <c r="F306" i="11"/>
  <c r="D5" i="9"/>
  <c r="D6" i="9"/>
  <c r="E16" i="37" l="1"/>
  <c r="G16" i="37" s="1"/>
  <c r="I16" i="37" s="1"/>
  <c r="F22" i="34" s="1"/>
  <c r="F16" i="12" s="1"/>
  <c r="E24" i="37"/>
  <c r="G24" i="37" s="1"/>
  <c r="I24" i="37" s="1"/>
  <c r="F30" i="34" s="1"/>
  <c r="F24" i="12" s="1"/>
  <c r="E32" i="37"/>
  <c r="G32" i="37" s="1"/>
  <c r="I32" i="37" s="1"/>
  <c r="F38" i="34" s="1"/>
  <c r="F32" i="12" s="1"/>
  <c r="E40" i="37"/>
  <c r="G40" i="37" s="1"/>
  <c r="I40" i="37" s="1"/>
  <c r="F46" i="34" s="1"/>
  <c r="F40" i="12" s="1"/>
  <c r="E52" i="37"/>
  <c r="G52" i="37" s="1"/>
  <c r="I52" i="37" s="1"/>
  <c r="F58" i="34" s="1"/>
  <c r="F52" i="12" s="1"/>
  <c r="E76" i="37"/>
  <c r="G76" i="37" s="1"/>
  <c r="I76" i="37" s="1"/>
  <c r="F82" i="34" s="1"/>
  <c r="F76" i="12" s="1"/>
  <c r="E80" i="37"/>
  <c r="G80" i="37" s="1"/>
  <c r="I80" i="37" s="1"/>
  <c r="F86" i="34" s="1"/>
  <c r="F80" i="12" s="1"/>
  <c r="E88" i="37"/>
  <c r="G88" i="37" s="1"/>
  <c r="I88" i="37" s="1"/>
  <c r="F94" i="34" s="1"/>
  <c r="F88" i="12" s="1"/>
  <c r="E105" i="37"/>
  <c r="G105" i="37" s="1"/>
  <c r="I105" i="37" s="1"/>
  <c r="F111" i="34" s="1"/>
  <c r="F105" i="12" s="1"/>
  <c r="E113" i="37"/>
  <c r="G113" i="37" s="1"/>
  <c r="I113" i="37" s="1"/>
  <c r="F119" i="34" s="1"/>
  <c r="F113" i="12" s="1"/>
  <c r="E121" i="37"/>
  <c r="G121" i="37" s="1"/>
  <c r="I121" i="37" s="1"/>
  <c r="F127" i="34" s="1"/>
  <c r="F121" i="12" s="1"/>
  <c r="E170" i="37"/>
  <c r="G170" i="37" s="1"/>
  <c r="I170" i="37" s="1"/>
  <c r="F176" i="34" s="1"/>
  <c r="F170" i="12" s="1"/>
  <c r="E11" i="37"/>
  <c r="G11" i="37" s="1"/>
  <c r="I11" i="37" s="1"/>
  <c r="F17" i="34" s="1"/>
  <c r="F11" i="12" s="1"/>
  <c r="E19" i="37"/>
  <c r="G19" i="37" s="1"/>
  <c r="I19" i="37" s="1"/>
  <c r="F25" i="34" s="1"/>
  <c r="F19" i="12" s="1"/>
  <c r="E27" i="37"/>
  <c r="G27" i="37" s="1"/>
  <c r="I27" i="37" s="1"/>
  <c r="F33" i="34" s="1"/>
  <c r="F27" i="12" s="1"/>
  <c r="E35" i="37"/>
  <c r="G35" i="37" s="1"/>
  <c r="I35" i="37" s="1"/>
  <c r="F41" i="34" s="1"/>
  <c r="F35" i="12" s="1"/>
  <c r="E43" i="37"/>
  <c r="G43" i="37" s="1"/>
  <c r="I43" i="37" s="1"/>
  <c r="F49" i="34" s="1"/>
  <c r="F43" i="12" s="1"/>
  <c r="E83" i="37"/>
  <c r="G83" i="37" s="1"/>
  <c r="I83" i="37" s="1"/>
  <c r="F89" i="34" s="1"/>
  <c r="F83" i="12" s="1"/>
  <c r="E91" i="37"/>
  <c r="G91" i="37" s="1"/>
  <c r="I91" i="37" s="1"/>
  <c r="F97" i="34" s="1"/>
  <c r="F91" i="12" s="1"/>
  <c r="E128" i="37"/>
  <c r="G128" i="37" s="1"/>
  <c r="I128" i="37" s="1"/>
  <c r="F134" i="34" s="1"/>
  <c r="F128" i="12" s="1"/>
  <c r="E132" i="37"/>
  <c r="G132" i="37" s="1"/>
  <c r="I132" i="37" s="1"/>
  <c r="F138" i="34" s="1"/>
  <c r="F132" i="12" s="1"/>
  <c r="E145" i="37"/>
  <c r="G145" i="37" s="1"/>
  <c r="I145" i="37" s="1"/>
  <c r="F151" i="34" s="1"/>
  <c r="F145" i="12" s="1"/>
  <c r="E162" i="37"/>
  <c r="G162" i="37" s="1"/>
  <c r="I162" i="37" s="1"/>
  <c r="F168" i="34" s="1"/>
  <c r="F162" i="12" s="1"/>
  <c r="E168" i="37"/>
  <c r="G168" i="37" s="1"/>
  <c r="I168" i="37" s="1"/>
  <c r="F174" i="34" s="1"/>
  <c r="F168" i="12" s="1"/>
  <c r="E57" i="37"/>
  <c r="G57" i="37" s="1"/>
  <c r="I57" i="37" s="1"/>
  <c r="F63" i="34" s="1"/>
  <c r="F57" i="12" s="1"/>
  <c r="E65" i="37"/>
  <c r="G65" i="37" s="1"/>
  <c r="I65" i="37" s="1"/>
  <c r="F71" i="34" s="1"/>
  <c r="F65" i="12" s="1"/>
  <c r="E99" i="37"/>
  <c r="G99" i="37" s="1"/>
  <c r="I99" i="37" s="1"/>
  <c r="F105" i="34" s="1"/>
  <c r="F99" i="12" s="1"/>
  <c r="E136" i="37"/>
  <c r="G136" i="37" s="1"/>
  <c r="I136" i="37" s="1"/>
  <c r="F142" i="34" s="1"/>
  <c r="F136" i="12" s="1"/>
  <c r="E140" i="37"/>
  <c r="G140" i="37" s="1"/>
  <c r="I140" i="37" s="1"/>
  <c r="F146" i="34" s="1"/>
  <c r="F140" i="12" s="1"/>
  <c r="E153" i="37"/>
  <c r="G153" i="37" s="1"/>
  <c r="I153" i="37" s="1"/>
  <c r="F159" i="34" s="1"/>
  <c r="F153" i="12" s="1"/>
  <c r="E161" i="37"/>
  <c r="G161" i="37" s="1"/>
  <c r="I161" i="37" s="1"/>
  <c r="F167" i="34" s="1"/>
  <c r="F161" i="12" s="1"/>
  <c r="E49" i="37"/>
  <c r="G49" i="37" s="1"/>
  <c r="I49" i="37" s="1"/>
  <c r="F55" i="34" s="1"/>
  <c r="F49" i="12" s="1"/>
  <c r="E73" i="37"/>
  <c r="G73" i="37" s="1"/>
  <c r="I73" i="37" s="1"/>
  <c r="F79" i="34" s="1"/>
  <c r="F73" i="12" s="1"/>
  <c r="E144" i="37"/>
  <c r="G144" i="37" s="1"/>
  <c r="I144" i="37" s="1"/>
  <c r="F150" i="34" s="1"/>
  <c r="F144" i="12" s="1"/>
  <c r="E148" i="37"/>
  <c r="G148" i="37" s="1"/>
  <c r="I148" i="37" s="1"/>
  <c r="F154" i="34" s="1"/>
  <c r="F148" i="12" s="1"/>
  <c r="E166" i="37"/>
  <c r="G166" i="37" s="1"/>
  <c r="I166" i="37" s="1"/>
  <c r="F172" i="34" s="1"/>
  <c r="F166" i="12" s="1"/>
  <c r="E185" i="37"/>
  <c r="G185" i="37" s="1"/>
  <c r="I185" i="37" s="1"/>
  <c r="F191" i="34" s="1"/>
  <c r="F185" i="12" s="1"/>
  <c r="E9" i="37"/>
  <c r="G9" i="37" s="1"/>
  <c r="I9" i="37" s="1"/>
  <c r="F15" i="34" s="1"/>
  <c r="F9" i="12" s="1"/>
  <c r="E17" i="37"/>
  <c r="G17" i="37" s="1"/>
  <c r="I17" i="37" s="1"/>
  <c r="F23" i="34" s="1"/>
  <c r="F17" i="12" s="1"/>
  <c r="E25" i="37"/>
  <c r="G25" i="37" s="1"/>
  <c r="I25" i="37" s="1"/>
  <c r="F31" i="34" s="1"/>
  <c r="F25" i="12" s="1"/>
  <c r="E33" i="37"/>
  <c r="G33" i="37" s="1"/>
  <c r="I33" i="37" s="1"/>
  <c r="F39" i="34" s="1"/>
  <c r="F33" i="12" s="1"/>
  <c r="E41" i="37"/>
  <c r="G41" i="37" s="1"/>
  <c r="I41" i="37" s="1"/>
  <c r="F47" i="34" s="1"/>
  <c r="F41" i="12" s="1"/>
  <c r="E56" i="37"/>
  <c r="G56" i="37" s="1"/>
  <c r="I56" i="37" s="1"/>
  <c r="F62" i="34" s="1"/>
  <c r="F56" i="12" s="1"/>
  <c r="E64" i="37"/>
  <c r="G64" i="37" s="1"/>
  <c r="I64" i="37" s="1"/>
  <c r="F70" i="34" s="1"/>
  <c r="F64" i="12" s="1"/>
  <c r="E81" i="37"/>
  <c r="G81" i="37" s="1"/>
  <c r="I81" i="37" s="1"/>
  <c r="F87" i="34" s="1"/>
  <c r="F81" i="12" s="1"/>
  <c r="E89" i="37"/>
  <c r="G89" i="37" s="1"/>
  <c r="I89" i="37" s="1"/>
  <c r="F95" i="34" s="1"/>
  <c r="F89" i="12" s="1"/>
  <c r="E152" i="37"/>
  <c r="G152" i="37" s="1"/>
  <c r="I152" i="37" s="1"/>
  <c r="F158" i="34" s="1"/>
  <c r="F152" i="12" s="1"/>
  <c r="E156" i="37"/>
  <c r="G156" i="37" s="1"/>
  <c r="I156" i="37" s="1"/>
  <c r="F162" i="34" s="1"/>
  <c r="F156" i="12" s="1"/>
  <c r="E160" i="37"/>
  <c r="G160" i="37" s="1"/>
  <c r="I160" i="37" s="1"/>
  <c r="F166" i="34" s="1"/>
  <c r="F160" i="12" s="1"/>
  <c r="E180" i="37"/>
  <c r="G180" i="37" s="1"/>
  <c r="I180" i="37" s="1"/>
  <c r="F186" i="34" s="1"/>
  <c r="F180" i="12" s="1"/>
  <c r="E12" i="37"/>
  <c r="G12" i="37" s="1"/>
  <c r="I12" i="37" s="1"/>
  <c r="F18" i="34" s="1"/>
  <c r="F12" i="12" s="1"/>
  <c r="E96" i="37"/>
  <c r="G96" i="37" s="1"/>
  <c r="I96" i="37" s="1"/>
  <c r="F102" i="34" s="1"/>
  <c r="F96" i="12" s="1"/>
  <c r="E100" i="37"/>
  <c r="G100" i="37" s="1"/>
  <c r="I100" i="37" s="1"/>
  <c r="F106" i="34" s="1"/>
  <c r="F100" i="12" s="1"/>
  <c r="E137" i="37"/>
  <c r="G137" i="37" s="1"/>
  <c r="I137" i="37" s="1"/>
  <c r="F143" i="34" s="1"/>
  <c r="F137" i="12" s="1"/>
  <c r="E187" i="37"/>
  <c r="G187" i="37" s="1"/>
  <c r="I187" i="37" s="1"/>
  <c r="F193" i="34" s="1"/>
  <c r="F187" i="12" s="1"/>
  <c r="E204" i="37"/>
  <c r="G204" i="37" s="1"/>
  <c r="I204" i="37" s="1"/>
  <c r="F210" i="34" s="1"/>
  <c r="F204" i="12" s="1"/>
  <c r="E209" i="37"/>
  <c r="G209" i="37" s="1"/>
  <c r="I209" i="37" s="1"/>
  <c r="F215" i="34" s="1"/>
  <c r="F209" i="12" s="1"/>
  <c r="E217" i="37"/>
  <c r="G217" i="37" s="1"/>
  <c r="I217" i="37" s="1"/>
  <c r="F223" i="34" s="1"/>
  <c r="F217" i="12" s="1"/>
  <c r="E243" i="37"/>
  <c r="G243" i="37" s="1"/>
  <c r="I243" i="37" s="1"/>
  <c r="F249" i="34" s="1"/>
  <c r="F243" i="12" s="1"/>
  <c r="E252" i="37"/>
  <c r="G252" i="37" s="1"/>
  <c r="I252" i="37" s="1"/>
  <c r="F258" i="34" s="1"/>
  <c r="F252" i="12" s="1"/>
  <c r="E257" i="37"/>
  <c r="G257" i="37" s="1"/>
  <c r="I257" i="37" s="1"/>
  <c r="F263" i="34" s="1"/>
  <c r="F257" i="12" s="1"/>
  <c r="E271" i="37"/>
  <c r="G271" i="37" s="1"/>
  <c r="I271" i="37" s="1"/>
  <c r="F277" i="34" s="1"/>
  <c r="F271" i="12" s="1"/>
  <c r="E275" i="37"/>
  <c r="G275" i="37" s="1"/>
  <c r="I275" i="37" s="1"/>
  <c r="F281" i="34" s="1"/>
  <c r="F275" i="12" s="1"/>
  <c r="E286" i="37"/>
  <c r="G286" i="37" s="1"/>
  <c r="I286" i="37" s="1"/>
  <c r="F292" i="34" s="1"/>
  <c r="F286" i="12" s="1"/>
  <c r="E291" i="37"/>
  <c r="G291" i="37" s="1"/>
  <c r="I291" i="37" s="1"/>
  <c r="F297" i="34" s="1"/>
  <c r="F291" i="12" s="1"/>
  <c r="E97" i="37"/>
  <c r="G97" i="37" s="1"/>
  <c r="I97" i="37" s="1"/>
  <c r="F103" i="34" s="1"/>
  <c r="F97" i="12" s="1"/>
  <c r="E20" i="37"/>
  <c r="G20" i="37" s="1"/>
  <c r="I20" i="37" s="1"/>
  <c r="F26" i="34" s="1"/>
  <c r="F20" i="12" s="1"/>
  <c r="E48" i="37"/>
  <c r="G48" i="37" s="1"/>
  <c r="I48" i="37" s="1"/>
  <c r="F54" i="34" s="1"/>
  <c r="F48" i="12" s="1"/>
  <c r="E60" i="37"/>
  <c r="G60" i="37" s="1"/>
  <c r="I60" i="37" s="1"/>
  <c r="F66" i="34" s="1"/>
  <c r="F60" i="12" s="1"/>
  <c r="E120" i="37"/>
  <c r="G120" i="37" s="1"/>
  <c r="I120" i="37" s="1"/>
  <c r="F126" i="34" s="1"/>
  <c r="F120" i="12" s="1"/>
  <c r="E190" i="37"/>
  <c r="G190" i="37" s="1"/>
  <c r="I190" i="37" s="1"/>
  <c r="F196" i="34" s="1"/>
  <c r="F190" i="12" s="1"/>
  <c r="E193" i="37"/>
  <c r="G193" i="37" s="1"/>
  <c r="I193" i="37" s="1"/>
  <c r="F199" i="34" s="1"/>
  <c r="F193" i="12" s="1"/>
  <c r="E230" i="37"/>
  <c r="G230" i="37" s="1"/>
  <c r="I230" i="37" s="1"/>
  <c r="F236" i="34" s="1"/>
  <c r="F230" i="12" s="1"/>
  <c r="E235" i="37"/>
  <c r="G235" i="37" s="1"/>
  <c r="I235" i="37" s="1"/>
  <c r="F241" i="34" s="1"/>
  <c r="F235" i="12" s="1"/>
  <c r="E247" i="37"/>
  <c r="G247" i="37" s="1"/>
  <c r="I247" i="37" s="1"/>
  <c r="F253" i="34" s="1"/>
  <c r="F247" i="12" s="1"/>
  <c r="E270" i="37"/>
  <c r="G270" i="37" s="1"/>
  <c r="I270" i="37" s="1"/>
  <c r="F276" i="34" s="1"/>
  <c r="F270" i="12" s="1"/>
  <c r="E295" i="37"/>
  <c r="G295" i="37" s="1"/>
  <c r="I295" i="37" s="1"/>
  <c r="F301" i="34" s="1"/>
  <c r="F295" i="12" s="1"/>
  <c r="E299" i="37"/>
  <c r="G299" i="37" s="1"/>
  <c r="I299" i="37" s="1"/>
  <c r="F305" i="34" s="1"/>
  <c r="F299" i="12" s="1"/>
  <c r="E303" i="37"/>
  <c r="G303" i="37" s="1"/>
  <c r="I303" i="37" s="1"/>
  <c r="F309" i="34" s="1"/>
  <c r="F303" i="12" s="1"/>
  <c r="E28" i="37"/>
  <c r="G28" i="37" s="1"/>
  <c r="I28" i="37" s="1"/>
  <c r="F34" i="34" s="1"/>
  <c r="F28" i="12" s="1"/>
  <c r="E51" i="37"/>
  <c r="G51" i="37" s="1"/>
  <c r="I51" i="37" s="1"/>
  <c r="F57" i="34" s="1"/>
  <c r="F51" i="12" s="1"/>
  <c r="E72" i="37"/>
  <c r="G72" i="37" s="1"/>
  <c r="I72" i="37" s="1"/>
  <c r="F78" i="34" s="1"/>
  <c r="F72" i="12" s="1"/>
  <c r="E84" i="37"/>
  <c r="G84" i="37" s="1"/>
  <c r="I84" i="37" s="1"/>
  <c r="F90" i="34" s="1"/>
  <c r="F84" i="12" s="1"/>
  <c r="E116" i="37"/>
  <c r="G116" i="37" s="1"/>
  <c r="I116" i="37" s="1"/>
  <c r="F122" i="34" s="1"/>
  <c r="F116" i="12" s="1"/>
  <c r="E179" i="37"/>
  <c r="G179" i="37" s="1"/>
  <c r="I179" i="37" s="1"/>
  <c r="F185" i="34" s="1"/>
  <c r="F179" i="12" s="1"/>
  <c r="E198" i="37"/>
  <c r="G198" i="37" s="1"/>
  <c r="I198" i="37" s="1"/>
  <c r="F204" i="34" s="1"/>
  <c r="F198" i="12" s="1"/>
  <c r="E203" i="37"/>
  <c r="G203" i="37" s="1"/>
  <c r="I203" i="37" s="1"/>
  <c r="F209" i="34" s="1"/>
  <c r="F203" i="12" s="1"/>
  <c r="E251" i="37"/>
  <c r="G251" i="37" s="1"/>
  <c r="I251" i="37" s="1"/>
  <c r="F257" i="34" s="1"/>
  <c r="F251" i="12" s="1"/>
  <c r="E260" i="37"/>
  <c r="G260" i="37" s="1"/>
  <c r="I260" i="37" s="1"/>
  <c r="F266" i="34" s="1"/>
  <c r="F260" i="12" s="1"/>
  <c r="E265" i="37"/>
  <c r="G265" i="37" s="1"/>
  <c r="I265" i="37" s="1"/>
  <c r="F271" i="34" s="1"/>
  <c r="F265" i="12" s="1"/>
  <c r="E279" i="37"/>
  <c r="G279" i="37" s="1"/>
  <c r="I279" i="37" s="1"/>
  <c r="F285" i="34" s="1"/>
  <c r="F279" i="12" s="1"/>
  <c r="E285" i="37"/>
  <c r="G285" i="37" s="1"/>
  <c r="I285" i="37" s="1"/>
  <c r="F291" i="34" s="1"/>
  <c r="F285" i="12" s="1"/>
  <c r="E289" i="37"/>
  <c r="G289" i="37" s="1"/>
  <c r="I289" i="37" s="1"/>
  <c r="F295" i="34" s="1"/>
  <c r="F289" i="12" s="1"/>
  <c r="E67" i="37"/>
  <c r="G67" i="37" s="1"/>
  <c r="I67" i="37" s="1"/>
  <c r="F73" i="34" s="1"/>
  <c r="F67" i="12" s="1"/>
  <c r="E188" i="37"/>
  <c r="G188" i="37" s="1"/>
  <c r="I188" i="37" s="1"/>
  <c r="F194" i="34" s="1"/>
  <c r="F188" i="12" s="1"/>
  <c r="E36" i="37"/>
  <c r="G36" i="37" s="1"/>
  <c r="I36" i="37" s="1"/>
  <c r="F42" i="34" s="1"/>
  <c r="F36" i="12" s="1"/>
  <c r="E59" i="37"/>
  <c r="G59" i="37" s="1"/>
  <c r="I59" i="37" s="1"/>
  <c r="F65" i="34" s="1"/>
  <c r="F59" i="12" s="1"/>
  <c r="E75" i="37"/>
  <c r="G75" i="37" s="1"/>
  <c r="I75" i="37" s="1"/>
  <c r="F81" i="34" s="1"/>
  <c r="F75" i="12" s="1"/>
  <c r="E92" i="37"/>
  <c r="G92" i="37" s="1"/>
  <c r="I92" i="37" s="1"/>
  <c r="F98" i="34" s="1"/>
  <c r="F92" i="12" s="1"/>
  <c r="E129" i="37"/>
  <c r="G129" i="37" s="1"/>
  <c r="I129" i="37" s="1"/>
  <c r="F135" i="34" s="1"/>
  <c r="F129" i="12" s="1"/>
  <c r="E207" i="37"/>
  <c r="G207" i="37" s="1"/>
  <c r="I207" i="37" s="1"/>
  <c r="F213" i="34" s="1"/>
  <c r="F207" i="12" s="1"/>
  <c r="E212" i="37"/>
  <c r="G212" i="37" s="1"/>
  <c r="I212" i="37" s="1"/>
  <c r="F218" i="34" s="1"/>
  <c r="F212" i="12" s="1"/>
  <c r="E220" i="37"/>
  <c r="G220" i="37" s="1"/>
  <c r="I220" i="37" s="1"/>
  <c r="F226" i="34" s="1"/>
  <c r="F220" i="12" s="1"/>
  <c r="E225" i="37"/>
  <c r="G225" i="37" s="1"/>
  <c r="I225" i="37" s="1"/>
  <c r="F231" i="34" s="1"/>
  <c r="F225" i="12" s="1"/>
  <c r="E238" i="37"/>
  <c r="G238" i="37" s="1"/>
  <c r="I238" i="37" s="1"/>
  <c r="F244" i="34" s="1"/>
  <c r="F238" i="12" s="1"/>
  <c r="E246" i="37"/>
  <c r="G246" i="37" s="1"/>
  <c r="I246" i="37" s="1"/>
  <c r="F252" i="34" s="1"/>
  <c r="F246" i="12" s="1"/>
  <c r="E255" i="37"/>
  <c r="G255" i="37" s="1"/>
  <c r="I255" i="37" s="1"/>
  <c r="F261" i="34" s="1"/>
  <c r="F255" i="12" s="1"/>
  <c r="E294" i="37"/>
  <c r="G294" i="37" s="1"/>
  <c r="I294" i="37" s="1"/>
  <c r="F300" i="34" s="1"/>
  <c r="F294" i="12" s="1"/>
  <c r="E195" i="37"/>
  <c r="G195" i="37" s="1"/>
  <c r="I195" i="37" s="1"/>
  <c r="F201" i="34" s="1"/>
  <c r="F195" i="12" s="1"/>
  <c r="E44" i="37"/>
  <c r="G44" i="37" s="1"/>
  <c r="I44" i="37" s="1"/>
  <c r="F50" i="34" s="1"/>
  <c r="F44" i="12" s="1"/>
  <c r="E68" i="37"/>
  <c r="G68" i="37" s="1"/>
  <c r="I68" i="37" s="1"/>
  <c r="F74" i="34" s="1"/>
  <c r="F68" i="12" s="1"/>
  <c r="E112" i="37"/>
  <c r="G112" i="37" s="1"/>
  <c r="I112" i="37" s="1"/>
  <c r="F118" i="34" s="1"/>
  <c r="F112" i="12" s="1"/>
  <c r="E182" i="37"/>
  <c r="G182" i="37" s="1"/>
  <c r="I182" i="37" s="1"/>
  <c r="F188" i="34" s="1"/>
  <c r="F182" i="12" s="1"/>
  <c r="E201" i="37"/>
  <c r="G201" i="37" s="1"/>
  <c r="I201" i="37" s="1"/>
  <c r="F207" i="34" s="1"/>
  <c r="F201" i="12" s="1"/>
  <c r="E241" i="37"/>
  <c r="G241" i="37" s="1"/>
  <c r="I241" i="37" s="1"/>
  <c r="F247" i="34" s="1"/>
  <c r="F241" i="12" s="1"/>
  <c r="E259" i="37"/>
  <c r="G259" i="37" s="1"/>
  <c r="I259" i="37" s="1"/>
  <c r="F265" i="34" s="1"/>
  <c r="F259" i="12" s="1"/>
  <c r="E268" i="37"/>
  <c r="G268" i="37" s="1"/>
  <c r="I268" i="37" s="1"/>
  <c r="F274" i="34" s="1"/>
  <c r="F268" i="12" s="1"/>
  <c r="E273" i="37"/>
  <c r="G273" i="37" s="1"/>
  <c r="I273" i="37" s="1"/>
  <c r="F279" i="34" s="1"/>
  <c r="F273" i="12" s="1"/>
  <c r="E278" i="37"/>
  <c r="G278" i="37" s="1"/>
  <c r="I278" i="37" s="1"/>
  <c r="F284" i="34" s="1"/>
  <c r="F278" i="12" s="1"/>
  <c r="E284" i="37"/>
  <c r="G284" i="37" s="1"/>
  <c r="I284" i="37" s="1"/>
  <c r="F290" i="34" s="1"/>
  <c r="F284" i="12" s="1"/>
  <c r="E108" i="37"/>
  <c r="G108" i="37" s="1"/>
  <c r="I108" i="37" s="1"/>
  <c r="F114" i="34" s="1"/>
  <c r="F108" i="12" s="1"/>
  <c r="E165" i="37"/>
  <c r="G165" i="37" s="1"/>
  <c r="I165" i="37" s="1"/>
  <c r="F171" i="34" s="1"/>
  <c r="F165" i="12" s="1"/>
  <c r="E177" i="37"/>
  <c r="G177" i="37" s="1"/>
  <c r="I177" i="37" s="1"/>
  <c r="F183" i="34" s="1"/>
  <c r="F177" i="12" s="1"/>
  <c r="E196" i="37"/>
  <c r="G196" i="37" s="1"/>
  <c r="I196" i="37" s="1"/>
  <c r="F202" i="34" s="1"/>
  <c r="F196" i="12" s="1"/>
  <c r="E206" i="37"/>
  <c r="G206" i="37" s="1"/>
  <c r="I206" i="37" s="1"/>
  <c r="F212" i="34" s="1"/>
  <c r="F206" i="12" s="1"/>
  <c r="E211" i="37"/>
  <c r="G211" i="37" s="1"/>
  <c r="I211" i="37" s="1"/>
  <c r="F217" i="34" s="1"/>
  <c r="F211" i="12" s="1"/>
  <c r="E219" i="37"/>
  <c r="G219" i="37" s="1"/>
  <c r="I219" i="37" s="1"/>
  <c r="F225" i="34" s="1"/>
  <c r="F219" i="12" s="1"/>
  <c r="E223" i="37"/>
  <c r="G223" i="37" s="1"/>
  <c r="I223" i="37" s="1"/>
  <c r="F229" i="34" s="1"/>
  <c r="F223" i="12" s="1"/>
  <c r="E228" i="37"/>
  <c r="G228" i="37" s="1"/>
  <c r="I228" i="37" s="1"/>
  <c r="F234" i="34" s="1"/>
  <c r="F228" i="12" s="1"/>
  <c r="E233" i="37"/>
  <c r="G233" i="37" s="1"/>
  <c r="I233" i="37" s="1"/>
  <c r="F239" i="34" s="1"/>
  <c r="F233" i="12" s="1"/>
  <c r="E254" i="37"/>
  <c r="G254" i="37" s="1"/>
  <c r="I254" i="37" s="1"/>
  <c r="F260" i="34" s="1"/>
  <c r="F254" i="12" s="1"/>
  <c r="E263" i="37"/>
  <c r="G263" i="37" s="1"/>
  <c r="I263" i="37" s="1"/>
  <c r="F269" i="34" s="1"/>
  <c r="F263" i="12" s="1"/>
  <c r="E283" i="37"/>
  <c r="G283" i="37" s="1"/>
  <c r="I283" i="37" s="1"/>
  <c r="F289" i="34" s="1"/>
  <c r="F283" i="12" s="1"/>
  <c r="E293" i="37"/>
  <c r="G293" i="37" s="1"/>
  <c r="I293" i="37" s="1"/>
  <c r="F299" i="34" s="1"/>
  <c r="F293" i="12" s="1"/>
  <c r="E297" i="37"/>
  <c r="G297" i="37" s="1"/>
  <c r="I297" i="37" s="1"/>
  <c r="F303" i="34" s="1"/>
  <c r="F297" i="12" s="1"/>
  <c r="E305" i="37"/>
  <c r="G305" i="37" s="1"/>
  <c r="I305" i="37" s="1"/>
  <c r="F311" i="34" s="1"/>
  <c r="F305" i="12" s="1"/>
  <c r="E104" i="37"/>
  <c r="G104" i="37" s="1"/>
  <c r="I104" i="37" s="1"/>
  <c r="F110" i="34" s="1"/>
  <c r="F104" i="12" s="1"/>
  <c r="E124" i="37"/>
  <c r="G124" i="37" s="1"/>
  <c r="I124" i="37" s="1"/>
  <c r="F130" i="34" s="1"/>
  <c r="F124" i="12" s="1"/>
  <c r="E164" i="37"/>
  <c r="G164" i="37" s="1"/>
  <c r="I164" i="37" s="1"/>
  <c r="F170" i="34" s="1"/>
  <c r="F164" i="12" s="1"/>
  <c r="E214" i="37"/>
  <c r="G214" i="37" s="1"/>
  <c r="I214" i="37" s="1"/>
  <c r="F220" i="34" s="1"/>
  <c r="F214" i="12" s="1"/>
  <c r="E222" i="37"/>
  <c r="G222" i="37" s="1"/>
  <c r="I222" i="37" s="1"/>
  <c r="F228" i="34" s="1"/>
  <c r="F222" i="12" s="1"/>
  <c r="E227" i="37"/>
  <c r="G227" i="37" s="1"/>
  <c r="I227" i="37" s="1"/>
  <c r="F233" i="34" s="1"/>
  <c r="F227" i="12" s="1"/>
  <c r="E231" i="37"/>
  <c r="G231" i="37" s="1"/>
  <c r="I231" i="37" s="1"/>
  <c r="F237" i="34" s="1"/>
  <c r="F231" i="12" s="1"/>
  <c r="E236" i="37"/>
  <c r="G236" i="37" s="1"/>
  <c r="I236" i="37" s="1"/>
  <c r="F242" i="34" s="1"/>
  <c r="F236" i="12" s="1"/>
  <c r="E262" i="37"/>
  <c r="G262" i="37" s="1"/>
  <c r="I262" i="37" s="1"/>
  <c r="F268" i="34" s="1"/>
  <c r="F262" i="12" s="1"/>
  <c r="E276" i="37"/>
  <c r="G276" i="37" s="1"/>
  <c r="I276" i="37" s="1"/>
  <c r="F282" i="34" s="1"/>
  <c r="F276" i="12" s="1"/>
  <c r="E281" i="37"/>
  <c r="G281" i="37" s="1"/>
  <c r="I281" i="37" s="1"/>
  <c r="F287" i="34" s="1"/>
  <c r="F281" i="12" s="1"/>
  <c r="E249" i="37"/>
  <c r="G249" i="37" s="1"/>
  <c r="I249" i="37" s="1"/>
  <c r="F255" i="34" s="1"/>
  <c r="F249" i="12" s="1"/>
  <c r="E267" i="37"/>
  <c r="G267" i="37" s="1"/>
  <c r="I267" i="37" s="1"/>
  <c r="F273" i="34" s="1"/>
  <c r="F267" i="12" s="1"/>
  <c r="E292" i="37"/>
  <c r="G292" i="37" s="1"/>
  <c r="I292" i="37" s="1"/>
  <c r="F298" i="34" s="1"/>
  <c r="F292" i="12" s="1"/>
  <c r="E244" i="37"/>
  <c r="G244" i="37" s="1"/>
  <c r="I244" i="37" s="1"/>
  <c r="F250" i="34" s="1"/>
  <c r="F244" i="12" s="1"/>
  <c r="E282" i="37"/>
  <c r="G282" i="37" s="1"/>
  <c r="I282" i="37" s="1"/>
  <c r="F288" i="34" s="1"/>
  <c r="F282" i="12" s="1"/>
  <c r="E7" i="37"/>
  <c r="G7" i="37" s="1"/>
  <c r="I7" i="37" s="1"/>
  <c r="F13" i="34" s="1"/>
  <c r="F7" i="12" s="1"/>
  <c r="E199" i="37"/>
  <c r="G199" i="37" s="1"/>
  <c r="I199" i="37" s="1"/>
  <c r="F205" i="34" s="1"/>
  <c r="F199" i="12" s="1"/>
  <c r="E117" i="37"/>
  <c r="G117" i="37" s="1"/>
  <c r="I117" i="37" s="1"/>
  <c r="F123" i="34" s="1"/>
  <c r="F117" i="12" s="1"/>
  <c r="E215" i="37"/>
  <c r="G215" i="37" s="1"/>
  <c r="I215" i="37" s="1"/>
  <c r="F221" i="34" s="1"/>
  <c r="F215" i="12" s="1"/>
  <c r="E134" i="37"/>
  <c r="G134" i="37" s="1"/>
  <c r="I134" i="37" s="1"/>
  <c r="F140" i="34" s="1"/>
  <c r="F134" i="12" s="1"/>
  <c r="E109" i="37"/>
  <c r="G109" i="37" s="1"/>
  <c r="I109" i="37" s="1"/>
  <c r="F115" i="34" s="1"/>
  <c r="F109" i="12" s="1"/>
  <c r="E216" i="37"/>
  <c r="G216" i="37" s="1"/>
  <c r="I216" i="37" s="1"/>
  <c r="F222" i="34" s="1"/>
  <c r="F216" i="12" s="1"/>
  <c r="E280" i="37"/>
  <c r="G280" i="37" s="1"/>
  <c r="I280" i="37" s="1"/>
  <c r="F286" i="34" s="1"/>
  <c r="F280" i="12" s="1"/>
  <c r="E130" i="37"/>
  <c r="G130" i="37" s="1"/>
  <c r="I130" i="37" s="1"/>
  <c r="F136" i="34" s="1"/>
  <c r="F130" i="12" s="1"/>
  <c r="E143" i="37"/>
  <c r="G143" i="37" s="1"/>
  <c r="I143" i="37" s="1"/>
  <c r="F149" i="34" s="1"/>
  <c r="F143" i="12" s="1"/>
  <c r="E110" i="37"/>
  <c r="G110" i="37" s="1"/>
  <c r="I110" i="37" s="1"/>
  <c r="F116" i="34" s="1"/>
  <c r="F110" i="12" s="1"/>
  <c r="E53" i="37"/>
  <c r="G53" i="37" s="1"/>
  <c r="I53" i="37" s="1"/>
  <c r="F59" i="34" s="1"/>
  <c r="F53" i="12" s="1"/>
  <c r="E167" i="37"/>
  <c r="G167" i="37" s="1"/>
  <c r="I167" i="37" s="1"/>
  <c r="F173" i="34" s="1"/>
  <c r="F167" i="12" s="1"/>
  <c r="E103" i="37"/>
  <c r="G103" i="37" s="1"/>
  <c r="I103" i="37" s="1"/>
  <c r="F109" i="34" s="1"/>
  <c r="F103" i="12" s="1"/>
  <c r="E155" i="37"/>
  <c r="G155" i="37" s="1"/>
  <c r="I155" i="37" s="1"/>
  <c r="F161" i="34" s="1"/>
  <c r="F155" i="12" s="1"/>
  <c r="E8" i="37"/>
  <c r="G8" i="37" s="1"/>
  <c r="I8" i="37" s="1"/>
  <c r="F14" i="34" s="1"/>
  <c r="F8" i="12" s="1"/>
  <c r="E197" i="37"/>
  <c r="G197" i="37" s="1"/>
  <c r="I197" i="37" s="1"/>
  <c r="F203" i="34" s="1"/>
  <c r="F197" i="12" s="1"/>
  <c r="E264" i="37"/>
  <c r="G264" i="37" s="1"/>
  <c r="I264" i="37" s="1"/>
  <c r="F270" i="34" s="1"/>
  <c r="F264" i="12" s="1"/>
  <c r="E62" i="37"/>
  <c r="G62" i="37" s="1"/>
  <c r="I62" i="37" s="1"/>
  <c r="F68" i="34" s="1"/>
  <c r="F62" i="12" s="1"/>
  <c r="E302" i="37"/>
  <c r="G302" i="37" s="1"/>
  <c r="I302" i="37" s="1"/>
  <c r="F308" i="34" s="1"/>
  <c r="F302" i="12" s="1"/>
  <c r="E186" i="37"/>
  <c r="G186" i="37" s="1"/>
  <c r="I186" i="37" s="1"/>
  <c r="F192" i="34" s="1"/>
  <c r="F186" i="12" s="1"/>
  <c r="E95" i="37"/>
  <c r="G95" i="37" s="1"/>
  <c r="I95" i="37" s="1"/>
  <c r="F101" i="34" s="1"/>
  <c r="F95" i="12" s="1"/>
  <c r="E213" i="37"/>
  <c r="G213" i="37" s="1"/>
  <c r="I213" i="37" s="1"/>
  <c r="F219" i="34" s="1"/>
  <c r="F213" i="12" s="1"/>
  <c r="E266" i="37"/>
  <c r="G266" i="37" s="1"/>
  <c r="I266" i="37" s="1"/>
  <c r="F272" i="34" s="1"/>
  <c r="F266" i="12" s="1"/>
  <c r="E79" i="37"/>
  <c r="G79" i="37" s="1"/>
  <c r="I79" i="37" s="1"/>
  <c r="F85" i="34" s="1"/>
  <c r="F79" i="12" s="1"/>
  <c r="E139" i="37"/>
  <c r="G139" i="37" s="1"/>
  <c r="I139" i="37" s="1"/>
  <c r="F145" i="34" s="1"/>
  <c r="F139" i="12" s="1"/>
  <c r="E93" i="37"/>
  <c r="G93" i="37" s="1"/>
  <c r="I93" i="37" s="1"/>
  <c r="F99" i="34" s="1"/>
  <c r="F93" i="12" s="1"/>
  <c r="E13" i="37"/>
  <c r="G13" i="37" s="1"/>
  <c r="I13" i="37" s="1"/>
  <c r="F19" i="34" s="1"/>
  <c r="F13" i="12" s="1"/>
  <c r="E82" i="37"/>
  <c r="G82" i="37" s="1"/>
  <c r="I82" i="37" s="1"/>
  <c r="F88" i="34" s="1"/>
  <c r="F82" i="12" s="1"/>
  <c r="E34" i="37"/>
  <c r="G34" i="37" s="1"/>
  <c r="I34" i="37" s="1"/>
  <c r="F40" i="34" s="1"/>
  <c r="F34" i="12" s="1"/>
  <c r="E172" i="37"/>
  <c r="G172" i="37" s="1"/>
  <c r="I172" i="37" s="1"/>
  <c r="F178" i="34" s="1"/>
  <c r="F172" i="12" s="1"/>
  <c r="E150" i="37"/>
  <c r="G150" i="37" s="1"/>
  <c r="I150" i="37" s="1"/>
  <c r="F156" i="34" s="1"/>
  <c r="F150" i="12" s="1"/>
  <c r="E71" i="37"/>
  <c r="G71" i="37" s="1"/>
  <c r="I71" i="37" s="1"/>
  <c r="F77" i="34" s="1"/>
  <c r="F71" i="12" s="1"/>
  <c r="E277" i="37"/>
  <c r="G277" i="37" s="1"/>
  <c r="I277" i="37" s="1"/>
  <c r="F283" i="34" s="1"/>
  <c r="F277" i="12" s="1"/>
  <c r="E304" i="37"/>
  <c r="G304" i="37" s="1"/>
  <c r="I304" i="37" s="1"/>
  <c r="F310" i="34" s="1"/>
  <c r="F304" i="12" s="1"/>
  <c r="E194" i="37"/>
  <c r="G194" i="37" s="1"/>
  <c r="I194" i="37" s="1"/>
  <c r="F200" i="34" s="1"/>
  <c r="F194" i="12" s="1"/>
  <c r="E205" i="37"/>
  <c r="G205" i="37" s="1"/>
  <c r="I205" i="37" s="1"/>
  <c r="F211" i="34" s="1"/>
  <c r="F205" i="12" s="1"/>
  <c r="E245" i="37"/>
  <c r="G245" i="37" s="1"/>
  <c r="I245" i="37" s="1"/>
  <c r="F251" i="34" s="1"/>
  <c r="F245" i="12" s="1"/>
  <c r="E298" i="37"/>
  <c r="G298" i="37" s="1"/>
  <c r="I298" i="37" s="1"/>
  <c r="F304" i="34" s="1"/>
  <c r="F298" i="12" s="1"/>
  <c r="E192" i="37"/>
  <c r="G192" i="37" s="1"/>
  <c r="I192" i="37" s="1"/>
  <c r="F198" i="34" s="1"/>
  <c r="F192" i="12" s="1"/>
  <c r="E47" i="37"/>
  <c r="G47" i="37" s="1"/>
  <c r="I47" i="37" s="1"/>
  <c r="F53" i="34" s="1"/>
  <c r="F47" i="12" s="1"/>
  <c r="E218" i="37"/>
  <c r="G218" i="37" s="1"/>
  <c r="I218" i="37" s="1"/>
  <c r="F224" i="34" s="1"/>
  <c r="F218" i="12" s="1"/>
  <c r="E256" i="37"/>
  <c r="G256" i="37" s="1"/>
  <c r="I256" i="37" s="1"/>
  <c r="F262" i="34" s="1"/>
  <c r="F256" i="12" s="1"/>
  <c r="E208" i="37"/>
  <c r="G208" i="37" s="1"/>
  <c r="I208" i="37" s="1"/>
  <c r="F214" i="34" s="1"/>
  <c r="F208" i="12" s="1"/>
  <c r="E253" i="37"/>
  <c r="G253" i="37" s="1"/>
  <c r="I253" i="37" s="1"/>
  <c r="F259" i="34" s="1"/>
  <c r="F253" i="12" s="1"/>
  <c r="E66" i="37"/>
  <c r="G66" i="37" s="1"/>
  <c r="I66" i="37" s="1"/>
  <c r="F72" i="34" s="1"/>
  <c r="F66" i="12" s="1"/>
  <c r="E85" i="37"/>
  <c r="G85" i="37" s="1"/>
  <c r="I85" i="37" s="1"/>
  <c r="F91" i="34" s="1"/>
  <c r="F85" i="12" s="1"/>
  <c r="E135" i="37"/>
  <c r="G135" i="37" s="1"/>
  <c r="I135" i="37" s="1"/>
  <c r="F141" i="34" s="1"/>
  <c r="F135" i="12" s="1"/>
  <c r="E102" i="37"/>
  <c r="G102" i="37" s="1"/>
  <c r="I102" i="37" s="1"/>
  <c r="F108" i="34" s="1"/>
  <c r="F102" i="12" s="1"/>
  <c r="E107" i="37"/>
  <c r="G107" i="37" s="1"/>
  <c r="I107" i="37" s="1"/>
  <c r="F113" i="34" s="1"/>
  <c r="F107" i="12" s="1"/>
  <c r="E119" i="37"/>
  <c r="G119" i="37" s="1"/>
  <c r="I119" i="37" s="1"/>
  <c r="F125" i="34" s="1"/>
  <c r="F119" i="12" s="1"/>
  <c r="E50" i="37"/>
  <c r="G50" i="37" s="1"/>
  <c r="I50" i="37" s="1"/>
  <c r="F56" i="34" s="1"/>
  <c r="F50" i="12" s="1"/>
  <c r="E240" i="37"/>
  <c r="G240" i="37" s="1"/>
  <c r="I240" i="37" s="1"/>
  <c r="F246" i="34" s="1"/>
  <c r="F240" i="12" s="1"/>
  <c r="E147" i="37"/>
  <c r="G147" i="37" s="1"/>
  <c r="I147" i="37" s="1"/>
  <c r="F153" i="34" s="1"/>
  <c r="F147" i="12" s="1"/>
  <c r="E189" i="37"/>
  <c r="G189" i="37" s="1"/>
  <c r="I189" i="37" s="1"/>
  <c r="F195" i="34" s="1"/>
  <c r="F189" i="12" s="1"/>
  <c r="E178" i="37"/>
  <c r="G178" i="37" s="1"/>
  <c r="I178" i="37" s="1"/>
  <c r="F184" i="34" s="1"/>
  <c r="F178" i="12" s="1"/>
  <c r="E39" i="37"/>
  <c r="G39" i="37" s="1"/>
  <c r="I39" i="37" s="1"/>
  <c r="F45" i="34" s="1"/>
  <c r="F39" i="12" s="1"/>
  <c r="E54" i="37"/>
  <c r="G54" i="37" s="1"/>
  <c r="I54" i="37" s="1"/>
  <c r="F60" i="34" s="1"/>
  <c r="F54" i="12" s="1"/>
  <c r="E63" i="37"/>
  <c r="G63" i="37" s="1"/>
  <c r="I63" i="37" s="1"/>
  <c r="F69" i="34" s="1"/>
  <c r="F63" i="12" s="1"/>
  <c r="E184" i="37"/>
  <c r="G184" i="37" s="1"/>
  <c r="I184" i="37" s="1"/>
  <c r="F190" i="34" s="1"/>
  <c r="F184" i="12" s="1"/>
  <c r="E131" i="37"/>
  <c r="G131" i="37" s="1"/>
  <c r="I131" i="37" s="1"/>
  <c r="F137" i="34" s="1"/>
  <c r="F131" i="12" s="1"/>
  <c r="E191" i="37"/>
  <c r="G191" i="37" s="1"/>
  <c r="I191" i="37" s="1"/>
  <c r="F197" i="34" s="1"/>
  <c r="F191" i="12" s="1"/>
  <c r="E69" i="37"/>
  <c r="G69" i="37" s="1"/>
  <c r="I69" i="37" s="1"/>
  <c r="F75" i="34" s="1"/>
  <c r="F69" i="12" s="1"/>
  <c r="E26" i="37"/>
  <c r="G26" i="37" s="1"/>
  <c r="I26" i="37" s="1"/>
  <c r="F32" i="34" s="1"/>
  <c r="F26" i="12" s="1"/>
  <c r="E46" i="37"/>
  <c r="G46" i="37" s="1"/>
  <c r="I46" i="37" s="1"/>
  <c r="F52" i="34" s="1"/>
  <c r="F46" i="12" s="1"/>
  <c r="E183" i="37"/>
  <c r="G183" i="37" s="1"/>
  <c r="I183" i="37" s="1"/>
  <c r="F189" i="34" s="1"/>
  <c r="F183" i="12" s="1"/>
  <c r="E138" i="37"/>
  <c r="G138" i="37" s="1"/>
  <c r="I138" i="37" s="1"/>
  <c r="F144" i="34" s="1"/>
  <c r="F138" i="12" s="1"/>
  <c r="E300" i="37"/>
  <c r="G300" i="37" s="1"/>
  <c r="I300" i="37" s="1"/>
  <c r="F306" i="34" s="1"/>
  <c r="F300" i="12" s="1"/>
  <c r="E176" i="37"/>
  <c r="G176" i="37" s="1"/>
  <c r="I176" i="37" s="1"/>
  <c r="F182" i="34" s="1"/>
  <c r="F176" i="12" s="1"/>
  <c r="E301" i="37"/>
  <c r="G301" i="37" s="1"/>
  <c r="I301" i="37" s="1"/>
  <c r="F307" i="34" s="1"/>
  <c r="F301" i="12" s="1"/>
  <c r="E237" i="37"/>
  <c r="G237" i="37" s="1"/>
  <c r="I237" i="37" s="1"/>
  <c r="F243" i="34" s="1"/>
  <c r="F237" i="12" s="1"/>
  <c r="E141" i="37"/>
  <c r="G141" i="37" s="1"/>
  <c r="I141" i="37" s="1"/>
  <c r="F147" i="34" s="1"/>
  <c r="F141" i="12" s="1"/>
  <c r="E125" i="37"/>
  <c r="G125" i="37" s="1"/>
  <c r="I125" i="37" s="1"/>
  <c r="F131" i="34" s="1"/>
  <c r="F125" i="12" s="1"/>
  <c r="E234" i="37"/>
  <c r="G234" i="37" s="1"/>
  <c r="I234" i="37" s="1"/>
  <c r="F240" i="34" s="1"/>
  <c r="F234" i="12" s="1"/>
  <c r="E274" i="37"/>
  <c r="G274" i="37" s="1"/>
  <c r="I274" i="37" s="1"/>
  <c r="F280" i="34" s="1"/>
  <c r="F274" i="12" s="1"/>
  <c r="E169" i="37"/>
  <c r="G169" i="37" s="1"/>
  <c r="I169" i="37" s="1"/>
  <c r="F175" i="34" s="1"/>
  <c r="F169" i="12" s="1"/>
  <c r="E163" i="37"/>
  <c r="G163" i="37" s="1"/>
  <c r="I163" i="37" s="1"/>
  <c r="F169" i="34" s="1"/>
  <c r="F163" i="12" s="1"/>
  <c r="E210" i="37"/>
  <c r="G210" i="37" s="1"/>
  <c r="I210" i="37" s="1"/>
  <c r="F216" i="34" s="1"/>
  <c r="F210" i="12" s="1"/>
  <c r="E261" i="37"/>
  <c r="G261" i="37" s="1"/>
  <c r="I261" i="37" s="1"/>
  <c r="F267" i="34" s="1"/>
  <c r="F261" i="12" s="1"/>
  <c r="E122" i="37"/>
  <c r="G122" i="37" s="1"/>
  <c r="I122" i="37" s="1"/>
  <c r="F128" i="34" s="1"/>
  <c r="F122" i="12" s="1"/>
  <c r="E45" i="37"/>
  <c r="G45" i="37" s="1"/>
  <c r="I45" i="37" s="1"/>
  <c r="F51" i="34" s="1"/>
  <c r="F45" i="12" s="1"/>
  <c r="E181" i="37"/>
  <c r="G181" i="37" s="1"/>
  <c r="I181" i="37" s="1"/>
  <c r="F187" i="34" s="1"/>
  <c r="F181" i="12" s="1"/>
  <c r="E126" i="37"/>
  <c r="G126" i="37" s="1"/>
  <c r="I126" i="37" s="1"/>
  <c r="F132" i="34" s="1"/>
  <c r="F126" i="12" s="1"/>
  <c r="E98" i="37"/>
  <c r="G98" i="37" s="1"/>
  <c r="I98" i="37" s="1"/>
  <c r="F104" i="34" s="1"/>
  <c r="F98" i="12" s="1"/>
  <c r="E94" i="37"/>
  <c r="G94" i="37" s="1"/>
  <c r="I94" i="37" s="1"/>
  <c r="F100" i="34" s="1"/>
  <c r="F94" i="12" s="1"/>
  <c r="E157" i="37"/>
  <c r="G157" i="37" s="1"/>
  <c r="I157" i="37" s="1"/>
  <c r="F163" i="34" s="1"/>
  <c r="F157" i="12" s="1"/>
  <c r="E38" i="37"/>
  <c r="G38" i="37" s="1"/>
  <c r="I38" i="37" s="1"/>
  <c r="F44" i="34" s="1"/>
  <c r="F38" i="12" s="1"/>
  <c r="E133" i="37"/>
  <c r="G133" i="37" s="1"/>
  <c r="I133" i="37" s="1"/>
  <c r="F139" i="34" s="1"/>
  <c r="F133" i="12" s="1"/>
  <c r="E272" i="37"/>
  <c r="G272" i="37" s="1"/>
  <c r="I272" i="37" s="1"/>
  <c r="F278" i="34" s="1"/>
  <c r="F272" i="12" s="1"/>
  <c r="E149" i="37"/>
  <c r="G149" i="37" s="1"/>
  <c r="I149" i="37" s="1"/>
  <c r="F155" i="34" s="1"/>
  <c r="F149" i="12" s="1"/>
  <c r="E287" i="37"/>
  <c r="G287" i="37" s="1"/>
  <c r="I287" i="37" s="1"/>
  <c r="F293" i="34" s="1"/>
  <c r="F287" i="12" s="1"/>
  <c r="E232" i="37"/>
  <c r="G232" i="37" s="1"/>
  <c r="I232" i="37" s="1"/>
  <c r="F238" i="34" s="1"/>
  <c r="F232" i="12" s="1"/>
  <c r="E101" i="37"/>
  <c r="G101" i="37" s="1"/>
  <c r="I101" i="37" s="1"/>
  <c r="F107" i="34" s="1"/>
  <c r="F101" i="12" s="1"/>
  <c r="E288" i="37"/>
  <c r="G288" i="37" s="1"/>
  <c r="I288" i="37" s="1"/>
  <c r="F294" i="34" s="1"/>
  <c r="F288" i="12" s="1"/>
  <c r="E269" i="37"/>
  <c r="G269" i="37" s="1"/>
  <c r="I269" i="37" s="1"/>
  <c r="F275" i="34" s="1"/>
  <c r="F269" i="12" s="1"/>
  <c r="E154" i="37"/>
  <c r="G154" i="37" s="1"/>
  <c r="I154" i="37" s="1"/>
  <c r="F160" i="34" s="1"/>
  <c r="F154" i="12" s="1"/>
  <c r="E226" i="37"/>
  <c r="G226" i="37" s="1"/>
  <c r="I226" i="37" s="1"/>
  <c r="F232" i="34" s="1"/>
  <c r="F226" i="12" s="1"/>
  <c r="E31" i="37"/>
  <c r="G31" i="37" s="1"/>
  <c r="I31" i="37" s="1"/>
  <c r="F37" i="34" s="1"/>
  <c r="F31" i="12" s="1"/>
  <c r="E174" i="37"/>
  <c r="G174" i="37" s="1"/>
  <c r="I174" i="37" s="1"/>
  <c r="F180" i="34" s="1"/>
  <c r="F174" i="12" s="1"/>
  <c r="E37" i="37"/>
  <c r="G37" i="37" s="1"/>
  <c r="I37" i="37" s="1"/>
  <c r="F43" i="34" s="1"/>
  <c r="F37" i="12" s="1"/>
  <c r="E77" i="37"/>
  <c r="G77" i="37" s="1"/>
  <c r="I77" i="37" s="1"/>
  <c r="F83" i="34" s="1"/>
  <c r="F77" i="12" s="1"/>
  <c r="E123" i="37"/>
  <c r="G123" i="37" s="1"/>
  <c r="I123" i="37" s="1"/>
  <c r="F129" i="34" s="1"/>
  <c r="F123" i="12" s="1"/>
  <c r="E61" i="37"/>
  <c r="G61" i="37" s="1"/>
  <c r="I61" i="37" s="1"/>
  <c r="F67" i="34" s="1"/>
  <c r="F61" i="12" s="1"/>
  <c r="E18" i="37"/>
  <c r="G18" i="37" s="1"/>
  <c r="I18" i="37" s="1"/>
  <c r="F24" i="34" s="1"/>
  <c r="F18" i="12" s="1"/>
  <c r="E111" i="37"/>
  <c r="G111" i="37" s="1"/>
  <c r="I111" i="37" s="1"/>
  <c r="F117" i="34" s="1"/>
  <c r="F111" i="12" s="1"/>
  <c r="E78" i="37"/>
  <c r="G78" i="37" s="1"/>
  <c r="I78" i="37" s="1"/>
  <c r="F84" i="34" s="1"/>
  <c r="F78" i="12" s="1"/>
  <c r="E30" i="37"/>
  <c r="G30" i="37" s="1"/>
  <c r="I30" i="37" s="1"/>
  <c r="F36" i="34" s="1"/>
  <c r="F30" i="12" s="1"/>
  <c r="E173" i="37"/>
  <c r="G173" i="37" s="1"/>
  <c r="I173" i="37" s="1"/>
  <c r="F179" i="34" s="1"/>
  <c r="F173" i="12" s="1"/>
  <c r="E55" i="37"/>
  <c r="G55" i="37" s="1"/>
  <c r="I55" i="37" s="1"/>
  <c r="F61" i="34" s="1"/>
  <c r="F55" i="12" s="1"/>
  <c r="E258" i="37"/>
  <c r="G258" i="37" s="1"/>
  <c r="I258" i="37" s="1"/>
  <c r="F264" i="34" s="1"/>
  <c r="F258" i="12" s="1"/>
  <c r="E296" i="37"/>
  <c r="G296" i="37" s="1"/>
  <c r="I296" i="37" s="1"/>
  <c r="F302" i="34" s="1"/>
  <c r="F296" i="12" s="1"/>
  <c r="E248" i="37"/>
  <c r="G248" i="37" s="1"/>
  <c r="I248" i="37" s="1"/>
  <c r="F254" i="34" s="1"/>
  <c r="F248" i="12" s="1"/>
  <c r="E58" i="37"/>
  <c r="G58" i="37" s="1"/>
  <c r="I58" i="37" s="1"/>
  <c r="F64" i="34" s="1"/>
  <c r="F58" i="12" s="1"/>
  <c r="E229" i="37"/>
  <c r="G229" i="37" s="1"/>
  <c r="I229" i="37" s="1"/>
  <c r="F235" i="34" s="1"/>
  <c r="F229" i="12" s="1"/>
  <c r="E142" i="37"/>
  <c r="G142" i="37" s="1"/>
  <c r="I142" i="37" s="1"/>
  <c r="F148" i="34" s="1"/>
  <c r="F142" i="12" s="1"/>
  <c r="E290" i="37"/>
  <c r="G290" i="37" s="1"/>
  <c r="I290" i="37" s="1"/>
  <c r="F296" i="34" s="1"/>
  <c r="F290" i="12" s="1"/>
  <c r="E239" i="37"/>
  <c r="G239" i="37" s="1"/>
  <c r="I239" i="37" s="1"/>
  <c r="F245" i="34" s="1"/>
  <c r="F239" i="12" s="1"/>
  <c r="E159" i="37"/>
  <c r="G159" i="37" s="1"/>
  <c r="I159" i="37" s="1"/>
  <c r="F165" i="34" s="1"/>
  <c r="F159" i="12" s="1"/>
  <c r="E114" i="37"/>
  <c r="G114" i="37" s="1"/>
  <c r="I114" i="37" s="1"/>
  <c r="F120" i="34" s="1"/>
  <c r="F114" i="12" s="1"/>
  <c r="E29" i="37"/>
  <c r="G29" i="37" s="1"/>
  <c r="I29" i="37" s="1"/>
  <c r="F35" i="34" s="1"/>
  <c r="F29" i="12" s="1"/>
  <c r="E171" i="37"/>
  <c r="G171" i="37" s="1"/>
  <c r="I171" i="37" s="1"/>
  <c r="F177" i="34" s="1"/>
  <c r="F171" i="12" s="1"/>
  <c r="E118" i="37"/>
  <c r="G118" i="37" s="1"/>
  <c r="I118" i="37" s="1"/>
  <c r="F124" i="34" s="1"/>
  <c r="F118" i="12" s="1"/>
  <c r="E175" i="37"/>
  <c r="G175" i="37" s="1"/>
  <c r="I175" i="37" s="1"/>
  <c r="F181" i="34" s="1"/>
  <c r="F175" i="12" s="1"/>
  <c r="E90" i="37"/>
  <c r="G90" i="37" s="1"/>
  <c r="I90" i="37" s="1"/>
  <c r="F96" i="34" s="1"/>
  <c r="F90" i="12" s="1"/>
  <c r="E127" i="37"/>
  <c r="G127" i="37" s="1"/>
  <c r="I127" i="37" s="1"/>
  <c r="F133" i="34" s="1"/>
  <c r="F127" i="12" s="1"/>
  <c r="E22" i="37"/>
  <c r="G22" i="37" s="1"/>
  <c r="I22" i="37" s="1"/>
  <c r="F28" i="34" s="1"/>
  <c r="F22" i="12" s="1"/>
  <c r="E42" i="37"/>
  <c r="G42" i="37" s="1"/>
  <c r="I42" i="37" s="1"/>
  <c r="F48" i="34" s="1"/>
  <c r="F42" i="12" s="1"/>
  <c r="E106" i="37"/>
  <c r="G106" i="37" s="1"/>
  <c r="I106" i="37" s="1"/>
  <c r="F112" i="34" s="1"/>
  <c r="F106" i="12" s="1"/>
  <c r="E70" i="37"/>
  <c r="G70" i="37" s="1"/>
  <c r="I70" i="37" s="1"/>
  <c r="F76" i="34" s="1"/>
  <c r="F70" i="12" s="1"/>
  <c r="E250" i="37"/>
  <c r="G250" i="37" s="1"/>
  <c r="I250" i="37" s="1"/>
  <c r="F256" i="34" s="1"/>
  <c r="F250" i="12" s="1"/>
  <c r="E242" i="37"/>
  <c r="G242" i="37" s="1"/>
  <c r="I242" i="37" s="1"/>
  <c r="F248" i="34" s="1"/>
  <c r="F242" i="12" s="1"/>
  <c r="E10" i="37"/>
  <c r="G10" i="37" s="1"/>
  <c r="I10" i="37" s="1"/>
  <c r="F16" i="34" s="1"/>
  <c r="F10" i="12" s="1"/>
  <c r="E158" i="37"/>
  <c r="G158" i="37" s="1"/>
  <c r="I158" i="37" s="1"/>
  <c r="F164" i="34" s="1"/>
  <c r="F158" i="12" s="1"/>
  <c r="E14" i="37"/>
  <c r="G14" i="37" s="1"/>
  <c r="I14" i="37" s="1"/>
  <c r="F20" i="34" s="1"/>
  <c r="F14" i="12" s="1"/>
  <c r="E202" i="37"/>
  <c r="G202" i="37" s="1"/>
  <c r="I202" i="37" s="1"/>
  <c r="F208" i="34" s="1"/>
  <c r="F202" i="12" s="1"/>
  <c r="E115" i="37"/>
  <c r="G115" i="37" s="1"/>
  <c r="I115" i="37" s="1"/>
  <c r="F121" i="34" s="1"/>
  <c r="F115" i="12" s="1"/>
  <c r="E146" i="37"/>
  <c r="G146" i="37" s="1"/>
  <c r="I146" i="37" s="1"/>
  <c r="F152" i="34" s="1"/>
  <c r="F146" i="12" s="1"/>
  <c r="E221" i="37"/>
  <c r="G221" i="37" s="1"/>
  <c r="I221" i="37" s="1"/>
  <c r="F227" i="34" s="1"/>
  <c r="F221" i="12" s="1"/>
  <c r="E23" i="37"/>
  <c r="G23" i="37" s="1"/>
  <c r="I23" i="37" s="1"/>
  <c r="F29" i="34" s="1"/>
  <c r="F23" i="12" s="1"/>
  <c r="E224" i="37"/>
  <c r="G224" i="37" s="1"/>
  <c r="I224" i="37" s="1"/>
  <c r="F230" i="34" s="1"/>
  <c r="F224" i="12" s="1"/>
  <c r="E15" i="37"/>
  <c r="G15" i="37" s="1"/>
  <c r="I15" i="37" s="1"/>
  <c r="F21" i="34" s="1"/>
  <c r="F15" i="12" s="1"/>
  <c r="E151" i="37"/>
  <c r="G151" i="37" s="1"/>
  <c r="I151" i="37" s="1"/>
  <c r="F157" i="34" s="1"/>
  <c r="F151" i="12" s="1"/>
  <c r="E74" i="37"/>
  <c r="G74" i="37" s="1"/>
  <c r="I74" i="37" s="1"/>
  <c r="F80" i="34" s="1"/>
  <c r="F74" i="12" s="1"/>
  <c r="E200" i="37"/>
  <c r="G200" i="37" s="1"/>
  <c r="I200" i="37" s="1"/>
  <c r="F206" i="34" s="1"/>
  <c r="F200" i="12" s="1"/>
  <c r="E87" i="37"/>
  <c r="G87" i="37" s="1"/>
  <c r="I87" i="37" s="1"/>
  <c r="F93" i="34" s="1"/>
  <c r="F87" i="12" s="1"/>
  <c r="E21" i="37"/>
  <c r="G21" i="37" s="1"/>
  <c r="I21" i="37" s="1"/>
  <c r="F27" i="34" s="1"/>
  <c r="F21" i="12" s="1"/>
  <c r="E86" i="37"/>
  <c r="G86" i="37" s="1"/>
  <c r="I86" i="37" s="1"/>
  <c r="F92" i="34" s="1"/>
  <c r="F86" i="12" s="1"/>
  <c r="G7" i="33"/>
  <c r="G64" i="33"/>
  <c r="G48" i="33"/>
  <c r="G32" i="33"/>
  <c r="G68" i="33"/>
  <c r="G97" i="33"/>
  <c r="G121" i="33"/>
  <c r="G52" i="33"/>
  <c r="G99" i="33"/>
  <c r="G100" i="33"/>
  <c r="G89" i="33"/>
  <c r="G136" i="33"/>
  <c r="G116" i="33"/>
  <c r="G138" i="33"/>
  <c r="G152" i="33"/>
  <c r="G105" i="33"/>
  <c r="G120" i="33"/>
  <c r="G127" i="33"/>
  <c r="G144" i="33"/>
  <c r="G113" i="33"/>
  <c r="G198" i="33"/>
  <c r="G36" i="33"/>
  <c r="G128" i="33"/>
  <c r="G141" i="33"/>
  <c r="G174" i="33"/>
  <c r="G76" i="33"/>
  <c r="G118" i="33"/>
  <c r="G16" i="33"/>
  <c r="G190" i="33"/>
  <c r="G192" i="33"/>
  <c r="G166" i="33"/>
  <c r="G210" i="33"/>
  <c r="G201" i="33"/>
  <c r="G259" i="33"/>
  <c r="G267" i="33"/>
  <c r="G130" i="33"/>
  <c r="G184" i="33"/>
  <c r="G197" i="33"/>
  <c r="G226" i="33"/>
  <c r="G228" i="33"/>
  <c r="G234" i="33"/>
  <c r="G200" i="33"/>
  <c r="G275" i="33"/>
  <c r="G115" i="33"/>
  <c r="G160" i="33"/>
  <c r="G202" i="33"/>
  <c r="G204" i="33"/>
  <c r="G237" i="33"/>
  <c r="G20" i="33"/>
  <c r="G182" i="33"/>
  <c r="G218" i="33"/>
  <c r="G168" i="33"/>
  <c r="G242" i="33"/>
  <c r="G253" i="33"/>
  <c r="G261" i="33"/>
  <c r="G269" i="33"/>
  <c r="G181" i="33"/>
  <c r="G244" i="33"/>
  <c r="G285" i="33"/>
  <c r="G293" i="33"/>
  <c r="G277" i="33"/>
  <c r="G282" i="33"/>
  <c r="G158" i="33"/>
  <c r="G245" i="33"/>
  <c r="G250" i="33"/>
  <c r="G301" i="33"/>
  <c r="G256" i="33"/>
  <c r="G286" i="33"/>
  <c r="G295" i="33"/>
  <c r="G252" i="33"/>
  <c r="G303" i="33"/>
  <c r="G273" i="33"/>
  <c r="G178" i="33"/>
  <c r="G270" i="33"/>
  <c r="G248" i="33"/>
  <c r="G294" i="33"/>
  <c r="G300" i="33"/>
  <c r="G255" i="33"/>
  <c r="G238" i="33"/>
  <c r="G194" i="33"/>
  <c r="G183" i="33"/>
  <c r="G231" i="33"/>
  <c r="G91" i="33"/>
  <c r="G154" i="33"/>
  <c r="G187" i="33"/>
  <c r="G28" i="33"/>
  <c r="G71" i="33"/>
  <c r="G66" i="33"/>
  <c r="G55" i="33"/>
  <c r="G8" i="33"/>
  <c r="G25" i="33"/>
  <c r="G21" i="33"/>
  <c r="G296" i="33"/>
  <c r="G211" i="33"/>
  <c r="G213" i="33"/>
  <c r="G292" i="33"/>
  <c r="G287" i="33"/>
  <c r="G247" i="33"/>
  <c r="G206" i="33"/>
  <c r="G283" i="33"/>
  <c r="G251" i="33"/>
  <c r="G176" i="33"/>
  <c r="G156" i="33"/>
  <c r="G46" i="33"/>
  <c r="G175" i="33"/>
  <c r="G162" i="33"/>
  <c r="G223" i="33"/>
  <c r="G135" i="33"/>
  <c r="G179" i="33"/>
  <c r="G73" i="33"/>
  <c r="G39" i="33"/>
  <c r="G94" i="33"/>
  <c r="G74" i="33"/>
  <c r="G102" i="33"/>
  <c r="G58" i="33"/>
  <c r="G101" i="33"/>
  <c r="G40" i="33"/>
  <c r="G86" i="33"/>
  <c r="G18" i="33"/>
  <c r="G33" i="33"/>
  <c r="G38" i="33"/>
  <c r="G155" i="33"/>
  <c r="G278" i="33"/>
  <c r="G290" i="33"/>
  <c r="G93" i="33"/>
  <c r="G284" i="33"/>
  <c r="G298" i="33"/>
  <c r="G268" i="33"/>
  <c r="G170" i="33"/>
  <c r="G304" i="33"/>
  <c r="G246" i="33"/>
  <c r="G203" i="33"/>
  <c r="G235" i="33"/>
  <c r="G227" i="33"/>
  <c r="G219" i="33"/>
  <c r="G65" i="33"/>
  <c r="G215" i="33"/>
  <c r="G42" i="33"/>
  <c r="G107" i="33"/>
  <c r="G85" i="33"/>
  <c r="G148" i="33"/>
  <c r="G171" i="33"/>
  <c r="G129" i="33"/>
  <c r="G108" i="33"/>
  <c r="G140" i="33"/>
  <c r="G133" i="33"/>
  <c r="G62" i="33"/>
  <c r="G56" i="33"/>
  <c r="G98" i="33"/>
  <c r="G72" i="33"/>
  <c r="G60" i="33"/>
  <c r="G54" i="33"/>
  <c r="G69" i="33"/>
  <c r="G229" i="33"/>
  <c r="G263" i="33"/>
  <c r="G299" i="33"/>
  <c r="G272" i="33"/>
  <c r="G222" i="33"/>
  <c r="G274" i="33"/>
  <c r="G220" i="33"/>
  <c r="G173" i="33"/>
  <c r="G243" i="33"/>
  <c r="G186" i="33"/>
  <c r="G161" i="33"/>
  <c r="G221" i="33"/>
  <c r="G177" i="33"/>
  <c r="G199" i="33"/>
  <c r="G205" i="33"/>
  <c r="G207" i="33"/>
  <c r="G191" i="33"/>
  <c r="G109" i="33"/>
  <c r="G193" i="33"/>
  <c r="G172" i="33"/>
  <c r="G163" i="33"/>
  <c r="G44" i="33"/>
  <c r="G106" i="33"/>
  <c r="G82" i="33"/>
  <c r="G79" i="33"/>
  <c r="G131" i="33"/>
  <c r="G30" i="33"/>
  <c r="G57" i="33"/>
  <c r="G70" i="33"/>
  <c r="G22" i="33"/>
  <c r="G10" i="33"/>
  <c r="G61" i="33"/>
  <c r="G239" i="33"/>
  <c r="G123" i="33"/>
  <c r="G289" i="33"/>
  <c r="G208" i="33"/>
  <c r="G262" i="33"/>
  <c r="G279" i="33"/>
  <c r="G254" i="33"/>
  <c r="G212" i="33"/>
  <c r="G147" i="33"/>
  <c r="G143" i="33"/>
  <c r="G134" i="33"/>
  <c r="G195" i="33"/>
  <c r="G83" i="33"/>
  <c r="G34" i="33"/>
  <c r="G81" i="33"/>
  <c r="G14" i="33"/>
  <c r="G50" i="33"/>
  <c r="G122" i="33"/>
  <c r="G114" i="33"/>
  <c r="G45" i="33"/>
  <c r="G276" i="33"/>
  <c r="G291" i="33"/>
  <c r="G260" i="33"/>
  <c r="G236" i="33"/>
  <c r="G297" i="33"/>
  <c r="G302" i="33"/>
  <c r="G271" i="33"/>
  <c r="G214" i="33"/>
  <c r="G266" i="33"/>
  <c r="G159" i="33"/>
  <c r="G169" i="33"/>
  <c r="G137" i="33"/>
  <c r="G119" i="33"/>
  <c r="G13" i="33"/>
  <c r="G53" i="33"/>
  <c r="G132" i="33"/>
  <c r="G264" i="33"/>
  <c r="G185" i="33"/>
  <c r="G17" i="33"/>
  <c r="G26" i="33"/>
  <c r="G37" i="33"/>
  <c r="G24" i="33"/>
  <c r="G258" i="33"/>
  <c r="G167" i="33"/>
  <c r="G77" i="33"/>
  <c r="G29" i="33"/>
  <c r="G280" i="33"/>
  <c r="G9" i="33"/>
  <c r="G146" i="33"/>
  <c r="G11" i="33"/>
  <c r="G84" i="33"/>
  <c r="G23" i="33"/>
  <c r="G12" i="33"/>
  <c r="G230" i="33"/>
  <c r="G80" i="33"/>
  <c r="G216" i="33"/>
  <c r="G125" i="33"/>
  <c r="G49" i="33"/>
  <c r="G139" i="33"/>
  <c r="G110" i="33"/>
  <c r="G41" i="33"/>
  <c r="G288" i="33"/>
  <c r="G92" i="33"/>
  <c r="G124" i="33"/>
  <c r="G90" i="33"/>
  <c r="G78" i="33"/>
  <c r="G47" i="33"/>
  <c r="G96" i="33"/>
  <c r="G165" i="33"/>
  <c r="G63" i="33"/>
  <c r="G87" i="33"/>
  <c r="G88" i="33"/>
  <c r="G240" i="33"/>
  <c r="G225" i="33"/>
  <c r="G27" i="33"/>
  <c r="G149" i="33"/>
  <c r="G126" i="33"/>
  <c r="G95" i="33"/>
  <c r="G209" i="33"/>
  <c r="G281" i="33"/>
  <c r="G188" i="33"/>
  <c r="G104" i="33"/>
  <c r="G112" i="33"/>
  <c r="G151" i="33"/>
  <c r="G233" i="33"/>
  <c r="G43" i="33"/>
  <c r="G75" i="33"/>
  <c r="G19" i="33"/>
  <c r="G224" i="33"/>
  <c r="G111" i="33"/>
  <c r="G142" i="33"/>
  <c r="G249" i="33"/>
  <c r="G59" i="33"/>
  <c r="G164" i="33"/>
  <c r="G257" i="33"/>
  <c r="G180" i="33"/>
  <c r="G103" i="33"/>
  <c r="G241" i="33"/>
  <c r="G31" i="33"/>
  <c r="G157" i="33"/>
  <c r="G305" i="33"/>
  <c r="G153" i="33"/>
  <c r="G117" i="33"/>
  <c r="G145" i="33"/>
  <c r="G15" i="33"/>
  <c r="G51" i="33"/>
  <c r="G35" i="33"/>
  <c r="G232" i="33"/>
  <c r="G265" i="33"/>
  <c r="G189" i="33"/>
  <c r="G67" i="33"/>
  <c r="G150" i="33"/>
  <c r="G196" i="33"/>
  <c r="G217" i="33"/>
  <c r="H21" i="33"/>
  <c r="H29" i="33"/>
  <c r="H37" i="33"/>
  <c r="H45" i="33"/>
  <c r="H53" i="33"/>
  <c r="H61" i="33"/>
  <c r="H69" i="33"/>
  <c r="H10" i="33"/>
  <c r="H89" i="33"/>
  <c r="H97" i="33"/>
  <c r="H105" i="33"/>
  <c r="H113" i="33"/>
  <c r="H110" i="33"/>
  <c r="H121" i="33"/>
  <c r="H118" i="33"/>
  <c r="H128" i="33"/>
  <c r="H102" i="33"/>
  <c r="H122" i="33"/>
  <c r="H136" i="33"/>
  <c r="H100" i="33"/>
  <c r="H139" i="33"/>
  <c r="H50" i="33"/>
  <c r="H66" i="33"/>
  <c r="H131" i="33"/>
  <c r="H133" i="33"/>
  <c r="H119" i="33"/>
  <c r="H141" i="33"/>
  <c r="H158" i="33"/>
  <c r="H166" i="33"/>
  <c r="H174" i="33"/>
  <c r="H182" i="33"/>
  <c r="H190" i="33"/>
  <c r="H138" i="33"/>
  <c r="H148" i="33"/>
  <c r="H179" i="33"/>
  <c r="H198" i="33"/>
  <c r="H86" i="33"/>
  <c r="H154" i="33"/>
  <c r="H193" i="33"/>
  <c r="H169" i="33"/>
  <c r="H200" i="33"/>
  <c r="H202" i="33"/>
  <c r="H210" i="33"/>
  <c r="H218" i="33"/>
  <c r="H226" i="33"/>
  <c r="H234" i="33"/>
  <c r="H215" i="33"/>
  <c r="H192" i="33"/>
  <c r="H195" i="33"/>
  <c r="H204" i="33"/>
  <c r="H125" i="33"/>
  <c r="H152" i="33"/>
  <c r="H7" i="33"/>
  <c r="H236" i="33"/>
  <c r="H205" i="33"/>
  <c r="H231" i="33"/>
  <c r="H221" i="33"/>
  <c r="H237" i="33"/>
  <c r="H184" i="33"/>
  <c r="H207" i="33"/>
  <c r="H228" i="33"/>
  <c r="H144" i="33"/>
  <c r="H223" i="33"/>
  <c r="H259" i="33"/>
  <c r="H99" i="33"/>
  <c r="H163" i="33"/>
  <c r="H187" i="33"/>
  <c r="H220" i="33"/>
  <c r="H239" i="33"/>
  <c r="H272" i="33"/>
  <c r="H269" i="33"/>
  <c r="H277" i="33"/>
  <c r="H285" i="33"/>
  <c r="H261" i="33"/>
  <c r="H253" i="33"/>
  <c r="H296" i="33"/>
  <c r="H171" i="33"/>
  <c r="H288" i="33"/>
  <c r="H213" i="33"/>
  <c r="H301" i="33"/>
  <c r="H293" i="33"/>
  <c r="H291" i="33"/>
  <c r="H260" i="33"/>
  <c r="H297" i="33"/>
  <c r="H264" i="33"/>
  <c r="H230" i="33"/>
  <c r="H185" i="33"/>
  <c r="H271" i="33"/>
  <c r="H216" i="33"/>
  <c r="H137" i="33"/>
  <c r="H49" i="33"/>
  <c r="H84" i="33"/>
  <c r="H90" i="33"/>
  <c r="H17" i="33"/>
  <c r="H56" i="33"/>
  <c r="H72" i="33"/>
  <c r="H12" i="33"/>
  <c r="H268" i="33"/>
  <c r="H302" i="33"/>
  <c r="H243" i="33"/>
  <c r="H186" i="33"/>
  <c r="H191" i="33"/>
  <c r="H135" i="33"/>
  <c r="H256" i="33"/>
  <c r="H295" i="33"/>
  <c r="H252" i="33"/>
  <c r="H303" i="33"/>
  <c r="H178" i="33"/>
  <c r="H304" i="33"/>
  <c r="H248" i="33"/>
  <c r="H300" i="33"/>
  <c r="H238" i="33"/>
  <c r="H194" i="33"/>
  <c r="H183" i="33"/>
  <c r="H160" i="33"/>
  <c r="H242" i="33"/>
  <c r="H181" i="33"/>
  <c r="H91" i="33"/>
  <c r="H176" i="33"/>
  <c r="H143" i="33"/>
  <c r="H71" i="33"/>
  <c r="H55" i="33"/>
  <c r="H36" i="33"/>
  <c r="H25" i="33"/>
  <c r="H8" i="33"/>
  <c r="H199" i="33"/>
  <c r="H115" i="33"/>
  <c r="H109" i="33"/>
  <c r="H287" i="33"/>
  <c r="H206" i="33"/>
  <c r="H273" i="33"/>
  <c r="H274" i="33"/>
  <c r="H46" i="33"/>
  <c r="H263" i="33"/>
  <c r="H201" i="33"/>
  <c r="H175" i="33"/>
  <c r="H162" i="33"/>
  <c r="H245" i="33"/>
  <c r="H73" i="33"/>
  <c r="H39" i="33"/>
  <c r="H74" i="33"/>
  <c r="H60" i="33"/>
  <c r="H58" i="33"/>
  <c r="H101" i="33"/>
  <c r="H33" i="33"/>
  <c r="H32" i="33"/>
  <c r="H38" i="33"/>
  <c r="H247" i="33"/>
  <c r="H255" i="33"/>
  <c r="H292" i="33"/>
  <c r="H170" i="33"/>
  <c r="H262" i="33"/>
  <c r="H282" i="33"/>
  <c r="H283" i="33"/>
  <c r="H278" i="33"/>
  <c r="H254" i="33"/>
  <c r="H251" i="33"/>
  <c r="H275" i="33"/>
  <c r="H156" i="33"/>
  <c r="H203" i="33"/>
  <c r="H235" i="33"/>
  <c r="H227" i="33"/>
  <c r="H219" i="33"/>
  <c r="H244" i="33"/>
  <c r="H65" i="33"/>
  <c r="H42" i="33"/>
  <c r="H107" i="33"/>
  <c r="H85" i="33"/>
  <c r="H28" i="33"/>
  <c r="H129" i="33"/>
  <c r="H108" i="33"/>
  <c r="H140" i="33"/>
  <c r="H94" i="33"/>
  <c r="H76" i="33"/>
  <c r="H62" i="33"/>
  <c r="H78" i="33"/>
  <c r="H98" i="33"/>
  <c r="H11" i="33"/>
  <c r="H54" i="33"/>
  <c r="H68" i="33"/>
  <c r="H284" i="33"/>
  <c r="H172" i="33"/>
  <c r="H250" i="33"/>
  <c r="H211" i="33"/>
  <c r="H266" i="33"/>
  <c r="H246" i="33"/>
  <c r="H280" i="33"/>
  <c r="H222" i="33"/>
  <c r="H80" i="33"/>
  <c r="H177" i="33"/>
  <c r="H93" i="33"/>
  <c r="H18" i="33"/>
  <c r="H123" i="33"/>
  <c r="H116" i="33"/>
  <c r="H23" i="33"/>
  <c r="H9" i="33"/>
  <c r="H229" i="33"/>
  <c r="H286" i="33"/>
  <c r="H208" i="33"/>
  <c r="H299" i="33"/>
  <c r="H173" i="33"/>
  <c r="H270" i="33"/>
  <c r="H294" i="33"/>
  <c r="H212" i="33"/>
  <c r="H267" i="33"/>
  <c r="H290" i="33"/>
  <c r="H146" i="33"/>
  <c r="H127" i="33"/>
  <c r="H70" i="33"/>
  <c r="H124" i="33"/>
  <c r="H298" i="33"/>
  <c r="H159" i="33"/>
  <c r="H14" i="33"/>
  <c r="H13" i="33"/>
  <c r="H20" i="33"/>
  <c r="H279" i="33"/>
  <c r="H16" i="33"/>
  <c r="H289" i="33"/>
  <c r="H155" i="33"/>
  <c r="H120" i="33"/>
  <c r="H30" i="33"/>
  <c r="H26" i="33"/>
  <c r="H64" i="33"/>
  <c r="H22" i="33"/>
  <c r="H161" i="33"/>
  <c r="H83" i="33"/>
  <c r="H34" i="33"/>
  <c r="H82" i="33"/>
  <c r="H48" i="33"/>
  <c r="H79" i="33"/>
  <c r="H52" i="33"/>
  <c r="H258" i="33"/>
  <c r="H168" i="33"/>
  <c r="H147" i="33"/>
  <c r="H130" i="33"/>
  <c r="H167" i="33"/>
  <c r="H81" i="33"/>
  <c r="H77" i="33"/>
  <c r="H134" i="33"/>
  <c r="H132" i="33"/>
  <c r="H24" i="33"/>
  <c r="H276" i="33"/>
  <c r="H214" i="33"/>
  <c r="H197" i="33"/>
  <c r="H44" i="33"/>
  <c r="H106" i="33"/>
  <c r="H114" i="33"/>
  <c r="H40" i="33"/>
  <c r="H41" i="33"/>
  <c r="H57" i="33"/>
  <c r="H92" i="33"/>
  <c r="H51" i="33"/>
  <c r="H35" i="33"/>
  <c r="H241" i="33"/>
  <c r="H196" i="33"/>
  <c r="H157" i="33"/>
  <c r="H145" i="33"/>
  <c r="H189" i="33"/>
  <c r="H188" i="33"/>
  <c r="H59" i="33"/>
  <c r="H87" i="33"/>
  <c r="H47" i="33"/>
  <c r="H150" i="33"/>
  <c r="H63" i="33"/>
  <c r="H67" i="33"/>
  <c r="H232" i="33"/>
  <c r="H88" i="33"/>
  <c r="H149" i="33"/>
  <c r="H126" i="33"/>
  <c r="H19" i="33"/>
  <c r="H217" i="33"/>
  <c r="H265" i="33"/>
  <c r="H240" i="33"/>
  <c r="H43" i="33"/>
  <c r="H95" i="33"/>
  <c r="H281" i="33"/>
  <c r="H75" i="33"/>
  <c r="H15" i="33"/>
  <c r="H224" i="33"/>
  <c r="H225" i="33"/>
  <c r="H27" i="33"/>
  <c r="H142" i="33"/>
  <c r="H96" i="33"/>
  <c r="H165" i="33"/>
  <c r="H164" i="33"/>
  <c r="H209" i="33"/>
  <c r="H180" i="33"/>
  <c r="H111" i="33"/>
  <c r="H31" i="33"/>
  <c r="H249" i="33"/>
  <c r="H305" i="33"/>
  <c r="H257" i="33"/>
  <c r="H103" i="33"/>
  <c r="H153" i="33"/>
  <c r="H117" i="33"/>
  <c r="H104" i="33"/>
  <c r="H112" i="33"/>
  <c r="H151" i="33"/>
  <c r="H233" i="33"/>
  <c r="K16" i="33"/>
  <c r="K64" i="33"/>
  <c r="K8" i="33"/>
  <c r="K48" i="33"/>
  <c r="K32" i="33"/>
  <c r="K68" i="33"/>
  <c r="K36" i="33"/>
  <c r="K20" i="33"/>
  <c r="K101" i="33"/>
  <c r="K100" i="33"/>
  <c r="K122" i="33"/>
  <c r="K52" i="33"/>
  <c r="K131" i="33"/>
  <c r="K139" i="33"/>
  <c r="K84" i="33"/>
  <c r="K119" i="33"/>
  <c r="K132" i="33"/>
  <c r="K140" i="33"/>
  <c r="K154" i="33"/>
  <c r="K172" i="33"/>
  <c r="K169" i="33"/>
  <c r="K185" i="33"/>
  <c r="K193" i="33"/>
  <c r="K205" i="33"/>
  <c r="K197" i="33"/>
  <c r="K200" i="33"/>
  <c r="K222" i="33"/>
  <c r="K114" i="33"/>
  <c r="K194" i="33"/>
  <c r="K221" i="33"/>
  <c r="K237" i="33"/>
  <c r="K238" i="33"/>
  <c r="K186" i="33"/>
  <c r="K286" i="33"/>
  <c r="K162" i="33"/>
  <c r="K254" i="33"/>
  <c r="K270" i="33"/>
  <c r="K216" i="33"/>
  <c r="K262" i="33"/>
  <c r="K278" i="33"/>
  <c r="K302" i="33"/>
  <c r="K297" i="33"/>
  <c r="K229" i="33"/>
  <c r="K250" i="33"/>
  <c r="K266" i="33"/>
  <c r="K294" i="33"/>
  <c r="K283" i="33"/>
  <c r="K251" i="33"/>
  <c r="K269" i="33"/>
  <c r="K236" i="33"/>
  <c r="K242" i="33"/>
  <c r="K213" i="33"/>
  <c r="K255" i="33"/>
  <c r="K214" i="33"/>
  <c r="K93" i="33"/>
  <c r="K182" i="33"/>
  <c r="K42" i="33"/>
  <c r="K107" i="33"/>
  <c r="K192" i="33"/>
  <c r="K109" i="33"/>
  <c r="K223" i="33"/>
  <c r="K14" i="33"/>
  <c r="K94" i="33"/>
  <c r="K179" i="33"/>
  <c r="K102" i="33"/>
  <c r="K118" i="33"/>
  <c r="K86" i="33"/>
  <c r="K97" i="33"/>
  <c r="K252" i="33"/>
  <c r="K273" i="33"/>
  <c r="K300" i="33"/>
  <c r="K181" i="33"/>
  <c r="K235" i="33"/>
  <c r="K175" i="33"/>
  <c r="K73" i="33"/>
  <c r="K276" i="33"/>
  <c r="K208" i="33"/>
  <c r="K304" i="33"/>
  <c r="K173" i="33"/>
  <c r="K244" i="33"/>
  <c r="K159" i="33"/>
  <c r="K125" i="33"/>
  <c r="K167" i="33"/>
  <c r="K134" i="33"/>
  <c r="K146" i="33"/>
  <c r="K215" i="33"/>
  <c r="K174" i="33"/>
  <c r="K44" i="33"/>
  <c r="K171" i="33"/>
  <c r="K138" i="33"/>
  <c r="K90" i="33"/>
  <c r="K133" i="33"/>
  <c r="K41" i="33"/>
  <c r="K12" i="33"/>
  <c r="K10" i="33"/>
  <c r="K195" i="33"/>
  <c r="K258" i="33"/>
  <c r="K210" i="33"/>
  <c r="K295" i="33"/>
  <c r="K290" i="33"/>
  <c r="K155" i="33"/>
  <c r="K260" i="33"/>
  <c r="K298" i="33"/>
  <c r="K147" i="33"/>
  <c r="K261" i="33"/>
  <c r="K80" i="33"/>
  <c r="K166" i="33"/>
  <c r="K207" i="33"/>
  <c r="K49" i="33"/>
  <c r="K127" i="33"/>
  <c r="K79" i="33"/>
  <c r="K163" i="33"/>
  <c r="K17" i="33"/>
  <c r="K113" i="33"/>
  <c r="K61" i="33"/>
  <c r="K11" i="33"/>
  <c r="K7" i="33"/>
  <c r="K259" i="33"/>
  <c r="K293" i="33"/>
  <c r="K46" i="33"/>
  <c r="K148" i="33"/>
  <c r="K296" i="33"/>
  <c r="K287" i="33"/>
  <c r="K299" i="33"/>
  <c r="K303" i="33"/>
  <c r="K289" i="33"/>
  <c r="K267" i="33"/>
  <c r="K212" i="33"/>
  <c r="K301" i="33"/>
  <c r="K183" i="33"/>
  <c r="K239" i="33"/>
  <c r="K168" i="33"/>
  <c r="K115" i="33"/>
  <c r="K83" i="33"/>
  <c r="K137" i="33"/>
  <c r="K34" i="33"/>
  <c r="K81" i="33"/>
  <c r="K50" i="33"/>
  <c r="K152" i="33"/>
  <c r="K124" i="33"/>
  <c r="K116" i="33"/>
  <c r="K40" i="33"/>
  <c r="K25" i="33"/>
  <c r="K230" i="33"/>
  <c r="K253" i="33"/>
  <c r="K144" i="33"/>
  <c r="K292" i="33"/>
  <c r="K280" i="33"/>
  <c r="K291" i="33"/>
  <c r="K247" i="33"/>
  <c r="K275" i="33"/>
  <c r="K178" i="33"/>
  <c r="K243" i="33"/>
  <c r="K274" i="33"/>
  <c r="K161" i="33"/>
  <c r="K285" i="33"/>
  <c r="K245" i="33"/>
  <c r="K203" i="33"/>
  <c r="K92" i="33"/>
  <c r="K227" i="33"/>
  <c r="K201" i="33"/>
  <c r="K219" i="33"/>
  <c r="K234" i="33"/>
  <c r="K198" i="33"/>
  <c r="K65" i="33"/>
  <c r="K129" i="33"/>
  <c r="K108" i="33"/>
  <c r="K106" i="33"/>
  <c r="K82" i="33"/>
  <c r="K60" i="33"/>
  <c r="K77" i="33"/>
  <c r="K62" i="33"/>
  <c r="K99" i="33"/>
  <c r="K78" i="33"/>
  <c r="K110" i="33"/>
  <c r="K13" i="33"/>
  <c r="K54" i="33"/>
  <c r="K37" i="33"/>
  <c r="K26" i="33"/>
  <c r="K284" i="33"/>
  <c r="K268" i="33"/>
  <c r="K256" i="33"/>
  <c r="K206" i="33"/>
  <c r="K282" i="33"/>
  <c r="K288" i="33"/>
  <c r="K279" i="33"/>
  <c r="K264" i="33"/>
  <c r="K158" i="33"/>
  <c r="K156" i="33"/>
  <c r="K271" i="33"/>
  <c r="K76" i="33"/>
  <c r="K55" i="33"/>
  <c r="K56" i="33"/>
  <c r="K29" i="33"/>
  <c r="K226" i="33"/>
  <c r="K91" i="33"/>
  <c r="K176" i="33"/>
  <c r="K21" i="33"/>
  <c r="K187" i="33"/>
  <c r="K38" i="33"/>
  <c r="K218" i="33"/>
  <c r="K204" i="33"/>
  <c r="K263" i="33"/>
  <c r="K177" i="33"/>
  <c r="K28" i="33"/>
  <c r="K74" i="33"/>
  <c r="K141" i="33"/>
  <c r="K105" i="33"/>
  <c r="K89" i="33"/>
  <c r="K33" i="33"/>
  <c r="K70" i="33"/>
  <c r="K211" i="33"/>
  <c r="K39" i="33"/>
  <c r="K98" i="33"/>
  <c r="K202" i="33"/>
  <c r="K184" i="33"/>
  <c r="K191" i="33"/>
  <c r="K135" i="33"/>
  <c r="K66" i="33"/>
  <c r="K121" i="33"/>
  <c r="K69" i="33"/>
  <c r="K248" i="33"/>
  <c r="K277" i="33"/>
  <c r="K120" i="33"/>
  <c r="K170" i="33"/>
  <c r="K272" i="33"/>
  <c r="K199" i="33"/>
  <c r="K123" i="33"/>
  <c r="K128" i="33"/>
  <c r="K57" i="33"/>
  <c r="K246" i="33"/>
  <c r="K220" i="33"/>
  <c r="K228" i="33"/>
  <c r="K190" i="33"/>
  <c r="K143" i="33"/>
  <c r="K71" i="33"/>
  <c r="K30" i="33"/>
  <c r="K18" i="33"/>
  <c r="K72" i="33"/>
  <c r="K22" i="33"/>
  <c r="K23" i="33"/>
  <c r="K160" i="33"/>
  <c r="K231" i="33"/>
  <c r="K130" i="33"/>
  <c r="K24" i="33"/>
  <c r="K53" i="33"/>
  <c r="K136" i="33"/>
  <c r="K58" i="33"/>
  <c r="K45" i="33"/>
  <c r="K9" i="33"/>
  <c r="K85" i="33"/>
  <c r="K67" i="33"/>
  <c r="K305" i="33"/>
  <c r="K51" i="33"/>
  <c r="K35" i="33"/>
  <c r="K96" i="33"/>
  <c r="K151" i="33"/>
  <c r="K232" i="33"/>
  <c r="K265" i="33"/>
  <c r="K117" i="33"/>
  <c r="K111" i="33"/>
  <c r="K257" i="33"/>
  <c r="K15" i="33"/>
  <c r="K87" i="33"/>
  <c r="K43" i="33"/>
  <c r="K31" i="33"/>
  <c r="K145" i="33"/>
  <c r="K75" i="33"/>
  <c r="K188" i="33"/>
  <c r="K225" i="33"/>
  <c r="K165" i="33"/>
  <c r="K104" i="33"/>
  <c r="K112" i="33"/>
  <c r="K150" i="33"/>
  <c r="K196" i="33"/>
  <c r="K157" i="33"/>
  <c r="K233" i="33"/>
  <c r="K189" i="33"/>
  <c r="K19" i="33"/>
  <c r="K153" i="33"/>
  <c r="K149" i="33"/>
  <c r="K249" i="33"/>
  <c r="K164" i="33"/>
  <c r="K240" i="33"/>
  <c r="K27" i="33"/>
  <c r="K241" i="33"/>
  <c r="K126" i="33"/>
  <c r="K95" i="33"/>
  <c r="K281" i="33"/>
  <c r="K217" i="33"/>
  <c r="K209" i="33"/>
  <c r="K224" i="33"/>
  <c r="K142" i="33"/>
  <c r="K47" i="33"/>
  <c r="K88" i="33"/>
  <c r="K59" i="33"/>
  <c r="K63" i="33"/>
  <c r="K180" i="33"/>
  <c r="K103" i="33"/>
  <c r="J29" i="33"/>
  <c r="J45" i="33"/>
  <c r="J61" i="33"/>
  <c r="J9" i="33"/>
  <c r="J16" i="33"/>
  <c r="J32" i="33"/>
  <c r="J48" i="33"/>
  <c r="J64" i="33"/>
  <c r="J105" i="33"/>
  <c r="J69" i="33"/>
  <c r="J53" i="33"/>
  <c r="J98" i="33"/>
  <c r="J77" i="33"/>
  <c r="J100" i="33"/>
  <c r="J101" i="33"/>
  <c r="J114" i="33"/>
  <c r="J121" i="33"/>
  <c r="J97" i="33"/>
  <c r="J113" i="33"/>
  <c r="J144" i="33"/>
  <c r="J90" i="33"/>
  <c r="J122" i="33"/>
  <c r="J136" i="33"/>
  <c r="J37" i="33"/>
  <c r="J119" i="33"/>
  <c r="J129" i="33"/>
  <c r="J182" i="33"/>
  <c r="J158" i="33"/>
  <c r="J89" i="33"/>
  <c r="J128" i="33"/>
  <c r="J174" i="33"/>
  <c r="J191" i="33"/>
  <c r="J193" i="33"/>
  <c r="J198" i="33"/>
  <c r="J131" i="33"/>
  <c r="J139" i="33"/>
  <c r="J152" i="33"/>
  <c r="J190" i="33"/>
  <c r="J185" i="33"/>
  <c r="J169" i="33"/>
  <c r="J166" i="33"/>
  <c r="J226" i="33"/>
  <c r="J234" i="33"/>
  <c r="J210" i="33"/>
  <c r="J227" i="33"/>
  <c r="J21" i="33"/>
  <c r="J183" i="33"/>
  <c r="J203" i="33"/>
  <c r="J205" i="33"/>
  <c r="J235" i="33"/>
  <c r="J202" i="33"/>
  <c r="J221" i="33"/>
  <c r="J237" i="33"/>
  <c r="J238" i="33"/>
  <c r="J275" i="33"/>
  <c r="J259" i="33"/>
  <c r="J218" i="33"/>
  <c r="J267" i="33"/>
  <c r="J291" i="33"/>
  <c r="J243" i="33"/>
  <c r="J251" i="33"/>
  <c r="J286" i="33"/>
  <c r="J278" i="33"/>
  <c r="J283" i="33"/>
  <c r="J167" i="33"/>
  <c r="J294" i="33"/>
  <c r="J289" i="33"/>
  <c r="J272" i="33"/>
  <c r="J247" i="33"/>
  <c r="J211" i="33"/>
  <c r="J173" i="33"/>
  <c r="J244" i="33"/>
  <c r="J147" i="33"/>
  <c r="J197" i="33"/>
  <c r="J179" i="33"/>
  <c r="J125" i="33"/>
  <c r="J146" i="33"/>
  <c r="J124" i="33"/>
  <c r="J44" i="33"/>
  <c r="J138" i="33"/>
  <c r="J133" i="33"/>
  <c r="J57" i="33"/>
  <c r="J25" i="33"/>
  <c r="J52" i="33"/>
  <c r="J10" i="33"/>
  <c r="J264" i="33"/>
  <c r="J156" i="33"/>
  <c r="J92" i="33"/>
  <c r="J242" i="33"/>
  <c r="J258" i="33"/>
  <c r="J219" i="33"/>
  <c r="J296" i="33"/>
  <c r="J290" i="33"/>
  <c r="J155" i="33"/>
  <c r="J297" i="33"/>
  <c r="J279" i="33"/>
  <c r="J298" i="33"/>
  <c r="J214" i="33"/>
  <c r="J271" i="33"/>
  <c r="J80" i="33"/>
  <c r="J269" i="33"/>
  <c r="J207" i="33"/>
  <c r="J216" i="33"/>
  <c r="J213" i="33"/>
  <c r="J154" i="33"/>
  <c r="J127" i="33"/>
  <c r="J132" i="33"/>
  <c r="J84" i="33"/>
  <c r="J79" i="33"/>
  <c r="J116" i="33"/>
  <c r="J8" i="33"/>
  <c r="J24" i="33"/>
  <c r="J7" i="33"/>
  <c r="J11" i="33"/>
  <c r="J303" i="33"/>
  <c r="J194" i="33"/>
  <c r="J293" i="33"/>
  <c r="J201" i="33"/>
  <c r="J292" i="33"/>
  <c r="J252" i="33"/>
  <c r="J299" i="33"/>
  <c r="J270" i="33"/>
  <c r="J230" i="33"/>
  <c r="J300" i="33"/>
  <c r="J212" i="33"/>
  <c r="J239" i="33"/>
  <c r="J163" i="33"/>
  <c r="J168" i="33"/>
  <c r="J115" i="33"/>
  <c r="J200" i="33"/>
  <c r="J171" i="33"/>
  <c r="J83" i="33"/>
  <c r="J137" i="33"/>
  <c r="J34" i="33"/>
  <c r="J50" i="33"/>
  <c r="J40" i="33"/>
  <c r="J13" i="33"/>
  <c r="J12" i="33"/>
  <c r="J280" i="33"/>
  <c r="J295" i="33"/>
  <c r="J288" i="33"/>
  <c r="J274" i="33"/>
  <c r="J162" i="33"/>
  <c r="J284" i="33"/>
  <c r="J268" i="33"/>
  <c r="J273" i="33"/>
  <c r="J178" i="33"/>
  <c r="J263" i="33"/>
  <c r="J223" i="33"/>
  <c r="J46" i="33"/>
  <c r="J181" i="33"/>
  <c r="J301" i="33"/>
  <c r="J261" i="33"/>
  <c r="J123" i="33"/>
  <c r="J195" i="33"/>
  <c r="J148" i="33"/>
  <c r="J49" i="33"/>
  <c r="J143" i="33"/>
  <c r="J17" i="33"/>
  <c r="J56" i="33"/>
  <c r="J72" i="33"/>
  <c r="J41" i="33"/>
  <c r="J38" i="33"/>
  <c r="J36" i="33"/>
  <c r="J206" i="33"/>
  <c r="J276" i="33"/>
  <c r="J256" i="33"/>
  <c r="J287" i="33"/>
  <c r="J170" i="33"/>
  <c r="J282" i="33"/>
  <c r="J248" i="33"/>
  <c r="J159" i="33"/>
  <c r="J215" i="33"/>
  <c r="J255" i="33"/>
  <c r="J285" i="33"/>
  <c r="J253" i="33"/>
  <c r="J175" i="33"/>
  <c r="J184" i="33"/>
  <c r="J91" i="33"/>
  <c r="J172" i="33"/>
  <c r="J28" i="33"/>
  <c r="J140" i="33"/>
  <c r="J71" i="33"/>
  <c r="J141" i="33"/>
  <c r="J76" i="33"/>
  <c r="J66" i="33"/>
  <c r="J55" i="33"/>
  <c r="J30" i="33"/>
  <c r="J33" i="33"/>
  <c r="J70" i="33"/>
  <c r="J22" i="33"/>
  <c r="J68" i="33"/>
  <c r="J23" i="33"/>
  <c r="J246" i="33"/>
  <c r="J186" i="33"/>
  <c r="J187" i="33"/>
  <c r="J204" i="33"/>
  <c r="J245" i="33"/>
  <c r="J177" i="33"/>
  <c r="J65" i="33"/>
  <c r="J94" i="33"/>
  <c r="J74" i="33"/>
  <c r="J102" i="33"/>
  <c r="J160" i="33"/>
  <c r="J73" i="33"/>
  <c r="J60" i="33"/>
  <c r="J86" i="33"/>
  <c r="J54" i="33"/>
  <c r="J93" i="33"/>
  <c r="J302" i="33"/>
  <c r="J229" i="33"/>
  <c r="J262" i="33"/>
  <c r="J192" i="33"/>
  <c r="J135" i="33"/>
  <c r="J81" i="33"/>
  <c r="J118" i="33"/>
  <c r="J130" i="33"/>
  <c r="J266" i="33"/>
  <c r="J220" i="33"/>
  <c r="J228" i="33"/>
  <c r="J161" i="33"/>
  <c r="J231" i="33"/>
  <c r="J14" i="33"/>
  <c r="J99" i="33"/>
  <c r="J18" i="33"/>
  <c r="J20" i="33"/>
  <c r="J62" i="33"/>
  <c r="J110" i="33"/>
  <c r="J236" i="33"/>
  <c r="J260" i="33"/>
  <c r="J254" i="33"/>
  <c r="J107" i="33"/>
  <c r="J109" i="33"/>
  <c r="J176" i="33"/>
  <c r="J120" i="33"/>
  <c r="J250" i="33"/>
  <c r="J304" i="33"/>
  <c r="J108" i="33"/>
  <c r="J58" i="33"/>
  <c r="J78" i="33"/>
  <c r="J208" i="33"/>
  <c r="J222" i="33"/>
  <c r="J277" i="33"/>
  <c r="J199" i="33"/>
  <c r="J134" i="33"/>
  <c r="J85" i="33"/>
  <c r="J39" i="33"/>
  <c r="J82" i="33"/>
  <c r="J42" i="33"/>
  <c r="J106" i="33"/>
  <c r="J26" i="33"/>
  <c r="J104" i="33"/>
  <c r="J112" i="33"/>
  <c r="J87" i="33"/>
  <c r="J149" i="33"/>
  <c r="J151" i="33"/>
  <c r="J233" i="33"/>
  <c r="J265" i="33"/>
  <c r="J117" i="33"/>
  <c r="J67" i="33"/>
  <c r="J15" i="33"/>
  <c r="J43" i="33"/>
  <c r="J31" i="33"/>
  <c r="J196" i="33"/>
  <c r="J75" i="33"/>
  <c r="J19" i="33"/>
  <c r="J188" i="33"/>
  <c r="J240" i="33"/>
  <c r="J241" i="33"/>
  <c r="J150" i="33"/>
  <c r="J157" i="33"/>
  <c r="J95" i="33"/>
  <c r="J189" i="33"/>
  <c r="J153" i="33"/>
  <c r="J27" i="33"/>
  <c r="J126" i="33"/>
  <c r="J145" i="33"/>
  <c r="J111" i="33"/>
  <c r="J88" i="33"/>
  <c r="J281" i="33"/>
  <c r="J103" i="33"/>
  <c r="J217" i="33"/>
  <c r="J224" i="33"/>
  <c r="J47" i="33"/>
  <c r="J59" i="33"/>
  <c r="J164" i="33"/>
  <c r="J63" i="33"/>
  <c r="J180" i="33"/>
  <c r="J35" i="33"/>
  <c r="J225" i="33"/>
  <c r="J96" i="33"/>
  <c r="J249" i="33"/>
  <c r="J232" i="33"/>
  <c r="J165" i="33"/>
  <c r="J305" i="33"/>
  <c r="J209" i="33"/>
  <c r="J257" i="33"/>
  <c r="J51" i="33"/>
  <c r="J142" i="33"/>
  <c r="I10" i="33"/>
  <c r="I22" i="33"/>
  <c r="I38" i="33"/>
  <c r="I54" i="33"/>
  <c r="I70" i="33"/>
  <c r="I45" i="33"/>
  <c r="I105" i="33"/>
  <c r="I29" i="33"/>
  <c r="I69" i="33"/>
  <c r="I53" i="33"/>
  <c r="I98" i="33"/>
  <c r="I37" i="33"/>
  <c r="I97" i="33"/>
  <c r="I21" i="33"/>
  <c r="I86" i="33"/>
  <c r="I113" i="33"/>
  <c r="I119" i="33"/>
  <c r="I30" i="33"/>
  <c r="I77" i="33"/>
  <c r="I61" i="33"/>
  <c r="I102" i="33"/>
  <c r="I136" i="33"/>
  <c r="I89" i="33"/>
  <c r="I106" i="33"/>
  <c r="I121" i="33"/>
  <c r="I139" i="33"/>
  <c r="I128" i="33"/>
  <c r="I152" i="33"/>
  <c r="I133" i="33"/>
  <c r="I158" i="33"/>
  <c r="I163" i="33"/>
  <c r="I62" i="33"/>
  <c r="I110" i="33"/>
  <c r="I124" i="33"/>
  <c r="I141" i="33"/>
  <c r="I148" i="33"/>
  <c r="I174" i="33"/>
  <c r="I179" i="33"/>
  <c r="I198" i="33"/>
  <c r="I118" i="33"/>
  <c r="I166" i="33"/>
  <c r="I171" i="33"/>
  <c r="I195" i="33"/>
  <c r="I190" i="33"/>
  <c r="I210" i="33"/>
  <c r="I215" i="33"/>
  <c r="I207" i="33"/>
  <c r="I235" i="33"/>
  <c r="I202" i="33"/>
  <c r="I226" i="33"/>
  <c r="I231" i="33"/>
  <c r="I234" i="33"/>
  <c r="I114" i="33"/>
  <c r="I144" i="33"/>
  <c r="I182" i="33"/>
  <c r="I216" i="33"/>
  <c r="I218" i="33"/>
  <c r="I223" i="33"/>
  <c r="I259" i="33"/>
  <c r="I267" i="33"/>
  <c r="I187" i="33"/>
  <c r="I239" i="33"/>
  <c r="I272" i="33"/>
  <c r="I296" i="33"/>
  <c r="I264" i="33"/>
  <c r="I283" i="33"/>
  <c r="I275" i="33"/>
  <c r="I248" i="33"/>
  <c r="I242" i="33"/>
  <c r="I256" i="33"/>
  <c r="I288" i="33"/>
  <c r="I291" i="33"/>
  <c r="I258" i="33"/>
  <c r="I276" i="33"/>
  <c r="I208" i="33"/>
  <c r="I290" i="33"/>
  <c r="I155" i="33"/>
  <c r="I279" i="33"/>
  <c r="I298" i="33"/>
  <c r="I214" i="33"/>
  <c r="I80" i="33"/>
  <c r="I237" i="33"/>
  <c r="I159" i="33"/>
  <c r="I185" i="33"/>
  <c r="I167" i="33"/>
  <c r="I134" i="33"/>
  <c r="I78" i="33"/>
  <c r="I81" i="33"/>
  <c r="I127" i="33"/>
  <c r="I132" i="33"/>
  <c r="I40" i="33"/>
  <c r="I100" i="33"/>
  <c r="I41" i="33"/>
  <c r="I48" i="33"/>
  <c r="I16" i="33"/>
  <c r="I7" i="33"/>
  <c r="I11" i="33"/>
  <c r="I170" i="33"/>
  <c r="I221" i="33"/>
  <c r="I65" i="33"/>
  <c r="I91" i="33"/>
  <c r="I286" i="33"/>
  <c r="I260" i="33"/>
  <c r="I273" i="33"/>
  <c r="I270" i="33"/>
  <c r="I261" i="33"/>
  <c r="I230" i="33"/>
  <c r="I294" i="33"/>
  <c r="I212" i="33"/>
  <c r="I147" i="33"/>
  <c r="I263" i="33"/>
  <c r="I168" i="33"/>
  <c r="I115" i="33"/>
  <c r="I200" i="33"/>
  <c r="I83" i="33"/>
  <c r="I137" i="33"/>
  <c r="I49" i="33"/>
  <c r="I108" i="33"/>
  <c r="I14" i="33"/>
  <c r="I17" i="33"/>
  <c r="I66" i="33"/>
  <c r="I56" i="33"/>
  <c r="I72" i="33"/>
  <c r="I13" i="33"/>
  <c r="I12" i="33"/>
  <c r="I251" i="33"/>
  <c r="I161" i="33"/>
  <c r="I172" i="33"/>
  <c r="I42" i="33"/>
  <c r="I193" i="33"/>
  <c r="I269" i="33"/>
  <c r="I253" i="33"/>
  <c r="I247" i="33"/>
  <c r="I303" i="33"/>
  <c r="I293" i="33"/>
  <c r="I178" i="33"/>
  <c r="I245" i="33"/>
  <c r="I238" i="33"/>
  <c r="I194" i="33"/>
  <c r="I183" i="33"/>
  <c r="I181" i="33"/>
  <c r="I123" i="33"/>
  <c r="I143" i="33"/>
  <c r="I90" i="33"/>
  <c r="I18" i="33"/>
  <c r="I36" i="33"/>
  <c r="I25" i="33"/>
  <c r="I8" i="33"/>
  <c r="I292" i="33"/>
  <c r="I287" i="33"/>
  <c r="I282" i="33"/>
  <c r="I203" i="33"/>
  <c r="I177" i="33"/>
  <c r="I184" i="33"/>
  <c r="I85" i="33"/>
  <c r="I277" i="33"/>
  <c r="I295" i="33"/>
  <c r="I206" i="33"/>
  <c r="I252" i="33"/>
  <c r="I246" i="33"/>
  <c r="I274" i="33"/>
  <c r="I300" i="33"/>
  <c r="I255" i="33"/>
  <c r="I92" i="33"/>
  <c r="I201" i="33"/>
  <c r="I175" i="33"/>
  <c r="I162" i="33"/>
  <c r="I125" i="33"/>
  <c r="I73" i="33"/>
  <c r="I74" i="33"/>
  <c r="I60" i="33"/>
  <c r="I58" i="33"/>
  <c r="I101" i="33"/>
  <c r="I99" i="33"/>
  <c r="I116" i="33"/>
  <c r="I33" i="33"/>
  <c r="I32" i="33"/>
  <c r="I280" i="33"/>
  <c r="I227" i="33"/>
  <c r="I219" i="33"/>
  <c r="I205" i="33"/>
  <c r="I284" i="33"/>
  <c r="I268" i="33"/>
  <c r="I229" i="33"/>
  <c r="I285" i="33"/>
  <c r="I278" i="33"/>
  <c r="I186" i="33"/>
  <c r="I213" i="33"/>
  <c r="I156" i="33"/>
  <c r="I204" i="33"/>
  <c r="I160" i="33"/>
  <c r="I46" i="33"/>
  <c r="I220" i="33"/>
  <c r="I228" i="33"/>
  <c r="I199" i="33"/>
  <c r="I191" i="33"/>
  <c r="I146" i="33"/>
  <c r="I109" i="33"/>
  <c r="I176" i="33"/>
  <c r="I135" i="33"/>
  <c r="I39" i="33"/>
  <c r="I130" i="33"/>
  <c r="I120" i="33"/>
  <c r="I79" i="33"/>
  <c r="I57" i="33"/>
  <c r="I64" i="33"/>
  <c r="I20" i="33"/>
  <c r="I24" i="33"/>
  <c r="I289" i="33"/>
  <c r="I250" i="33"/>
  <c r="I301" i="33"/>
  <c r="I262" i="33"/>
  <c r="I211" i="33"/>
  <c r="I266" i="33"/>
  <c r="I254" i="33"/>
  <c r="I243" i="33"/>
  <c r="I299" i="33"/>
  <c r="I222" i="33"/>
  <c r="I297" i="33"/>
  <c r="I192" i="33"/>
  <c r="I28" i="33"/>
  <c r="I52" i="33"/>
  <c r="I173" i="33"/>
  <c r="I304" i="33"/>
  <c r="I169" i="33"/>
  <c r="I94" i="33"/>
  <c r="I26" i="33"/>
  <c r="I122" i="33"/>
  <c r="I107" i="33"/>
  <c r="I84" i="33"/>
  <c r="I71" i="33"/>
  <c r="I138" i="33"/>
  <c r="I23" i="33"/>
  <c r="I55" i="33"/>
  <c r="I244" i="33"/>
  <c r="I34" i="33"/>
  <c r="I140" i="33"/>
  <c r="I131" i="33"/>
  <c r="I302" i="33"/>
  <c r="I271" i="33"/>
  <c r="I154" i="33"/>
  <c r="I82" i="33"/>
  <c r="I9" i="33"/>
  <c r="I236" i="33"/>
  <c r="I93" i="33"/>
  <c r="I129" i="33"/>
  <c r="I50" i="33"/>
  <c r="I68" i="33"/>
  <c r="I197" i="33"/>
  <c r="I44" i="33"/>
  <c r="I76" i="33"/>
  <c r="I15" i="33"/>
  <c r="I43" i="33"/>
  <c r="I31" i="33"/>
  <c r="I150" i="33"/>
  <c r="I232" i="33"/>
  <c r="I75" i="33"/>
  <c r="I19" i="33"/>
  <c r="I241" i="33"/>
  <c r="I157" i="33"/>
  <c r="I145" i="33"/>
  <c r="I189" i="33"/>
  <c r="I153" i="33"/>
  <c r="I233" i="33"/>
  <c r="I180" i="33"/>
  <c r="I27" i="33"/>
  <c r="I196" i="33"/>
  <c r="I281" i="33"/>
  <c r="I87" i="33"/>
  <c r="I88" i="33"/>
  <c r="I149" i="33"/>
  <c r="I305" i="33"/>
  <c r="I188" i="33"/>
  <c r="I217" i="33"/>
  <c r="I224" i="33"/>
  <c r="I240" i="33"/>
  <c r="I47" i="33"/>
  <c r="I249" i="33"/>
  <c r="I59" i="33"/>
  <c r="I126" i="33"/>
  <c r="I95" i="33"/>
  <c r="I257" i="33"/>
  <c r="I63" i="33"/>
  <c r="I112" i="33"/>
  <c r="I225" i="33"/>
  <c r="I142" i="33"/>
  <c r="I96" i="33"/>
  <c r="I165" i="33"/>
  <c r="I209" i="33"/>
  <c r="I104" i="33"/>
  <c r="I103" i="33"/>
  <c r="I51" i="33"/>
  <c r="I111" i="33"/>
  <c r="I35" i="33"/>
  <c r="I164" i="33"/>
  <c r="I265" i="33"/>
  <c r="I67" i="33"/>
  <c r="I117" i="33"/>
  <c r="I151" i="33"/>
  <c r="K201" i="54"/>
  <c r="F61" i="48" s="1"/>
  <c r="F60" i="48"/>
  <c r="K253" i="54"/>
  <c r="J111" i="54"/>
  <c r="K111" i="54" s="1"/>
  <c r="L306" i="49"/>
  <c r="J6" i="54"/>
  <c r="H6" i="33"/>
  <c r="J6" i="33"/>
  <c r="K6" i="33"/>
  <c r="G6" i="33"/>
  <c r="L306" i="11"/>
  <c r="G306" i="11"/>
  <c r="E6" i="37"/>
  <c r="G6" i="37" s="1"/>
  <c r="I6" i="33"/>
  <c r="L67" i="33" l="1"/>
  <c r="M67" i="33" s="1"/>
  <c r="G73" i="9" s="1"/>
  <c r="L117" i="33"/>
  <c r="M117" i="33" s="1"/>
  <c r="L257" i="33"/>
  <c r="M257" i="33" s="1"/>
  <c r="L209" i="33"/>
  <c r="M209" i="33" s="1"/>
  <c r="L280" i="33"/>
  <c r="M280" i="33" s="1"/>
  <c r="L169" i="33"/>
  <c r="M169" i="33" s="1"/>
  <c r="L260" i="33"/>
  <c r="M260" i="33" s="1"/>
  <c r="G266" i="9" s="1"/>
  <c r="L10" i="33"/>
  <c r="M10" i="33" s="1"/>
  <c r="G16" i="9" s="1"/>
  <c r="L106" i="33"/>
  <c r="M106" i="33" s="1"/>
  <c r="G112" i="9" s="1"/>
  <c r="L205" i="33"/>
  <c r="M205" i="33" s="1"/>
  <c r="L220" i="33"/>
  <c r="M220" i="33" s="1"/>
  <c r="L108" i="33"/>
  <c r="M108" i="33" s="1"/>
  <c r="G114" i="9" s="1"/>
  <c r="L268" i="33"/>
  <c r="M268" i="33" s="1"/>
  <c r="L66" i="33"/>
  <c r="M66" i="33" s="1"/>
  <c r="L194" i="33"/>
  <c r="M194" i="33" s="1"/>
  <c r="G200" i="9" s="1"/>
  <c r="L273" i="33"/>
  <c r="M273" i="33" s="1"/>
  <c r="G279" i="9" s="1"/>
  <c r="L245" i="33"/>
  <c r="M245" i="33" s="1"/>
  <c r="G251" i="9" s="1"/>
  <c r="L269" i="33"/>
  <c r="M269" i="33" s="1"/>
  <c r="L237" i="33"/>
  <c r="M237" i="33" s="1"/>
  <c r="L141" i="33"/>
  <c r="M141" i="33" s="1"/>
  <c r="L105" i="33"/>
  <c r="M105" i="33" s="1"/>
  <c r="L52" i="33"/>
  <c r="M52" i="33" s="1"/>
  <c r="G58" i="9" s="1"/>
  <c r="L153" i="33"/>
  <c r="M153" i="33" s="1"/>
  <c r="G159" i="9" s="1"/>
  <c r="L303" i="33"/>
  <c r="M303" i="33" s="1"/>
  <c r="G309" i="9" s="1"/>
  <c r="L96" i="33"/>
  <c r="M96" i="33" s="1"/>
  <c r="L214" i="33"/>
  <c r="M214" i="33" s="1"/>
  <c r="G220" i="9" s="1"/>
  <c r="L179" i="33"/>
  <c r="M179" i="33" s="1"/>
  <c r="L184" i="33"/>
  <c r="M184" i="33" s="1"/>
  <c r="L210" i="33"/>
  <c r="M210" i="33" s="1"/>
  <c r="L189" i="33"/>
  <c r="M189" i="33" s="1"/>
  <c r="G195" i="9" s="1"/>
  <c r="L164" i="33"/>
  <c r="M164" i="33" s="1"/>
  <c r="G170" i="9" s="1"/>
  <c r="L43" i="33"/>
  <c r="M43" i="33" s="1"/>
  <c r="G49" i="9" s="1"/>
  <c r="L95" i="33"/>
  <c r="M95" i="33" s="1"/>
  <c r="G101" i="9" s="1"/>
  <c r="L63" i="33"/>
  <c r="M63" i="33" s="1"/>
  <c r="G69" i="9" s="1"/>
  <c r="L288" i="33"/>
  <c r="M288" i="33" s="1"/>
  <c r="L230" i="33"/>
  <c r="M230" i="33" s="1"/>
  <c r="G236" i="9" s="1"/>
  <c r="L29" i="33"/>
  <c r="M29" i="33" s="1"/>
  <c r="L185" i="33"/>
  <c r="M185" i="33" s="1"/>
  <c r="L159" i="33"/>
  <c r="M159" i="33" s="1"/>
  <c r="G165" i="9" s="1"/>
  <c r="L291" i="33"/>
  <c r="M291" i="33" s="1"/>
  <c r="G297" i="9" s="1"/>
  <c r="L34" i="33"/>
  <c r="M34" i="33" s="1"/>
  <c r="L279" i="33"/>
  <c r="M279" i="33" s="1"/>
  <c r="G285" i="9" s="1"/>
  <c r="L22" i="33"/>
  <c r="M22" i="33" s="1"/>
  <c r="G28" i="9" s="1"/>
  <c r="L44" i="33"/>
  <c r="M44" i="33" s="1"/>
  <c r="G50" i="9" s="1"/>
  <c r="L199" i="33"/>
  <c r="M199" i="33" s="1"/>
  <c r="L274" i="33"/>
  <c r="M274" i="33" s="1"/>
  <c r="G280" i="9" s="1"/>
  <c r="L60" i="33"/>
  <c r="M60" i="33" s="1"/>
  <c r="G66" i="9" s="1"/>
  <c r="L129" i="33"/>
  <c r="M129" i="33" s="1"/>
  <c r="G135" i="9" s="1"/>
  <c r="L219" i="33"/>
  <c r="M219" i="33" s="1"/>
  <c r="G225" i="9" s="1"/>
  <c r="L298" i="33"/>
  <c r="M298" i="33" s="1"/>
  <c r="G304" i="9" s="1"/>
  <c r="L18" i="33"/>
  <c r="M18" i="33" s="1"/>
  <c r="G24" i="9" s="1"/>
  <c r="L39" i="33"/>
  <c r="M39" i="33" s="1"/>
  <c r="G45" i="9" s="1"/>
  <c r="L156" i="33"/>
  <c r="M156" i="33" s="1"/>
  <c r="G162" i="9" s="1"/>
  <c r="L213" i="33"/>
  <c r="M213" i="33" s="1"/>
  <c r="L71" i="33"/>
  <c r="M71" i="33" s="1"/>
  <c r="G77" i="9" s="1"/>
  <c r="L238" i="33"/>
  <c r="M238" i="33" s="1"/>
  <c r="G244" i="9" s="1"/>
  <c r="L158" i="33"/>
  <c r="M158" i="33" s="1"/>
  <c r="L261" i="33"/>
  <c r="M261" i="33" s="1"/>
  <c r="G267" i="9" s="1"/>
  <c r="L204" i="33"/>
  <c r="M204" i="33" s="1"/>
  <c r="G210" i="9" s="1"/>
  <c r="L226" i="33"/>
  <c r="M226" i="33" s="1"/>
  <c r="L166" i="33"/>
  <c r="M166" i="33" s="1"/>
  <c r="G172" i="9" s="1"/>
  <c r="L128" i="33"/>
  <c r="M128" i="33" s="1"/>
  <c r="L152" i="33"/>
  <c r="M152" i="33" s="1"/>
  <c r="L121" i="33"/>
  <c r="M121" i="33" s="1"/>
  <c r="G127" i="9" s="1"/>
  <c r="L265" i="33"/>
  <c r="M265" i="33" s="1"/>
  <c r="L305" i="33"/>
  <c r="M305" i="33" s="1"/>
  <c r="G311" i="9" s="1"/>
  <c r="L59" i="33"/>
  <c r="M59" i="33" s="1"/>
  <c r="G65" i="9" s="1"/>
  <c r="L233" i="33"/>
  <c r="M233" i="33" s="1"/>
  <c r="G239" i="9" s="1"/>
  <c r="L126" i="33"/>
  <c r="M126" i="33" s="1"/>
  <c r="L165" i="33"/>
  <c r="M165" i="33" s="1"/>
  <c r="L41" i="33"/>
  <c r="M41" i="33" s="1"/>
  <c r="G47" i="9" s="1"/>
  <c r="L12" i="33"/>
  <c r="M12" i="33" s="1"/>
  <c r="G18" i="9" s="1"/>
  <c r="L77" i="33"/>
  <c r="M77" i="33" s="1"/>
  <c r="L264" i="33"/>
  <c r="M264" i="33" s="1"/>
  <c r="G270" i="9" s="1"/>
  <c r="L266" i="33"/>
  <c r="M266" i="33" s="1"/>
  <c r="G272" i="9" s="1"/>
  <c r="L276" i="33"/>
  <c r="M276" i="33" s="1"/>
  <c r="G282" i="9" s="1"/>
  <c r="L83" i="33"/>
  <c r="M83" i="33" s="1"/>
  <c r="L262" i="33"/>
  <c r="M262" i="33" s="1"/>
  <c r="L70" i="33"/>
  <c r="M70" i="33" s="1"/>
  <c r="G76" i="9" s="1"/>
  <c r="L163" i="33"/>
  <c r="M163" i="33" s="1"/>
  <c r="G169" i="9" s="1"/>
  <c r="L177" i="33"/>
  <c r="M177" i="33" s="1"/>
  <c r="L222" i="33"/>
  <c r="M222" i="33" s="1"/>
  <c r="L72" i="33"/>
  <c r="M72" i="33" s="1"/>
  <c r="G78" i="9" s="1"/>
  <c r="L171" i="33"/>
  <c r="M171" i="33" s="1"/>
  <c r="G177" i="9" s="1"/>
  <c r="L227" i="33"/>
  <c r="M227" i="33" s="1"/>
  <c r="G233" i="9" s="1"/>
  <c r="L284" i="33"/>
  <c r="M284" i="33" s="1"/>
  <c r="L86" i="33"/>
  <c r="M86" i="33" s="1"/>
  <c r="G92" i="9" s="1"/>
  <c r="L73" i="33"/>
  <c r="M73" i="33" s="1"/>
  <c r="G79" i="9" s="1"/>
  <c r="L176" i="33"/>
  <c r="M176" i="33" s="1"/>
  <c r="G182" i="9" s="1"/>
  <c r="L211" i="33"/>
  <c r="M211" i="33" s="1"/>
  <c r="G217" i="9" s="1"/>
  <c r="L28" i="33"/>
  <c r="M28" i="33" s="1"/>
  <c r="G34" i="9" s="1"/>
  <c r="L255" i="33"/>
  <c r="M255" i="33" s="1"/>
  <c r="L252" i="33"/>
  <c r="M252" i="33" s="1"/>
  <c r="L282" i="33"/>
  <c r="M282" i="33" s="1"/>
  <c r="L253" i="33"/>
  <c r="M253" i="33" s="1"/>
  <c r="G259" i="9" s="1"/>
  <c r="L202" i="33"/>
  <c r="M202" i="33" s="1"/>
  <c r="G208" i="9" s="1"/>
  <c r="L197" i="33"/>
  <c r="M197" i="33" s="1"/>
  <c r="G203" i="9" s="1"/>
  <c r="L192" i="33"/>
  <c r="M192" i="33" s="1"/>
  <c r="G198" i="9" s="1"/>
  <c r="L36" i="33"/>
  <c r="M36" i="33" s="1"/>
  <c r="G42" i="9" s="1"/>
  <c r="L138" i="33"/>
  <c r="M138" i="33" s="1"/>
  <c r="G144" i="9" s="1"/>
  <c r="L97" i="33"/>
  <c r="M97" i="33" s="1"/>
  <c r="L92" i="33"/>
  <c r="M92" i="33" s="1"/>
  <c r="L17" i="33"/>
  <c r="M17" i="33" s="1"/>
  <c r="G23" i="9" s="1"/>
  <c r="L232" i="33"/>
  <c r="M232" i="33" s="1"/>
  <c r="L157" i="33"/>
  <c r="M157" i="33" s="1"/>
  <c r="L249" i="33"/>
  <c r="M249" i="33" s="1"/>
  <c r="G255" i="9" s="1"/>
  <c r="L151" i="33"/>
  <c r="M151" i="33" s="1"/>
  <c r="G157" i="9" s="1"/>
  <c r="L110" i="33"/>
  <c r="M110" i="33" s="1"/>
  <c r="G116" i="9" s="1"/>
  <c r="L23" i="33"/>
  <c r="M23" i="33" s="1"/>
  <c r="L167" i="33"/>
  <c r="M167" i="33" s="1"/>
  <c r="L132" i="33"/>
  <c r="M132" i="33" s="1"/>
  <c r="G138" i="9" s="1"/>
  <c r="L45" i="33"/>
  <c r="M45" i="33" s="1"/>
  <c r="G51" i="9" s="1"/>
  <c r="L195" i="33"/>
  <c r="M195" i="33" s="1"/>
  <c r="L208" i="33"/>
  <c r="M208" i="33" s="1"/>
  <c r="G214" i="9" s="1"/>
  <c r="L57" i="33"/>
  <c r="M57" i="33" s="1"/>
  <c r="G63" i="9" s="1"/>
  <c r="L172" i="33"/>
  <c r="M172" i="33" s="1"/>
  <c r="G178" i="9" s="1"/>
  <c r="L221" i="33"/>
  <c r="M221" i="33" s="1"/>
  <c r="L272" i="33"/>
  <c r="M272" i="33" s="1"/>
  <c r="L98" i="33"/>
  <c r="M98" i="33" s="1"/>
  <c r="G104" i="9" s="1"/>
  <c r="L148" i="33"/>
  <c r="M148" i="33" s="1"/>
  <c r="G154" i="9" s="1"/>
  <c r="L235" i="33"/>
  <c r="M235" i="33" s="1"/>
  <c r="L93" i="33"/>
  <c r="M93" i="33" s="1"/>
  <c r="G99" i="9" s="1"/>
  <c r="L40" i="33"/>
  <c r="M40" i="33" s="1"/>
  <c r="G46" i="9" s="1"/>
  <c r="L251" i="33"/>
  <c r="M251" i="33" s="1"/>
  <c r="G257" i="9" s="1"/>
  <c r="L296" i="33"/>
  <c r="M296" i="33" s="1"/>
  <c r="L187" i="33"/>
  <c r="M187" i="33" s="1"/>
  <c r="G193" i="9" s="1"/>
  <c r="L300" i="33"/>
  <c r="M300" i="33" s="1"/>
  <c r="G306" i="9" s="1"/>
  <c r="L295" i="33"/>
  <c r="M295" i="33" s="1"/>
  <c r="G301" i="9" s="1"/>
  <c r="L277" i="33"/>
  <c r="M277" i="33" s="1"/>
  <c r="L242" i="33"/>
  <c r="M242" i="33" s="1"/>
  <c r="G248" i="9" s="1"/>
  <c r="L160" i="33"/>
  <c r="M160" i="33" s="1"/>
  <c r="G166" i="9" s="1"/>
  <c r="L190" i="33"/>
  <c r="M190" i="33" s="1"/>
  <c r="G196" i="9" s="1"/>
  <c r="L198" i="33"/>
  <c r="M198" i="33" s="1"/>
  <c r="L116" i="33"/>
  <c r="M116" i="33" s="1"/>
  <c r="G122" i="9" s="1"/>
  <c r="L68" i="33"/>
  <c r="M68" i="33" s="1"/>
  <c r="G74" i="9" s="1"/>
  <c r="L35" i="33"/>
  <c r="M35" i="33" s="1"/>
  <c r="G41" i="9" s="1"/>
  <c r="L31" i="33"/>
  <c r="M31" i="33" s="1"/>
  <c r="L142" i="33"/>
  <c r="M142" i="33" s="1"/>
  <c r="G148" i="9" s="1"/>
  <c r="L112" i="33"/>
  <c r="M112" i="33" s="1"/>
  <c r="G118" i="9" s="1"/>
  <c r="L27" i="33"/>
  <c r="M27" i="33" s="1"/>
  <c r="G33" i="9" s="1"/>
  <c r="L47" i="33"/>
  <c r="M47" i="33" s="1"/>
  <c r="L139" i="33"/>
  <c r="M139" i="33" s="1"/>
  <c r="L84" i="33"/>
  <c r="M84" i="33" s="1"/>
  <c r="G90" i="9" s="1"/>
  <c r="L258" i="33"/>
  <c r="M258" i="33" s="1"/>
  <c r="G264" i="9" s="1"/>
  <c r="L53" i="33"/>
  <c r="M53" i="33" s="1"/>
  <c r="L271" i="33"/>
  <c r="M271" i="33" s="1"/>
  <c r="G277" i="9" s="1"/>
  <c r="L114" i="33"/>
  <c r="M114" i="33" s="1"/>
  <c r="G120" i="9" s="1"/>
  <c r="L134" i="33"/>
  <c r="M134" i="33" s="1"/>
  <c r="L289" i="33"/>
  <c r="M289" i="33" s="1"/>
  <c r="L30" i="33"/>
  <c r="M30" i="33" s="1"/>
  <c r="G36" i="9" s="1"/>
  <c r="L193" i="33"/>
  <c r="M193" i="33" s="1"/>
  <c r="G199" i="9" s="1"/>
  <c r="L161" i="33"/>
  <c r="M161" i="33" s="1"/>
  <c r="G167" i="9" s="1"/>
  <c r="L299" i="33"/>
  <c r="M299" i="33" s="1"/>
  <c r="G305" i="9" s="1"/>
  <c r="L56" i="33"/>
  <c r="M56" i="33" s="1"/>
  <c r="G62" i="9" s="1"/>
  <c r="L85" i="33"/>
  <c r="M85" i="33" s="1"/>
  <c r="G91" i="9" s="1"/>
  <c r="L203" i="33"/>
  <c r="M203" i="33" s="1"/>
  <c r="G209" i="9" s="1"/>
  <c r="L290" i="33"/>
  <c r="M290" i="33" s="1"/>
  <c r="L101" i="33"/>
  <c r="M101" i="33" s="1"/>
  <c r="G107" i="9" s="1"/>
  <c r="L135" i="33"/>
  <c r="M135" i="33" s="1"/>
  <c r="G141" i="9" s="1"/>
  <c r="L283" i="33"/>
  <c r="M283" i="33" s="1"/>
  <c r="G289" i="9" s="1"/>
  <c r="L21" i="33"/>
  <c r="M21" i="33" s="1"/>
  <c r="L154" i="33"/>
  <c r="M154" i="33" s="1"/>
  <c r="G160" i="9" s="1"/>
  <c r="L294" i="33"/>
  <c r="M294" i="33" s="1"/>
  <c r="G300" i="9" s="1"/>
  <c r="L286" i="33"/>
  <c r="M286" i="33" s="1"/>
  <c r="G292" i="9" s="1"/>
  <c r="L293" i="33"/>
  <c r="M293" i="33" s="1"/>
  <c r="L168" i="33"/>
  <c r="M168" i="33" s="1"/>
  <c r="G174" i="9" s="1"/>
  <c r="L115" i="33"/>
  <c r="M115" i="33" s="1"/>
  <c r="G121" i="9" s="1"/>
  <c r="L130" i="33"/>
  <c r="M130" i="33" s="1"/>
  <c r="G136" i="9" s="1"/>
  <c r="L16" i="33"/>
  <c r="M16" i="33" s="1"/>
  <c r="G22" i="9" s="1"/>
  <c r="L113" i="33"/>
  <c r="M113" i="33" s="1"/>
  <c r="G119" i="9" s="1"/>
  <c r="L136" i="33"/>
  <c r="M136" i="33" s="1"/>
  <c r="G142" i="9" s="1"/>
  <c r="L32" i="33"/>
  <c r="M32" i="33" s="1"/>
  <c r="G38" i="9" s="1"/>
  <c r="L75" i="33"/>
  <c r="M75" i="33" s="1"/>
  <c r="L81" i="33"/>
  <c r="M81" i="33" s="1"/>
  <c r="G87" i="9" s="1"/>
  <c r="L254" i="33"/>
  <c r="M254" i="33" s="1"/>
  <c r="G260" i="9" s="1"/>
  <c r="L65" i="33"/>
  <c r="M65" i="33" s="1"/>
  <c r="G71" i="9" s="1"/>
  <c r="L33" i="33"/>
  <c r="M33" i="33" s="1"/>
  <c r="L46" i="33"/>
  <c r="M46" i="33" s="1"/>
  <c r="G52" i="9" s="1"/>
  <c r="L292" i="33"/>
  <c r="M292" i="33" s="1"/>
  <c r="G298" i="9" s="1"/>
  <c r="L228" i="33"/>
  <c r="M228" i="33" s="1"/>
  <c r="G234" i="9" s="1"/>
  <c r="L217" i="33"/>
  <c r="M217" i="33" s="1"/>
  <c r="L51" i="33"/>
  <c r="M51" i="33" s="1"/>
  <c r="L241" i="33"/>
  <c r="M241" i="33" s="1"/>
  <c r="G247" i="9" s="1"/>
  <c r="L111" i="33"/>
  <c r="M111" i="33" s="1"/>
  <c r="G117" i="9" s="1"/>
  <c r="L104" i="33"/>
  <c r="M104" i="33" s="1"/>
  <c r="L225" i="33"/>
  <c r="M225" i="33" s="1"/>
  <c r="G231" i="9" s="1"/>
  <c r="L78" i="33"/>
  <c r="M78" i="33" s="1"/>
  <c r="G84" i="9" s="1"/>
  <c r="L49" i="33"/>
  <c r="M49" i="33" s="1"/>
  <c r="G55" i="9" s="1"/>
  <c r="L11" i="33"/>
  <c r="M11" i="33" s="1"/>
  <c r="L24" i="33"/>
  <c r="M24" i="33" s="1"/>
  <c r="L13" i="33"/>
  <c r="M13" i="33" s="1"/>
  <c r="G19" i="9" s="1"/>
  <c r="L302" i="33"/>
  <c r="M302" i="33" s="1"/>
  <c r="G308" i="9" s="1"/>
  <c r="L122" i="33"/>
  <c r="M122" i="33" s="1"/>
  <c r="G128" i="9" s="1"/>
  <c r="L143" i="33"/>
  <c r="M143" i="33" s="1"/>
  <c r="G149" i="9" s="1"/>
  <c r="L123" i="33"/>
  <c r="M123" i="33" s="1"/>
  <c r="G129" i="9" s="1"/>
  <c r="L131" i="33"/>
  <c r="M131" i="33" s="1"/>
  <c r="G137" i="9" s="1"/>
  <c r="L109" i="33"/>
  <c r="M109" i="33" s="1"/>
  <c r="L186" i="33"/>
  <c r="M186" i="33" s="1"/>
  <c r="L263" i="33"/>
  <c r="M263" i="33" s="1"/>
  <c r="G269" i="9" s="1"/>
  <c r="L62" i="33"/>
  <c r="M62" i="33" s="1"/>
  <c r="G68" i="9" s="1"/>
  <c r="L107" i="33"/>
  <c r="M107" i="33" s="1"/>
  <c r="G113" i="9" s="1"/>
  <c r="L246" i="33"/>
  <c r="M246" i="33" s="1"/>
  <c r="G252" i="9" s="1"/>
  <c r="L278" i="33"/>
  <c r="M278" i="33" s="1"/>
  <c r="G284" i="9" s="1"/>
  <c r="L58" i="33"/>
  <c r="M58" i="33" s="1"/>
  <c r="G64" i="9" s="1"/>
  <c r="L223" i="33"/>
  <c r="M223" i="33" s="1"/>
  <c r="L206" i="33"/>
  <c r="M206" i="33" s="1"/>
  <c r="G212" i="9" s="1"/>
  <c r="L25" i="33"/>
  <c r="M25" i="33" s="1"/>
  <c r="G31" i="9" s="1"/>
  <c r="L91" i="33"/>
  <c r="M91" i="33" s="1"/>
  <c r="G97" i="9" s="1"/>
  <c r="L248" i="33"/>
  <c r="M248" i="33" s="1"/>
  <c r="G254" i="9" s="1"/>
  <c r="L256" i="33"/>
  <c r="M256" i="33" s="1"/>
  <c r="G262" i="9" s="1"/>
  <c r="L285" i="33"/>
  <c r="M285" i="33" s="1"/>
  <c r="G291" i="9" s="1"/>
  <c r="L218" i="33"/>
  <c r="M218" i="33" s="1"/>
  <c r="G224" i="9" s="1"/>
  <c r="L275" i="33"/>
  <c r="M275" i="33" s="1"/>
  <c r="L267" i="33"/>
  <c r="M267" i="33" s="1"/>
  <c r="G273" i="9" s="1"/>
  <c r="L118" i="33"/>
  <c r="M118" i="33" s="1"/>
  <c r="G124" i="9" s="1"/>
  <c r="L144" i="33"/>
  <c r="M144" i="33" s="1"/>
  <c r="G150" i="9" s="1"/>
  <c r="L89" i="33"/>
  <c r="M89" i="33" s="1"/>
  <c r="G95" i="9" s="1"/>
  <c r="L48" i="33"/>
  <c r="M48" i="33" s="1"/>
  <c r="G54" i="9" s="1"/>
  <c r="L87" i="33"/>
  <c r="M87" i="33" s="1"/>
  <c r="G93" i="9" s="1"/>
  <c r="L80" i="33"/>
  <c r="M80" i="33" s="1"/>
  <c r="G86" i="9" s="1"/>
  <c r="L54" i="33"/>
  <c r="M54" i="33" s="1"/>
  <c r="L149" i="33"/>
  <c r="M149" i="33" s="1"/>
  <c r="G155" i="9" s="1"/>
  <c r="L196" i="33"/>
  <c r="M196" i="33" s="1"/>
  <c r="G202" i="9" s="1"/>
  <c r="L15" i="33"/>
  <c r="M15" i="33" s="1"/>
  <c r="G21" i="9" s="1"/>
  <c r="L103" i="33"/>
  <c r="M103" i="33" s="1"/>
  <c r="L224" i="33"/>
  <c r="M224" i="33" s="1"/>
  <c r="G230" i="9" s="1"/>
  <c r="L188" i="33"/>
  <c r="M188" i="33" s="1"/>
  <c r="G194" i="9" s="1"/>
  <c r="L240" i="33"/>
  <c r="M240" i="33" s="1"/>
  <c r="G246" i="9" s="1"/>
  <c r="L90" i="33"/>
  <c r="M90" i="33" s="1"/>
  <c r="L125" i="33"/>
  <c r="M125" i="33" s="1"/>
  <c r="G131" i="9" s="1"/>
  <c r="L146" i="33"/>
  <c r="M146" i="33" s="1"/>
  <c r="G152" i="9" s="1"/>
  <c r="L37" i="33"/>
  <c r="M37" i="33" s="1"/>
  <c r="G43" i="9" s="1"/>
  <c r="L119" i="33"/>
  <c r="M119" i="33" s="1"/>
  <c r="L297" i="33"/>
  <c r="M297" i="33" s="1"/>
  <c r="G303" i="9" s="1"/>
  <c r="L50" i="33"/>
  <c r="M50" i="33" s="1"/>
  <c r="G56" i="9" s="1"/>
  <c r="L147" i="33"/>
  <c r="M147" i="33" s="1"/>
  <c r="G153" i="9" s="1"/>
  <c r="L239" i="33"/>
  <c r="M239" i="33" s="1"/>
  <c r="L79" i="33"/>
  <c r="M79" i="33" s="1"/>
  <c r="G85" i="9" s="1"/>
  <c r="L191" i="33"/>
  <c r="M191" i="33" s="1"/>
  <c r="G197" i="9" s="1"/>
  <c r="L243" i="33"/>
  <c r="M243" i="33" s="1"/>
  <c r="G249" i="9" s="1"/>
  <c r="L229" i="33"/>
  <c r="M229" i="33" s="1"/>
  <c r="G235" i="9" s="1"/>
  <c r="L133" i="33"/>
  <c r="M133" i="33" s="1"/>
  <c r="G139" i="9" s="1"/>
  <c r="L42" i="33"/>
  <c r="M42" i="33" s="1"/>
  <c r="G48" i="9" s="1"/>
  <c r="L304" i="33"/>
  <c r="M304" i="33" s="1"/>
  <c r="G310" i="9" s="1"/>
  <c r="L155" i="33"/>
  <c r="M155" i="33" s="1"/>
  <c r="L102" i="33"/>
  <c r="M102" i="33" s="1"/>
  <c r="G108" i="9" s="1"/>
  <c r="L162" i="33"/>
  <c r="M162" i="33" s="1"/>
  <c r="G168" i="9" s="1"/>
  <c r="L247" i="33"/>
  <c r="M247" i="33" s="1"/>
  <c r="G253" i="9" s="1"/>
  <c r="L8" i="33"/>
  <c r="M8" i="33" s="1"/>
  <c r="G14" i="9" s="1"/>
  <c r="L231" i="33"/>
  <c r="M231" i="33" s="1"/>
  <c r="G237" i="9" s="1"/>
  <c r="L270" i="33"/>
  <c r="M270" i="33" s="1"/>
  <c r="G276" i="9" s="1"/>
  <c r="L301" i="33"/>
  <c r="M301" i="33" s="1"/>
  <c r="G307" i="9" s="1"/>
  <c r="L244" i="33"/>
  <c r="M244" i="33" s="1"/>
  <c r="L182" i="33"/>
  <c r="M182" i="33" s="1"/>
  <c r="G188" i="9" s="1"/>
  <c r="L200" i="33"/>
  <c r="M200" i="33" s="1"/>
  <c r="G206" i="9" s="1"/>
  <c r="L259" i="33"/>
  <c r="M259" i="33" s="1"/>
  <c r="G265" i="9" s="1"/>
  <c r="L76" i="33"/>
  <c r="M76" i="33" s="1"/>
  <c r="G82" i="9" s="1"/>
  <c r="L127" i="33"/>
  <c r="M127" i="33" s="1"/>
  <c r="G133" i="9" s="1"/>
  <c r="L100" i="33"/>
  <c r="M100" i="33" s="1"/>
  <c r="G106" i="9" s="1"/>
  <c r="L64" i="33"/>
  <c r="M64" i="33" s="1"/>
  <c r="G70" i="9" s="1"/>
  <c r="L94" i="33"/>
  <c r="M94" i="33" s="1"/>
  <c r="L150" i="33"/>
  <c r="M150" i="33" s="1"/>
  <c r="G156" i="9" s="1"/>
  <c r="L145" i="33"/>
  <c r="M145" i="33" s="1"/>
  <c r="G151" i="9" s="1"/>
  <c r="L180" i="33"/>
  <c r="M180" i="33" s="1"/>
  <c r="G186" i="9" s="1"/>
  <c r="L19" i="33"/>
  <c r="M19" i="33" s="1"/>
  <c r="G25" i="9" s="1"/>
  <c r="L281" i="33"/>
  <c r="M281" i="33" s="1"/>
  <c r="G287" i="9" s="1"/>
  <c r="L88" i="33"/>
  <c r="M88" i="33" s="1"/>
  <c r="G94" i="9" s="1"/>
  <c r="L124" i="33"/>
  <c r="M124" i="33" s="1"/>
  <c r="G130" i="9" s="1"/>
  <c r="L216" i="33"/>
  <c r="M216" i="33" s="1"/>
  <c r="L9" i="33"/>
  <c r="M9" i="33" s="1"/>
  <c r="G15" i="9" s="1"/>
  <c r="L26" i="33"/>
  <c r="M26" i="33" s="1"/>
  <c r="G32" i="9" s="1"/>
  <c r="L137" i="33"/>
  <c r="M137" i="33" s="1"/>
  <c r="G143" i="9" s="1"/>
  <c r="L236" i="33"/>
  <c r="M236" i="33" s="1"/>
  <c r="G242" i="9" s="1"/>
  <c r="L14" i="33"/>
  <c r="M14" i="33" s="1"/>
  <c r="G20" i="9" s="1"/>
  <c r="L212" i="33"/>
  <c r="M212" i="33" s="1"/>
  <c r="G218" i="9" s="1"/>
  <c r="L61" i="33"/>
  <c r="M61" i="33" s="1"/>
  <c r="G67" i="9" s="1"/>
  <c r="L82" i="33"/>
  <c r="M82" i="33" s="1"/>
  <c r="L207" i="33"/>
  <c r="M207" i="33" s="1"/>
  <c r="G213" i="9" s="1"/>
  <c r="L173" i="33"/>
  <c r="M173" i="33" s="1"/>
  <c r="G179" i="9" s="1"/>
  <c r="L69" i="33"/>
  <c r="M69" i="33" s="1"/>
  <c r="G75" i="9" s="1"/>
  <c r="L140" i="33"/>
  <c r="M140" i="33" s="1"/>
  <c r="G146" i="9" s="1"/>
  <c r="L215" i="33"/>
  <c r="M215" i="33" s="1"/>
  <c r="G221" i="9" s="1"/>
  <c r="L170" i="33"/>
  <c r="M170" i="33" s="1"/>
  <c r="G176" i="9" s="1"/>
  <c r="L38" i="33"/>
  <c r="M38" i="33" s="1"/>
  <c r="G44" i="9" s="1"/>
  <c r="L74" i="33"/>
  <c r="M74" i="33" s="1"/>
  <c r="L175" i="33"/>
  <c r="M175" i="33" s="1"/>
  <c r="G181" i="9" s="1"/>
  <c r="L287" i="33"/>
  <c r="M287" i="33" s="1"/>
  <c r="G293" i="9" s="1"/>
  <c r="L55" i="33"/>
  <c r="M55" i="33" s="1"/>
  <c r="G61" i="9" s="1"/>
  <c r="L183" i="33"/>
  <c r="M183" i="33" s="1"/>
  <c r="G189" i="9" s="1"/>
  <c r="L178" i="33"/>
  <c r="M178" i="33" s="1"/>
  <c r="G184" i="9" s="1"/>
  <c r="L250" i="33"/>
  <c r="M250" i="33" s="1"/>
  <c r="G256" i="9" s="1"/>
  <c r="L181" i="33"/>
  <c r="M181" i="33" s="1"/>
  <c r="G187" i="9" s="1"/>
  <c r="L20" i="33"/>
  <c r="M20" i="33" s="1"/>
  <c r="L234" i="33"/>
  <c r="M234" i="33" s="1"/>
  <c r="G240" i="9" s="1"/>
  <c r="L201" i="33"/>
  <c r="M201" i="33" s="1"/>
  <c r="G207" i="9" s="1"/>
  <c r="L174" i="33"/>
  <c r="M174" i="33" s="1"/>
  <c r="G180" i="9" s="1"/>
  <c r="L120" i="33"/>
  <c r="M120" i="33" s="1"/>
  <c r="G126" i="9" s="1"/>
  <c r="L99" i="33"/>
  <c r="M99" i="33" s="1"/>
  <c r="G105" i="9" s="1"/>
  <c r="L7" i="33"/>
  <c r="M7" i="33" s="1"/>
  <c r="G13" i="9" s="1"/>
  <c r="G211" i="9"/>
  <c r="G72" i="9"/>
  <c r="G27" i="9"/>
  <c r="G245" i="9"/>
  <c r="G115" i="9"/>
  <c r="G110" i="9"/>
  <c r="G100" i="9"/>
  <c r="G274" i="9"/>
  <c r="G299" i="9"/>
  <c r="G190" i="9"/>
  <c r="G35" i="9"/>
  <c r="G123" i="9"/>
  <c r="G290" i="9"/>
  <c r="G96" i="9"/>
  <c r="G281" i="9"/>
  <c r="G140" i="9"/>
  <c r="G60" i="9"/>
  <c r="G37" i="9"/>
  <c r="G89" i="9"/>
  <c r="G229" i="9"/>
  <c r="G238" i="9"/>
  <c r="G164" i="9"/>
  <c r="G295" i="9"/>
  <c r="G294" i="9"/>
  <c r="G163" i="9"/>
  <c r="G183" i="9"/>
  <c r="G111" i="9"/>
  <c r="G83" i="9"/>
  <c r="G103" i="9"/>
  <c r="G222" i="9"/>
  <c r="G134" i="9"/>
  <c r="G39" i="9"/>
  <c r="G216" i="9"/>
  <c r="G302" i="9"/>
  <c r="G223" i="9"/>
  <c r="G243" i="9"/>
  <c r="G192" i="9"/>
  <c r="G275" i="9"/>
  <c r="G161" i="9"/>
  <c r="G173" i="9"/>
  <c r="G158" i="9"/>
  <c r="G268" i="9"/>
  <c r="G232" i="9"/>
  <c r="G204" i="9"/>
  <c r="G227" i="9"/>
  <c r="G250" i="9"/>
  <c r="G205" i="9"/>
  <c r="G288" i="9"/>
  <c r="G226" i="9"/>
  <c r="G132" i="9"/>
  <c r="G30" i="9"/>
  <c r="G215" i="9"/>
  <c r="G263" i="9"/>
  <c r="G278" i="9"/>
  <c r="G109" i="9"/>
  <c r="G271" i="9"/>
  <c r="G98" i="9"/>
  <c r="G145" i="9"/>
  <c r="G219" i="9"/>
  <c r="G81" i="9"/>
  <c r="G296" i="9"/>
  <c r="G29" i="9"/>
  <c r="G171" i="9"/>
  <c r="G258" i="9"/>
  <c r="G286" i="9"/>
  <c r="G102" i="9"/>
  <c r="G17" i="9"/>
  <c r="G147" i="9"/>
  <c r="G241" i="9"/>
  <c r="G53" i="9"/>
  <c r="G283" i="9"/>
  <c r="G88" i="9"/>
  <c r="G59" i="9"/>
  <c r="G191" i="9"/>
  <c r="G125" i="9"/>
  <c r="G175" i="9"/>
  <c r="G201" i="9"/>
  <c r="G80" i="9"/>
  <c r="G26" i="9"/>
  <c r="G261" i="9"/>
  <c r="G40" i="9"/>
  <c r="G57" i="9"/>
  <c r="G228" i="9"/>
  <c r="G185" i="9"/>
  <c r="F30" i="48"/>
  <c r="K6" i="54"/>
  <c r="K306" i="54" s="1"/>
  <c r="J306" i="54"/>
  <c r="H305" i="25"/>
  <c r="K39" i="40"/>
  <c r="K40" i="40" s="1"/>
  <c r="H40" i="40" s="1"/>
  <c r="L6" i="33"/>
  <c r="M6" i="33" s="1"/>
  <c r="I6" i="37"/>
  <c r="B18" i="48" l="1"/>
  <c r="I306" i="54"/>
  <c r="M306" i="33"/>
  <c r="C7" i="9" s="1"/>
  <c r="C8" i="9" s="1"/>
  <c r="G306" i="37"/>
  <c r="C41" i="40"/>
  <c r="M5" i="11" s="1"/>
  <c r="F12" i="34"/>
  <c r="I306" i="37"/>
  <c r="G12" i="9"/>
  <c r="M130" i="11" l="1"/>
  <c r="M106" i="11"/>
  <c r="M154" i="11"/>
  <c r="M166" i="11"/>
  <c r="M114" i="11"/>
  <c r="M198" i="11"/>
  <c r="M186" i="11"/>
  <c r="M162" i="11"/>
  <c r="M239" i="11"/>
  <c r="M243" i="11"/>
  <c r="M247" i="11"/>
  <c r="M251" i="11"/>
  <c r="M182" i="11"/>
  <c r="M269" i="11"/>
  <c r="M241" i="11"/>
  <c r="M249" i="11"/>
  <c r="M237" i="11"/>
  <c r="M245" i="11"/>
  <c r="M253" i="11"/>
  <c r="M98" i="11"/>
  <c r="M170" i="11"/>
  <c r="M266" i="11"/>
  <c r="M259" i="11"/>
  <c r="M125" i="11"/>
  <c r="M298" i="11"/>
  <c r="M263" i="11"/>
  <c r="M129" i="11"/>
  <c r="M137" i="11"/>
  <c r="M123" i="11"/>
  <c r="M175" i="11"/>
  <c r="M153" i="11"/>
  <c r="M134" i="11"/>
  <c r="M115" i="11"/>
  <c r="M101" i="11"/>
  <c r="M79" i="11"/>
  <c r="M35" i="11"/>
  <c r="M69" i="11"/>
  <c r="M21" i="11"/>
  <c r="M297" i="11"/>
  <c r="M212" i="11"/>
  <c r="M305" i="11"/>
  <c r="M228" i="11"/>
  <c r="M290" i="11"/>
  <c r="M267" i="11"/>
  <c r="M268" i="11"/>
  <c r="M294" i="11"/>
  <c r="M201" i="11"/>
  <c r="M226" i="11"/>
  <c r="M203" i="11"/>
  <c r="M121" i="11"/>
  <c r="M131" i="11"/>
  <c r="M187" i="11"/>
  <c r="M112" i="11"/>
  <c r="M77" i="11"/>
  <c r="M127" i="11"/>
  <c r="M43" i="11"/>
  <c r="M75" i="11"/>
  <c r="M51" i="11"/>
  <c r="M65" i="11"/>
  <c r="M37" i="11"/>
  <c r="M17" i="11"/>
  <c r="M273" i="11"/>
  <c r="M295" i="11"/>
  <c r="M255" i="11"/>
  <c r="M293" i="11"/>
  <c r="M262" i="11"/>
  <c r="M200" i="11"/>
  <c r="M216" i="11"/>
  <c r="M191" i="11"/>
  <c r="M111" i="11"/>
  <c r="M117" i="11"/>
  <c r="M103" i="11"/>
  <c r="M63" i="11"/>
  <c r="M61" i="11"/>
  <c r="M260" i="11"/>
  <c r="M250" i="11"/>
  <c r="M285" i="11"/>
  <c r="M169" i="11"/>
  <c r="M281" i="11"/>
  <c r="M254" i="11"/>
  <c r="M258" i="11"/>
  <c r="M289" i="11"/>
  <c r="M261" i="11"/>
  <c r="M118" i="11"/>
  <c r="M161" i="11"/>
  <c r="M150" i="11"/>
  <c r="M107" i="11"/>
  <c r="M47" i="11"/>
  <c r="M59" i="11"/>
  <c r="M71" i="11"/>
  <c r="M57" i="11"/>
  <c r="M33" i="11"/>
  <c r="M13" i="11"/>
  <c r="M242" i="11"/>
  <c r="M124" i="11"/>
  <c r="M246" i="11"/>
  <c r="M282" i="11"/>
  <c r="M194" i="11"/>
  <c r="M174" i="11"/>
  <c r="M158" i="11"/>
  <c r="M218" i="11"/>
  <c r="M133" i="11"/>
  <c r="M96" i="11"/>
  <c r="M55" i="11"/>
  <c r="M11" i="11"/>
  <c r="M39" i="11"/>
  <c r="M19" i="11"/>
  <c r="M31" i="11"/>
  <c r="M53" i="11"/>
  <c r="M9" i="11"/>
  <c r="M138" i="11"/>
  <c r="M41" i="11"/>
  <c r="M173" i="11"/>
  <c r="M274" i="11"/>
  <c r="M220" i="11"/>
  <c r="M271" i="11"/>
  <c r="M238" i="11"/>
  <c r="M278" i="11"/>
  <c r="M190" i="11"/>
  <c r="M178" i="11"/>
  <c r="M99" i="11"/>
  <c r="M109" i="11"/>
  <c r="M104" i="11"/>
  <c r="M119" i="11"/>
  <c r="M142" i="11"/>
  <c r="M93" i="11"/>
  <c r="M95" i="11"/>
  <c r="M15" i="11"/>
  <c r="M27" i="11"/>
  <c r="M49" i="11"/>
  <c r="M29" i="11"/>
  <c r="M7" i="11"/>
  <c r="M301" i="11"/>
  <c r="M145" i="11"/>
  <c r="M25" i="11"/>
  <c r="M279" i="11"/>
  <c r="M277" i="11"/>
  <c r="M146" i="11"/>
  <c r="M141" i="11"/>
  <c r="M120" i="11"/>
  <c r="M67" i="11"/>
  <c r="M45" i="11"/>
  <c r="M73" i="11"/>
  <c r="M224" i="11"/>
  <c r="M210" i="11"/>
  <c r="M23" i="11"/>
  <c r="M211" i="11"/>
  <c r="M152" i="11"/>
  <c r="M86" i="11"/>
  <c r="M12" i="11"/>
  <c r="M97" i="11"/>
  <c r="M214" i="11"/>
  <c r="M217" i="11"/>
  <c r="M287" i="11"/>
  <c r="M221" i="11"/>
  <c r="M66" i="11"/>
  <c r="M244" i="11"/>
  <c r="M110" i="11"/>
  <c r="M225" i="11"/>
  <c r="M288" i="11"/>
  <c r="M204" i="11"/>
  <c r="M22" i="11"/>
  <c r="M286" i="11"/>
  <c r="M159" i="11"/>
  <c r="M209" i="11"/>
  <c r="M299" i="11"/>
  <c r="M38" i="11"/>
  <c r="M292" i="11"/>
  <c r="M234" i="11"/>
  <c r="M196" i="11"/>
  <c r="M102" i="11"/>
  <c r="M48" i="11"/>
  <c r="M20" i="11"/>
  <c r="M34" i="11"/>
  <c r="M28" i="11"/>
  <c r="M58" i="11"/>
  <c r="M44" i="11"/>
  <c r="M184" i="11"/>
  <c r="M148" i="11"/>
  <c r="M206" i="11"/>
  <c r="M302" i="11"/>
  <c r="M164" i="11"/>
  <c r="M283" i="11"/>
  <c r="M100" i="11"/>
  <c r="M176" i="11"/>
  <c r="M232" i="11"/>
  <c r="M54" i="11"/>
  <c r="M252" i="11"/>
  <c r="M280" i="11"/>
  <c r="M233" i="11"/>
  <c r="M171" i="11"/>
  <c r="M208" i="11"/>
  <c r="M32" i="11"/>
  <c r="M85" i="11"/>
  <c r="M60" i="11"/>
  <c r="M272" i="11"/>
  <c r="M46" i="11"/>
  <c r="M165" i="11"/>
  <c r="M270" i="11"/>
  <c r="M105" i="11"/>
  <c r="M149" i="11"/>
  <c r="M181" i="11"/>
  <c r="M185" i="11"/>
  <c r="M113" i="11"/>
  <c r="M83" i="11"/>
  <c r="M192" i="11"/>
  <c r="M213" i="11"/>
  <c r="M163" i="11"/>
  <c r="M235" i="11"/>
  <c r="M264" i="11"/>
  <c r="M68" i="11"/>
  <c r="M230" i="11"/>
  <c r="M151" i="11"/>
  <c r="M18" i="11"/>
  <c r="M275" i="11"/>
  <c r="M70" i="11"/>
  <c r="M82" i="11"/>
  <c r="M219" i="11"/>
  <c r="M215" i="11"/>
  <c r="M87" i="11"/>
  <c r="M78" i="11"/>
  <c r="M156" i="11"/>
  <c r="M26" i="11"/>
  <c r="M304" i="11"/>
  <c r="M62" i="11"/>
  <c r="M207" i="11"/>
  <c r="M231" i="11"/>
  <c r="M296" i="11"/>
  <c r="M276" i="11"/>
  <c r="M167" i="11"/>
  <c r="M197" i="11"/>
  <c r="M284" i="11"/>
  <c r="M140" i="11"/>
  <c r="M222" i="11"/>
  <c r="M177" i="11"/>
  <c r="M248" i="11"/>
  <c r="M108" i="11"/>
  <c r="M236" i="11"/>
  <c r="M188" i="11"/>
  <c r="M189" i="11"/>
  <c r="M300" i="11"/>
  <c r="M24" i="11"/>
  <c r="M14" i="11"/>
  <c r="M8" i="11"/>
  <c r="M36" i="11"/>
  <c r="M227" i="11"/>
  <c r="M143" i="11"/>
  <c r="M90" i="11"/>
  <c r="M91" i="11"/>
  <c r="M76" i="11"/>
  <c r="M135" i="11"/>
  <c r="M195" i="11"/>
  <c r="M80" i="11"/>
  <c r="M193" i="11"/>
  <c r="M42" i="11"/>
  <c r="M81" i="11"/>
  <c r="M199" i="11"/>
  <c r="M256" i="11"/>
  <c r="M116" i="11"/>
  <c r="M229" i="11"/>
  <c r="M84" i="11"/>
  <c r="M30" i="11"/>
  <c r="M160" i="11"/>
  <c r="M16" i="11"/>
  <c r="M40" i="11"/>
  <c r="M56" i="11"/>
  <c r="M144" i="11"/>
  <c r="M128" i="11"/>
  <c r="M136" i="11"/>
  <c r="M168" i="11"/>
  <c r="M88" i="11"/>
  <c r="M205" i="11"/>
  <c r="M89" i="11"/>
  <c r="M132" i="11"/>
  <c r="M126" i="11"/>
  <c r="M64" i="11"/>
  <c r="M291" i="11"/>
  <c r="M50" i="11"/>
  <c r="M180" i="11"/>
  <c r="M52" i="11"/>
  <c r="M74" i="11"/>
  <c r="M257" i="11"/>
  <c r="M139" i="11"/>
  <c r="M147" i="11"/>
  <c r="M303" i="11"/>
  <c r="M94" i="11"/>
  <c r="M157" i="11"/>
  <c r="M265" i="11"/>
  <c r="M223" i="11"/>
  <c r="M122" i="11"/>
  <c r="M92" i="11"/>
  <c r="M240" i="11"/>
  <c r="M183" i="11"/>
  <c r="M72" i="11"/>
  <c r="M172" i="11"/>
  <c r="M10" i="11"/>
  <c r="M179" i="11"/>
  <c r="M155" i="11"/>
  <c r="M202" i="11"/>
  <c r="E34" i="48"/>
  <c r="F18" i="48"/>
  <c r="F6" i="12"/>
  <c r="M6" i="11"/>
  <c r="C40" i="40"/>
  <c r="H5" i="11" s="1"/>
  <c r="F312" i="34"/>
  <c r="D7" i="9"/>
  <c r="D8" i="9"/>
  <c r="H127" i="11" l="1"/>
  <c r="H119" i="11"/>
  <c r="H125" i="11"/>
  <c r="O125" i="11" s="1"/>
  <c r="G131" i="34" s="1"/>
  <c r="G125" i="12" s="1"/>
  <c r="F125" i="39" s="1"/>
  <c r="H190" i="11"/>
  <c r="O190" i="11" s="1"/>
  <c r="G196" i="34" s="1"/>
  <c r="G190" i="12" s="1"/>
  <c r="F190" i="39" s="1"/>
  <c r="H204" i="11"/>
  <c r="H121" i="11"/>
  <c r="H186" i="11"/>
  <c r="O186" i="11" s="1"/>
  <c r="G192" i="34" s="1"/>
  <c r="G186" i="12" s="1"/>
  <c r="F186" i="39" s="1"/>
  <c r="H198" i="11"/>
  <c r="O198" i="11" s="1"/>
  <c r="G204" i="34" s="1"/>
  <c r="G198" i="12" s="1"/>
  <c r="F198" i="39" s="1"/>
  <c r="H268" i="11"/>
  <c r="H260" i="11"/>
  <c r="H300" i="11"/>
  <c r="O300" i="11" s="1"/>
  <c r="G306" i="34" s="1"/>
  <c r="G300" i="12" s="1"/>
  <c r="F300" i="39" s="1"/>
  <c r="H290" i="11"/>
  <c r="H257" i="11"/>
  <c r="H296" i="11"/>
  <c r="H271" i="11"/>
  <c r="O271" i="11" s="1"/>
  <c r="G277" i="34" s="1"/>
  <c r="G271" i="12" s="1"/>
  <c r="F271" i="39" s="1"/>
  <c r="H237" i="11"/>
  <c r="O237" i="11" s="1"/>
  <c r="G243" i="34" s="1"/>
  <c r="G237" i="12" s="1"/>
  <c r="F237" i="39" s="1"/>
  <c r="H304" i="11"/>
  <c r="H272" i="11"/>
  <c r="H117" i="11"/>
  <c r="O117" i="11" s="1"/>
  <c r="G123" i="34" s="1"/>
  <c r="G117" i="12" s="1"/>
  <c r="F117" i="39" s="1"/>
  <c r="H136" i="11"/>
  <c r="H244" i="11"/>
  <c r="H165" i="11"/>
  <c r="O165" i="11" s="1"/>
  <c r="G171" i="34" s="1"/>
  <c r="G165" i="12" s="1"/>
  <c r="F165" i="39" s="1"/>
  <c r="H249" i="11"/>
  <c r="O249" i="11" s="1"/>
  <c r="G255" i="34" s="1"/>
  <c r="G249" i="12" s="1"/>
  <c r="F249" i="39" s="1"/>
  <c r="H191" i="11"/>
  <c r="O191" i="11" s="1"/>
  <c r="G197" i="34" s="1"/>
  <c r="G191" i="12" s="1"/>
  <c r="F191" i="39" s="1"/>
  <c r="H251" i="11"/>
  <c r="H258" i="11"/>
  <c r="H297" i="11"/>
  <c r="O297" i="11" s="1"/>
  <c r="G303" i="34" s="1"/>
  <c r="G297" i="12" s="1"/>
  <c r="F297" i="39" s="1"/>
  <c r="H255" i="11"/>
  <c r="H267" i="11"/>
  <c r="H218" i="11"/>
  <c r="O218" i="11" s="1"/>
  <c r="G224" i="34" s="1"/>
  <c r="G218" i="12" s="1"/>
  <c r="F218" i="39" s="1"/>
  <c r="H162" i="11"/>
  <c r="O162" i="11" s="1"/>
  <c r="G168" i="34" s="1"/>
  <c r="G162" i="12" s="1"/>
  <c r="F162" i="39" s="1"/>
  <c r="H222" i="11"/>
  <c r="H150" i="11"/>
  <c r="H173" i="11"/>
  <c r="H131" i="11"/>
  <c r="H154" i="11"/>
  <c r="H134" i="11"/>
  <c r="H114" i="11"/>
  <c r="H210" i="11"/>
  <c r="O210" i="11" s="1"/>
  <c r="G216" i="34" s="1"/>
  <c r="G210" i="12" s="1"/>
  <c r="F210" i="39" s="1"/>
  <c r="H276" i="11"/>
  <c r="O276" i="11" s="1"/>
  <c r="G282" i="34" s="1"/>
  <c r="G276" i="12" s="1"/>
  <c r="F276" i="39" s="1"/>
  <c r="H201" i="11"/>
  <c r="H289" i="11"/>
  <c r="H248" i="11"/>
  <c r="O248" i="11" s="1"/>
  <c r="G254" i="34" s="1"/>
  <c r="G248" i="12" s="1"/>
  <c r="F248" i="39" s="1"/>
  <c r="H182" i="11"/>
  <c r="H243" i="11"/>
  <c r="H259" i="11"/>
  <c r="H265" i="11"/>
  <c r="O265" i="11" s="1"/>
  <c r="G271" i="34" s="1"/>
  <c r="G265" i="12" s="1"/>
  <c r="H226" i="11"/>
  <c r="H247" i="11"/>
  <c r="H293" i="11"/>
  <c r="H166" i="11"/>
  <c r="O166" i="11" s="1"/>
  <c r="G172" i="34" s="1"/>
  <c r="G166" i="12" s="1"/>
  <c r="F166" i="39" s="1"/>
  <c r="H194" i="11"/>
  <c r="H142" i="11"/>
  <c r="H169" i="11"/>
  <c r="H129" i="11"/>
  <c r="O129" i="11" s="1"/>
  <c r="G135" i="34" s="1"/>
  <c r="G129" i="12" s="1"/>
  <c r="F129" i="39" s="1"/>
  <c r="H153" i="11"/>
  <c r="O153" i="11" s="1"/>
  <c r="G159" i="34" s="1"/>
  <c r="G153" i="12" s="1"/>
  <c r="F153" i="39" s="1"/>
  <c r="H132" i="11"/>
  <c r="H158" i="11"/>
  <c r="H110" i="11"/>
  <c r="O110" i="11" s="1"/>
  <c r="G116" i="34" s="1"/>
  <c r="G110" i="12" s="1"/>
  <c r="F110" i="39" s="1"/>
  <c r="H266" i="11"/>
  <c r="H178" i="11"/>
  <c r="H123" i="11"/>
  <c r="H94" i="11"/>
  <c r="O94" i="11" s="1"/>
  <c r="G100" i="34" s="1"/>
  <c r="G94" i="12" s="1"/>
  <c r="F94" i="39" s="1"/>
  <c r="H241" i="11"/>
  <c r="O241" i="11" s="1"/>
  <c r="G247" i="34" s="1"/>
  <c r="G241" i="12" s="1"/>
  <c r="F241" i="39" s="1"/>
  <c r="H187" i="11"/>
  <c r="H250" i="11"/>
  <c r="H292" i="11"/>
  <c r="O292" i="11" s="1"/>
  <c r="G298" i="34" s="1"/>
  <c r="G292" i="12" s="1"/>
  <c r="F292" i="39" s="1"/>
  <c r="H239" i="11"/>
  <c r="H120" i="11"/>
  <c r="H224" i="11"/>
  <c r="O224" i="11" s="1"/>
  <c r="G230" i="34" s="1"/>
  <c r="G224" i="12" s="1"/>
  <c r="F224" i="39" s="1"/>
  <c r="H138" i="11"/>
  <c r="O138" i="11" s="1"/>
  <c r="G144" i="34" s="1"/>
  <c r="G138" i="12" s="1"/>
  <c r="H122" i="11"/>
  <c r="O122" i="11" s="1"/>
  <c r="G128" i="34" s="1"/>
  <c r="G122" i="12" s="1"/>
  <c r="H106" i="11"/>
  <c r="H284" i="11"/>
  <c r="H240" i="11"/>
  <c r="O240" i="11" s="1"/>
  <c r="G246" i="34" s="1"/>
  <c r="G240" i="12" s="1"/>
  <c r="F240" i="39" s="1"/>
  <c r="H274" i="11"/>
  <c r="H280" i="11"/>
  <c r="H242" i="11"/>
  <c r="O242" i="11" s="1"/>
  <c r="G248" i="34" s="1"/>
  <c r="G242" i="12" s="1"/>
  <c r="F242" i="39" s="1"/>
  <c r="H253" i="11"/>
  <c r="O253" i="11" s="1"/>
  <c r="G259" i="34" s="1"/>
  <c r="G253" i="12" s="1"/>
  <c r="F253" i="39" s="1"/>
  <c r="H236" i="11"/>
  <c r="O236" i="11" s="1"/>
  <c r="G242" i="34" s="1"/>
  <c r="G236" i="12" s="1"/>
  <c r="F236" i="39" s="1"/>
  <c r="H288" i="11"/>
  <c r="H254" i="11"/>
  <c r="H214" i="11"/>
  <c r="O214" i="11" s="1"/>
  <c r="G220" i="34" s="1"/>
  <c r="G214" i="12" s="1"/>
  <c r="F214" i="39" s="1"/>
  <c r="H107" i="11"/>
  <c r="H102" i="11"/>
  <c r="H115" i="11"/>
  <c r="H145" i="11"/>
  <c r="O145" i="11" s="1"/>
  <c r="G151" i="34" s="1"/>
  <c r="G145" i="12" s="1"/>
  <c r="F145" i="39" s="1"/>
  <c r="H263" i="11"/>
  <c r="O263" i="11" s="1"/>
  <c r="G269" i="34" s="1"/>
  <c r="G263" i="12" s="1"/>
  <c r="F263" i="39" s="1"/>
  <c r="H281" i="11"/>
  <c r="O281" i="11" s="1"/>
  <c r="G287" i="34" s="1"/>
  <c r="G281" i="12" s="1"/>
  <c r="H252" i="11"/>
  <c r="H147" i="11"/>
  <c r="O147" i="11" s="1"/>
  <c r="G153" i="34" s="1"/>
  <c r="G147" i="12" s="1"/>
  <c r="F147" i="39" s="1"/>
  <c r="H246" i="11"/>
  <c r="H98" i="11"/>
  <c r="H174" i="11"/>
  <c r="H161" i="11"/>
  <c r="O161" i="11" s="1"/>
  <c r="G167" i="34" s="1"/>
  <c r="G161" i="12" s="1"/>
  <c r="F161" i="39" s="1"/>
  <c r="H305" i="11"/>
  <c r="O305" i="11" s="1"/>
  <c r="G311" i="34" s="1"/>
  <c r="G305" i="12" s="1"/>
  <c r="F305" i="39" s="1"/>
  <c r="H273" i="11"/>
  <c r="H262" i="11"/>
  <c r="H270" i="11"/>
  <c r="O270" i="11" s="1"/>
  <c r="G276" i="34" s="1"/>
  <c r="G270" i="12" s="1"/>
  <c r="F270" i="39" s="1"/>
  <c r="H245" i="11"/>
  <c r="H277" i="11"/>
  <c r="H238" i="11"/>
  <c r="O238" i="11" s="1"/>
  <c r="G244" i="34" s="1"/>
  <c r="G238" i="12" s="1"/>
  <c r="F238" i="39" s="1"/>
  <c r="H203" i="11"/>
  <c r="O203" i="11" s="1"/>
  <c r="G209" i="34" s="1"/>
  <c r="G203" i="12" s="1"/>
  <c r="F203" i="39" s="1"/>
  <c r="H230" i="11"/>
  <c r="O230" i="11" s="1"/>
  <c r="G236" i="34" s="1"/>
  <c r="G230" i="12" s="1"/>
  <c r="F230" i="39" s="1"/>
  <c r="H170" i="11"/>
  <c r="H200" i="11"/>
  <c r="H149" i="11"/>
  <c r="O149" i="11" s="1"/>
  <c r="G155" i="34" s="1"/>
  <c r="G149" i="12" s="1"/>
  <c r="F149" i="39" s="1"/>
  <c r="H216" i="11"/>
  <c r="H175" i="11"/>
  <c r="H140" i="11"/>
  <c r="O140" i="11" s="1"/>
  <c r="G146" i="34" s="1"/>
  <c r="G140" i="12" s="1"/>
  <c r="F140" i="39" s="1"/>
  <c r="H99" i="11"/>
  <c r="O99" i="11" s="1"/>
  <c r="G105" i="34" s="1"/>
  <c r="G99" i="12" s="1"/>
  <c r="F99" i="39" s="1"/>
  <c r="H130" i="11"/>
  <c r="O130" i="11" s="1"/>
  <c r="G136" i="34" s="1"/>
  <c r="G130" i="12" s="1"/>
  <c r="H77" i="11"/>
  <c r="H23" i="11"/>
  <c r="H160" i="11"/>
  <c r="O160" i="11" s="1"/>
  <c r="G166" i="34" s="1"/>
  <c r="G160" i="12" s="1"/>
  <c r="F160" i="39" s="1"/>
  <c r="H25" i="11"/>
  <c r="H104" i="11"/>
  <c r="H40" i="11"/>
  <c r="H53" i="11"/>
  <c r="O53" i="11" s="1"/>
  <c r="G59" i="34" s="1"/>
  <c r="G53" i="12" s="1"/>
  <c r="F53" i="39" s="1"/>
  <c r="H58" i="11"/>
  <c r="O58" i="11" s="1"/>
  <c r="G64" i="34" s="1"/>
  <c r="G58" i="12" s="1"/>
  <c r="F58" i="39" s="1"/>
  <c r="H51" i="11"/>
  <c r="H44" i="11"/>
  <c r="H159" i="11"/>
  <c r="O159" i="11" s="1"/>
  <c r="G165" i="34" s="1"/>
  <c r="G159" i="12" s="1"/>
  <c r="F159" i="39" s="1"/>
  <c r="H188" i="11"/>
  <c r="H14" i="11"/>
  <c r="H100" i="11"/>
  <c r="O100" i="11" s="1"/>
  <c r="G106" i="34" s="1"/>
  <c r="G100" i="12" s="1"/>
  <c r="F100" i="39" s="1"/>
  <c r="H181" i="11"/>
  <c r="O181" i="11" s="1"/>
  <c r="G187" i="34" s="1"/>
  <c r="G181" i="12" s="1"/>
  <c r="F181" i="39" s="1"/>
  <c r="H43" i="11"/>
  <c r="O43" i="11" s="1"/>
  <c r="G49" i="34" s="1"/>
  <c r="G43" i="12" s="1"/>
  <c r="F43" i="39" s="1"/>
  <c r="H177" i="11"/>
  <c r="H84" i="11"/>
  <c r="H18" i="11"/>
  <c r="O18" i="11" s="1"/>
  <c r="G24" i="34" s="1"/>
  <c r="G18" i="12" s="1"/>
  <c r="F18" i="39" s="1"/>
  <c r="H152" i="11"/>
  <c r="H189" i="11"/>
  <c r="H38" i="11"/>
  <c r="O38" i="11" s="1"/>
  <c r="G44" i="34" s="1"/>
  <c r="G38" i="12" s="1"/>
  <c r="F38" i="39" s="1"/>
  <c r="H113" i="11"/>
  <c r="O113" i="11" s="1"/>
  <c r="G119" i="34" s="1"/>
  <c r="G113" i="12" s="1"/>
  <c r="F113" i="39" s="1"/>
  <c r="H139" i="11"/>
  <c r="O139" i="11" s="1"/>
  <c r="G145" i="34" s="1"/>
  <c r="G139" i="12" s="1"/>
  <c r="F139" i="39" s="1"/>
  <c r="H10" i="11"/>
  <c r="H286" i="11"/>
  <c r="H8" i="11"/>
  <c r="O8" i="11" s="1"/>
  <c r="G14" i="34" s="1"/>
  <c r="G8" i="12" s="1"/>
  <c r="F8" i="39" s="1"/>
  <c r="H80" i="11"/>
  <c r="H261" i="11"/>
  <c r="H227" i="11"/>
  <c r="H35" i="11"/>
  <c r="O35" i="11" s="1"/>
  <c r="G41" i="34" s="1"/>
  <c r="G35" i="12" s="1"/>
  <c r="F35" i="39" s="1"/>
  <c r="H278" i="11"/>
  <c r="O278" i="11" s="1"/>
  <c r="G284" i="34" s="1"/>
  <c r="G278" i="12" s="1"/>
  <c r="F278" i="39" s="1"/>
  <c r="H231" i="11"/>
  <c r="H228" i="11"/>
  <c r="H298" i="11"/>
  <c r="O298" i="11" s="1"/>
  <c r="G304" i="34" s="1"/>
  <c r="G298" i="12" s="1"/>
  <c r="F298" i="39" s="1"/>
  <c r="H221" i="11"/>
  <c r="H15" i="11"/>
  <c r="H29" i="11"/>
  <c r="H148" i="11"/>
  <c r="O148" i="11" s="1"/>
  <c r="G154" i="34" s="1"/>
  <c r="G148" i="12" s="1"/>
  <c r="F148" i="39" s="1"/>
  <c r="H39" i="11"/>
  <c r="O39" i="11" s="1"/>
  <c r="G45" i="34" s="1"/>
  <c r="G39" i="12" s="1"/>
  <c r="F39" i="39" s="1"/>
  <c r="H164" i="11"/>
  <c r="H73" i="11"/>
  <c r="H11" i="11"/>
  <c r="O11" i="11" s="1"/>
  <c r="G17" i="34" s="1"/>
  <c r="G11" i="12" s="1"/>
  <c r="F11" i="39" s="1"/>
  <c r="H91" i="11"/>
  <c r="H207" i="11"/>
  <c r="H27" i="11"/>
  <c r="H60" i="11"/>
  <c r="O60" i="11" s="1"/>
  <c r="G66" i="34" s="1"/>
  <c r="G60" i="12" s="1"/>
  <c r="F60" i="39" s="1"/>
  <c r="H30" i="11"/>
  <c r="O30" i="11" s="1"/>
  <c r="G36" i="34" s="1"/>
  <c r="G30" i="12" s="1"/>
  <c r="F30" i="39" s="1"/>
  <c r="H172" i="11"/>
  <c r="H211" i="11"/>
  <c r="H59" i="11"/>
  <c r="O59" i="11" s="1"/>
  <c r="G65" i="34" s="1"/>
  <c r="G59" i="12" s="1"/>
  <c r="F59" i="39" s="1"/>
  <c r="H116" i="11"/>
  <c r="H199" i="11"/>
  <c r="H34" i="11"/>
  <c r="H109" i="11"/>
  <c r="O109" i="11" s="1"/>
  <c r="G115" i="34" s="1"/>
  <c r="G109" i="12" s="1"/>
  <c r="F109" i="39" s="1"/>
  <c r="H232" i="11"/>
  <c r="O232" i="11" s="1"/>
  <c r="G238" i="34" s="1"/>
  <c r="G232" i="12" s="1"/>
  <c r="F232" i="39" s="1"/>
  <c r="H302" i="11"/>
  <c r="H143" i="11"/>
  <c r="H225" i="11"/>
  <c r="O225" i="11" s="1"/>
  <c r="G231" i="34" s="1"/>
  <c r="G225" i="12" s="1"/>
  <c r="F225" i="39" s="1"/>
  <c r="H54" i="11"/>
  <c r="H88" i="11"/>
  <c r="H171" i="11"/>
  <c r="H275" i="11"/>
  <c r="O275" i="11" s="1"/>
  <c r="G281" i="34" s="1"/>
  <c r="G275" i="12" s="1"/>
  <c r="F275" i="39" s="1"/>
  <c r="H19" i="11"/>
  <c r="O19" i="11" s="1"/>
  <c r="G25" i="34" s="1"/>
  <c r="G19" i="12" s="1"/>
  <c r="F19" i="39" s="1"/>
  <c r="H217" i="11"/>
  <c r="H31" i="11"/>
  <c r="H17" i="11"/>
  <c r="O17" i="11" s="1"/>
  <c r="G23" i="34" s="1"/>
  <c r="G17" i="12" s="1"/>
  <c r="H112" i="11"/>
  <c r="O112" i="11" s="1"/>
  <c r="G118" i="34" s="1"/>
  <c r="G112" i="12" s="1"/>
  <c r="F112" i="39" s="1"/>
  <c r="H86" i="11"/>
  <c r="H71" i="11"/>
  <c r="H144" i="11"/>
  <c r="O144" i="11" s="1"/>
  <c r="G150" i="34" s="1"/>
  <c r="G144" i="12" s="1"/>
  <c r="F144" i="39" s="1"/>
  <c r="H75" i="11"/>
  <c r="O75" i="11" s="1"/>
  <c r="G81" i="34" s="1"/>
  <c r="G75" i="12" s="1"/>
  <c r="F75" i="39" s="1"/>
  <c r="H85" i="11"/>
  <c r="H235" i="11"/>
  <c r="H124" i="11"/>
  <c r="O124" i="11" s="1"/>
  <c r="G130" i="34" s="1"/>
  <c r="G124" i="12" s="1"/>
  <c r="F124" i="39" s="1"/>
  <c r="H196" i="11"/>
  <c r="H202" i="11"/>
  <c r="H46" i="11"/>
  <c r="H291" i="11"/>
  <c r="O291" i="11" s="1"/>
  <c r="G297" i="34" s="1"/>
  <c r="G291" i="12" s="1"/>
  <c r="F291" i="39" s="1"/>
  <c r="H16" i="11"/>
  <c r="O16" i="11" s="1"/>
  <c r="G22" i="34" s="1"/>
  <c r="G16" i="12" s="1"/>
  <c r="F16" i="39" s="1"/>
  <c r="H105" i="11"/>
  <c r="H269" i="11"/>
  <c r="H50" i="11"/>
  <c r="O50" i="11" s="1"/>
  <c r="G56" i="34" s="1"/>
  <c r="G50" i="12" s="1"/>
  <c r="F50" i="39" s="1"/>
  <c r="H180" i="11"/>
  <c r="O180" i="11" s="1"/>
  <c r="G186" i="34" s="1"/>
  <c r="G180" i="12" s="1"/>
  <c r="F180" i="39" s="1"/>
  <c r="H285" i="11"/>
  <c r="H47" i="11"/>
  <c r="H205" i="11"/>
  <c r="O205" i="11" s="1"/>
  <c r="G211" i="34" s="1"/>
  <c r="G205" i="12" s="1"/>
  <c r="F205" i="39" s="1"/>
  <c r="H256" i="11"/>
  <c r="O256" i="11" s="1"/>
  <c r="G262" i="34" s="1"/>
  <c r="G256" i="12" s="1"/>
  <c r="F256" i="39" s="1"/>
  <c r="H70" i="11"/>
  <c r="O70" i="11" s="1"/>
  <c r="G76" i="34" s="1"/>
  <c r="G70" i="12" s="1"/>
  <c r="F70" i="39" s="1"/>
  <c r="H303" i="11"/>
  <c r="H55" i="11"/>
  <c r="O55" i="11" s="1"/>
  <c r="G61" i="34" s="1"/>
  <c r="G55" i="12" s="1"/>
  <c r="F55" i="39" s="1"/>
  <c r="H95" i="11"/>
  <c r="O95" i="11" s="1"/>
  <c r="G101" i="34" s="1"/>
  <c r="G95" i="12" s="1"/>
  <c r="F95" i="39" s="1"/>
  <c r="H101" i="11"/>
  <c r="H61" i="11"/>
  <c r="H56" i="11"/>
  <c r="O56" i="11" s="1"/>
  <c r="G62" i="34" s="1"/>
  <c r="G56" i="12" s="1"/>
  <c r="F56" i="39" s="1"/>
  <c r="H79" i="11"/>
  <c r="O79" i="11" s="1"/>
  <c r="G85" i="34" s="1"/>
  <c r="G79" i="12" s="1"/>
  <c r="F79" i="39" s="1"/>
  <c r="H37" i="11"/>
  <c r="O37" i="11" s="1"/>
  <c r="G43" i="34" s="1"/>
  <c r="G37" i="12" s="1"/>
  <c r="F37" i="39" s="1"/>
  <c r="H26" i="11"/>
  <c r="H12" i="11"/>
  <c r="O12" i="11" s="1"/>
  <c r="G18" i="34" s="1"/>
  <c r="G12" i="12" s="1"/>
  <c r="F12" i="39" s="1"/>
  <c r="H184" i="11"/>
  <c r="H126" i="11"/>
  <c r="H137" i="11"/>
  <c r="H33" i="11"/>
  <c r="O33" i="11" s="1"/>
  <c r="G39" i="34" s="1"/>
  <c r="G33" i="12" s="1"/>
  <c r="F33" i="39" s="1"/>
  <c r="H90" i="11"/>
  <c r="O90" i="11" s="1"/>
  <c r="G96" i="34" s="1"/>
  <c r="G90" i="12" s="1"/>
  <c r="F90" i="39" s="1"/>
  <c r="H41" i="11"/>
  <c r="O41" i="11" s="1"/>
  <c r="G47" i="34" s="1"/>
  <c r="G41" i="12" s="1"/>
  <c r="F41" i="39" s="1"/>
  <c r="H72" i="11"/>
  <c r="H141" i="11"/>
  <c r="O141" i="11" s="1"/>
  <c r="G147" i="34" s="1"/>
  <c r="G141" i="12" s="1"/>
  <c r="F141" i="39" s="1"/>
  <c r="H193" i="11"/>
  <c r="H163" i="11"/>
  <c r="H62" i="11"/>
  <c r="H32" i="11"/>
  <c r="O32" i="11" s="1"/>
  <c r="G38" i="34" s="1"/>
  <c r="G32" i="12" s="1"/>
  <c r="F32" i="39" s="1"/>
  <c r="H215" i="11"/>
  <c r="O215" i="11" s="1"/>
  <c r="G221" i="34" s="1"/>
  <c r="G215" i="12" s="1"/>
  <c r="F215" i="39" s="1"/>
  <c r="H264" i="11"/>
  <c r="O264" i="11" s="1"/>
  <c r="G270" i="34" s="1"/>
  <c r="G264" i="12" s="1"/>
  <c r="F264" i="39" s="1"/>
  <c r="H66" i="11"/>
  <c r="H279" i="11"/>
  <c r="O279" i="11" s="1"/>
  <c r="G285" i="34" s="1"/>
  <c r="G279" i="12" s="1"/>
  <c r="F279" i="39" s="1"/>
  <c r="H63" i="11"/>
  <c r="H223" i="11"/>
  <c r="H299" i="11"/>
  <c r="O299" i="11" s="1"/>
  <c r="G305" i="34" s="1"/>
  <c r="G299" i="12" s="1"/>
  <c r="F299" i="39" s="1"/>
  <c r="H49" i="11"/>
  <c r="O49" i="11" s="1"/>
  <c r="G55" i="34" s="1"/>
  <c r="G49" i="12" s="1"/>
  <c r="F49" i="39" s="1"/>
  <c r="H87" i="11"/>
  <c r="O87" i="11" s="1"/>
  <c r="G93" i="34" s="1"/>
  <c r="G87" i="12" s="1"/>
  <c r="F87" i="39" s="1"/>
  <c r="H96" i="11"/>
  <c r="O96" i="11" s="1"/>
  <c r="G102" i="34" s="1"/>
  <c r="G96" i="12" s="1"/>
  <c r="F96" i="39" s="1"/>
  <c r="H128" i="11"/>
  <c r="O128" i="11" s="1"/>
  <c r="G134" i="34" s="1"/>
  <c r="G128" i="12" s="1"/>
  <c r="F128" i="39" s="1"/>
  <c r="H81" i="11"/>
  <c r="O81" i="11" s="1"/>
  <c r="G87" i="34" s="1"/>
  <c r="G81" i="12" s="1"/>
  <c r="F81" i="39" s="1"/>
  <c r="H97" i="11"/>
  <c r="H176" i="11"/>
  <c r="H195" i="11"/>
  <c r="O195" i="11" s="1"/>
  <c r="G201" i="34" s="1"/>
  <c r="G195" i="12" s="1"/>
  <c r="F195" i="39" s="1"/>
  <c r="H179" i="11"/>
  <c r="O179" i="11" s="1"/>
  <c r="G185" i="34" s="1"/>
  <c r="G179" i="12" s="1"/>
  <c r="F179" i="39" s="1"/>
  <c r="H283" i="11"/>
  <c r="O283" i="11" s="1"/>
  <c r="G289" i="34" s="1"/>
  <c r="G283" i="12" s="1"/>
  <c r="F283" i="39" s="1"/>
  <c r="H57" i="11"/>
  <c r="O57" i="11" s="1"/>
  <c r="G63" i="34" s="1"/>
  <c r="G57" i="12" s="1"/>
  <c r="F57" i="39" s="1"/>
  <c r="H76" i="11"/>
  <c r="H146" i="11"/>
  <c r="O146" i="11" s="1"/>
  <c r="G152" i="34" s="1"/>
  <c r="G146" i="12" s="1"/>
  <c r="H183" i="11"/>
  <c r="H48" i="11"/>
  <c r="H209" i="11"/>
  <c r="O209" i="11" s="1"/>
  <c r="G215" i="34" s="1"/>
  <c r="G209" i="12" s="1"/>
  <c r="F209" i="39" s="1"/>
  <c r="H287" i="11"/>
  <c r="O287" i="11" s="1"/>
  <c r="G293" i="34" s="1"/>
  <c r="G287" i="12" s="1"/>
  <c r="F287" i="39" s="1"/>
  <c r="H45" i="11"/>
  <c r="O45" i="11" s="1"/>
  <c r="G51" i="34" s="1"/>
  <c r="G45" i="12" s="1"/>
  <c r="F45" i="39" s="1"/>
  <c r="H83" i="11"/>
  <c r="O83" i="11" s="1"/>
  <c r="G89" i="34" s="1"/>
  <c r="G83" i="12" s="1"/>
  <c r="F83" i="39" s="1"/>
  <c r="H151" i="11"/>
  <c r="H20" i="11"/>
  <c r="O20" i="11" s="1"/>
  <c r="G26" i="34" s="1"/>
  <c r="G20" i="12" s="1"/>
  <c r="F20" i="39" s="1"/>
  <c r="H155" i="11"/>
  <c r="H24" i="11"/>
  <c r="H65" i="11"/>
  <c r="H192" i="11"/>
  <c r="O192" i="11" s="1"/>
  <c r="G198" i="34" s="1"/>
  <c r="G192" i="12" s="1"/>
  <c r="F192" i="39" s="1"/>
  <c r="H212" i="11"/>
  <c r="O212" i="11" s="1"/>
  <c r="G218" i="34" s="1"/>
  <c r="G212" i="12" s="1"/>
  <c r="F212" i="39" s="1"/>
  <c r="H229" i="11"/>
  <c r="O229" i="11" s="1"/>
  <c r="G235" i="34" s="1"/>
  <c r="G229" i="12" s="1"/>
  <c r="F229" i="39" s="1"/>
  <c r="H167" i="11"/>
  <c r="O167" i="11" s="1"/>
  <c r="G173" i="34" s="1"/>
  <c r="G167" i="12" s="1"/>
  <c r="F167" i="39" s="1"/>
  <c r="H168" i="11"/>
  <c r="O168" i="11" s="1"/>
  <c r="G174" i="34" s="1"/>
  <c r="G168" i="12" s="1"/>
  <c r="F168" i="39" s="1"/>
  <c r="H64" i="11"/>
  <c r="H36" i="11"/>
  <c r="H89" i="11"/>
  <c r="H197" i="11"/>
  <c r="O197" i="11" s="1"/>
  <c r="G203" i="34" s="1"/>
  <c r="G197" i="12" s="1"/>
  <c r="F197" i="39" s="1"/>
  <c r="H103" i="11"/>
  <c r="O103" i="11" s="1"/>
  <c r="G109" i="34" s="1"/>
  <c r="G103" i="12" s="1"/>
  <c r="F103" i="39" s="1"/>
  <c r="H133" i="11"/>
  <c r="O133" i="11" s="1"/>
  <c r="G139" i="34" s="1"/>
  <c r="G133" i="12" s="1"/>
  <c r="F133" i="39" s="1"/>
  <c r="H82" i="11"/>
  <c r="H67" i="11"/>
  <c r="O67" i="11" s="1"/>
  <c r="G73" i="34" s="1"/>
  <c r="G67" i="12" s="1"/>
  <c r="F67" i="39" s="1"/>
  <c r="H69" i="11"/>
  <c r="O69" i="11" s="1"/>
  <c r="G75" i="34" s="1"/>
  <c r="G69" i="12" s="1"/>
  <c r="F69" i="39" s="1"/>
  <c r="H7" i="11"/>
  <c r="H118" i="11"/>
  <c r="O118" i="11" s="1"/>
  <c r="G124" i="34" s="1"/>
  <c r="G118" i="12" s="1"/>
  <c r="F118" i="39" s="1"/>
  <c r="H9" i="11"/>
  <c r="O9" i="11" s="1"/>
  <c r="G15" i="34" s="1"/>
  <c r="G9" i="12" s="1"/>
  <c r="F9" i="39" s="1"/>
  <c r="H157" i="11"/>
  <c r="O157" i="11" s="1"/>
  <c r="G163" i="34" s="1"/>
  <c r="G157" i="12" s="1"/>
  <c r="F157" i="39" s="1"/>
  <c r="H135" i="11"/>
  <c r="O135" i="11" s="1"/>
  <c r="G141" i="34" s="1"/>
  <c r="G135" i="12" s="1"/>
  <c r="F135" i="39" s="1"/>
  <c r="H21" i="11"/>
  <c r="O21" i="11" s="1"/>
  <c r="G27" i="34" s="1"/>
  <c r="G21" i="12" s="1"/>
  <c r="F21" i="39" s="1"/>
  <c r="H42" i="11"/>
  <c r="O42" i="11" s="1"/>
  <c r="G48" i="34" s="1"/>
  <c r="G42" i="12" s="1"/>
  <c r="F42" i="39" s="1"/>
  <c r="H206" i="11"/>
  <c r="H295" i="11"/>
  <c r="H28" i="11"/>
  <c r="O28" i="11" s="1"/>
  <c r="G34" i="34" s="1"/>
  <c r="G28" i="12" s="1"/>
  <c r="F28" i="39" s="1"/>
  <c r="H233" i="11"/>
  <c r="O233" i="11" s="1"/>
  <c r="G239" i="34" s="1"/>
  <c r="G233" i="12" s="1"/>
  <c r="F233" i="39" s="1"/>
  <c r="H282" i="11"/>
  <c r="O282" i="11" s="1"/>
  <c r="G288" i="34" s="1"/>
  <c r="G282" i="12" s="1"/>
  <c r="F282" i="39" s="1"/>
  <c r="H93" i="11"/>
  <c r="O93" i="11" s="1"/>
  <c r="G99" i="34" s="1"/>
  <c r="G93" i="12" s="1"/>
  <c r="F93" i="39" s="1"/>
  <c r="H108" i="11"/>
  <c r="O108" i="11" s="1"/>
  <c r="G114" i="34" s="1"/>
  <c r="G108" i="12" s="1"/>
  <c r="F108" i="39" s="1"/>
  <c r="H185" i="11"/>
  <c r="O185" i="11" s="1"/>
  <c r="G191" i="34" s="1"/>
  <c r="G185" i="12" s="1"/>
  <c r="F185" i="39" s="1"/>
  <c r="H156" i="11"/>
  <c r="H294" i="11"/>
  <c r="H213" i="11"/>
  <c r="O213" i="11" s="1"/>
  <c r="G219" i="34" s="1"/>
  <c r="G213" i="12" s="1"/>
  <c r="H68" i="11"/>
  <c r="O68" i="11" s="1"/>
  <c r="G74" i="34" s="1"/>
  <c r="G68" i="12" s="1"/>
  <c r="F68" i="39" s="1"/>
  <c r="H234" i="11"/>
  <c r="O234" i="11" s="1"/>
  <c r="G240" i="34" s="1"/>
  <c r="G234" i="12" s="1"/>
  <c r="F234" i="39" s="1"/>
  <c r="H92" i="11"/>
  <c r="O92" i="11" s="1"/>
  <c r="G98" i="34" s="1"/>
  <c r="G92" i="12" s="1"/>
  <c r="F92" i="39" s="1"/>
  <c r="H22" i="11"/>
  <c r="H13" i="11"/>
  <c r="O13" i="11" s="1"/>
  <c r="G19" i="34" s="1"/>
  <c r="G13" i="12" s="1"/>
  <c r="F13" i="39" s="1"/>
  <c r="H220" i="11"/>
  <c r="H219" i="11"/>
  <c r="H74" i="11"/>
  <c r="H111" i="11"/>
  <c r="O111" i="11" s="1"/>
  <c r="G117" i="34" s="1"/>
  <c r="G111" i="12" s="1"/>
  <c r="F111" i="39" s="1"/>
  <c r="H301" i="11"/>
  <c r="O301" i="11" s="1"/>
  <c r="G307" i="34" s="1"/>
  <c r="G301" i="12" s="1"/>
  <c r="F301" i="39" s="1"/>
  <c r="H208" i="11"/>
  <c r="O208" i="11" s="1"/>
  <c r="G214" i="34" s="1"/>
  <c r="G208" i="12" s="1"/>
  <c r="F208" i="39" s="1"/>
  <c r="H52" i="11"/>
  <c r="O52" i="11" s="1"/>
  <c r="G58" i="34" s="1"/>
  <c r="G52" i="12" s="1"/>
  <c r="F52" i="39" s="1"/>
  <c r="H78" i="11"/>
  <c r="O78" i="11" s="1"/>
  <c r="G84" i="34" s="1"/>
  <c r="G78" i="12" s="1"/>
  <c r="F78" i="39" s="1"/>
  <c r="O10" i="11"/>
  <c r="O189" i="11"/>
  <c r="G195" i="34" s="1"/>
  <c r="G189" i="12" s="1"/>
  <c r="F189" i="39" s="1"/>
  <c r="O284" i="11"/>
  <c r="G290" i="34" s="1"/>
  <c r="G284" i="12" s="1"/>
  <c r="F284" i="39" s="1"/>
  <c r="O304" i="11"/>
  <c r="G310" i="34" s="1"/>
  <c r="G304" i="12" s="1"/>
  <c r="F304" i="39" s="1"/>
  <c r="O163" i="11"/>
  <c r="G169" i="34" s="1"/>
  <c r="G163" i="12" s="1"/>
  <c r="F163" i="39" s="1"/>
  <c r="O105" i="11"/>
  <c r="G111" i="34" s="1"/>
  <c r="G105" i="12" s="1"/>
  <c r="F105" i="39" s="1"/>
  <c r="O288" i="11"/>
  <c r="G294" i="34" s="1"/>
  <c r="G288" i="12" s="1"/>
  <c r="F288" i="39" s="1"/>
  <c r="O15" i="11"/>
  <c r="G21" i="34" s="1"/>
  <c r="G15" i="12" s="1"/>
  <c r="F15" i="39" s="1"/>
  <c r="O178" i="11"/>
  <c r="G184" i="34" s="1"/>
  <c r="G178" i="12" s="1"/>
  <c r="F178" i="39" s="1"/>
  <c r="O246" i="11"/>
  <c r="G252" i="34" s="1"/>
  <c r="G246" i="12" s="1"/>
  <c r="F246" i="39" s="1"/>
  <c r="O47" i="11"/>
  <c r="G53" i="34" s="1"/>
  <c r="G47" i="12" s="1"/>
  <c r="F47" i="39" s="1"/>
  <c r="O254" i="11"/>
  <c r="O255" i="11"/>
  <c r="O226" i="11"/>
  <c r="G232" i="34" s="1"/>
  <c r="G226" i="12" s="1"/>
  <c r="F226" i="39" s="1"/>
  <c r="O134" i="11"/>
  <c r="O127" i="11"/>
  <c r="G133" i="34" s="1"/>
  <c r="G127" i="12" s="1"/>
  <c r="F127" i="39" s="1"/>
  <c r="O193" i="11"/>
  <c r="G199" i="34" s="1"/>
  <c r="G193" i="12" s="1"/>
  <c r="O227" i="11"/>
  <c r="G233" i="34" s="1"/>
  <c r="G227" i="12" s="1"/>
  <c r="F227" i="39" s="1"/>
  <c r="O156" i="11"/>
  <c r="G162" i="34" s="1"/>
  <c r="G156" i="12" s="1"/>
  <c r="F156" i="39" s="1"/>
  <c r="O164" i="11"/>
  <c r="O34" i="11"/>
  <c r="G40" i="34" s="1"/>
  <c r="G34" i="12" s="1"/>
  <c r="F34" i="39" s="1"/>
  <c r="O150" i="11"/>
  <c r="G156" i="34" s="1"/>
  <c r="G150" i="12" s="1"/>
  <c r="F150" i="39" s="1"/>
  <c r="O169" i="11"/>
  <c r="G175" i="34" s="1"/>
  <c r="G169" i="12" s="1"/>
  <c r="F169" i="39" s="1"/>
  <c r="O273" i="11"/>
  <c r="G279" i="34" s="1"/>
  <c r="G273" i="12" s="1"/>
  <c r="F273" i="39" s="1"/>
  <c r="O77" i="11"/>
  <c r="G83" i="34" s="1"/>
  <c r="G77" i="12" s="1"/>
  <c r="F77" i="39" s="1"/>
  <c r="O294" i="11"/>
  <c r="G300" i="34" s="1"/>
  <c r="G294" i="12" s="1"/>
  <c r="F294" i="39" s="1"/>
  <c r="O175" i="11"/>
  <c r="G181" i="34" s="1"/>
  <c r="G175" i="12" s="1"/>
  <c r="F175" i="39" s="1"/>
  <c r="O266" i="11"/>
  <c r="G272" i="34" s="1"/>
  <c r="G266" i="12" s="1"/>
  <c r="F266" i="39" s="1"/>
  <c r="O269" i="11"/>
  <c r="G275" i="34" s="1"/>
  <c r="G269" i="12" s="1"/>
  <c r="F269" i="39" s="1"/>
  <c r="O201" i="11"/>
  <c r="G207" i="34" s="1"/>
  <c r="G201" i="12" s="1"/>
  <c r="F201" i="39" s="1"/>
  <c r="O72" i="11"/>
  <c r="G78" i="34" s="1"/>
  <c r="G72" i="12" s="1"/>
  <c r="F72" i="39" s="1"/>
  <c r="O183" i="11"/>
  <c r="G189" i="34" s="1"/>
  <c r="G183" i="12" s="1"/>
  <c r="F183" i="39" s="1"/>
  <c r="O303" i="11"/>
  <c r="G309" i="34" s="1"/>
  <c r="G303" i="12" s="1"/>
  <c r="F303" i="39" s="1"/>
  <c r="O136" i="11"/>
  <c r="G142" i="34" s="1"/>
  <c r="G136" i="12" s="1"/>
  <c r="F136" i="39" s="1"/>
  <c r="O84" i="11"/>
  <c r="G90" i="34" s="1"/>
  <c r="G84" i="12" s="1"/>
  <c r="F84" i="39" s="1"/>
  <c r="O80" i="11"/>
  <c r="G86" i="34" s="1"/>
  <c r="G80" i="12" s="1"/>
  <c r="O36" i="11"/>
  <c r="G42" i="34" s="1"/>
  <c r="G36" i="12" s="1"/>
  <c r="F36" i="39" s="1"/>
  <c r="O151" i="11"/>
  <c r="G157" i="34" s="1"/>
  <c r="G151" i="12" s="1"/>
  <c r="F151" i="39" s="1"/>
  <c r="O46" i="11"/>
  <c r="G52" i="34" s="1"/>
  <c r="G46" i="12" s="1"/>
  <c r="F46" i="39" s="1"/>
  <c r="O280" i="11"/>
  <c r="G286" i="34" s="1"/>
  <c r="G280" i="12" s="1"/>
  <c r="F280" i="39" s="1"/>
  <c r="O302" i="11"/>
  <c r="G308" i="34" s="1"/>
  <c r="G302" i="12" s="1"/>
  <c r="O244" i="11"/>
  <c r="G250" i="34" s="1"/>
  <c r="G244" i="12" s="1"/>
  <c r="F244" i="39" s="1"/>
  <c r="O86" i="11"/>
  <c r="G92" i="34" s="1"/>
  <c r="G86" i="12" s="1"/>
  <c r="F86" i="39" s="1"/>
  <c r="O142" i="11"/>
  <c r="G148" i="34" s="1"/>
  <c r="G142" i="12" s="1"/>
  <c r="F142" i="39" s="1"/>
  <c r="O285" i="11"/>
  <c r="G291" i="34" s="1"/>
  <c r="G285" i="12" s="1"/>
  <c r="F285" i="39" s="1"/>
  <c r="O268" i="11"/>
  <c r="G274" i="34" s="1"/>
  <c r="G268" i="12" s="1"/>
  <c r="F268" i="39" s="1"/>
  <c r="O123" i="11"/>
  <c r="G129" i="34" s="1"/>
  <c r="G123" i="12" s="1"/>
  <c r="F123" i="39" s="1"/>
  <c r="O170" i="11"/>
  <c r="G176" i="34" s="1"/>
  <c r="G170" i="12" s="1"/>
  <c r="F170" i="39" s="1"/>
  <c r="O182" i="11"/>
  <c r="G188" i="34" s="1"/>
  <c r="G182" i="12" s="1"/>
  <c r="F182" i="39" s="1"/>
  <c r="O114" i="11"/>
  <c r="G120" i="34" s="1"/>
  <c r="G114" i="12" s="1"/>
  <c r="O64" i="11"/>
  <c r="G70" i="34" s="1"/>
  <c r="G64" i="12" s="1"/>
  <c r="F64" i="39" s="1"/>
  <c r="O296" i="11"/>
  <c r="G302" i="34" s="1"/>
  <c r="G296" i="12" s="1"/>
  <c r="F296" i="39" s="1"/>
  <c r="O272" i="11"/>
  <c r="G278" i="34" s="1"/>
  <c r="G272" i="12" s="1"/>
  <c r="F272" i="39" s="1"/>
  <c r="O252" i="11"/>
  <c r="G258" i="34" s="1"/>
  <c r="G252" i="12" s="1"/>
  <c r="F252" i="39" s="1"/>
  <c r="O206" i="11"/>
  <c r="G212" i="34" s="1"/>
  <c r="G206" i="12" s="1"/>
  <c r="F206" i="39" s="1"/>
  <c r="O48" i="11"/>
  <c r="G54" i="34" s="1"/>
  <c r="G48" i="12" s="1"/>
  <c r="F48" i="39" s="1"/>
  <c r="O66" i="11"/>
  <c r="G72" i="34" s="1"/>
  <c r="G66" i="12" s="1"/>
  <c r="F66" i="39" s="1"/>
  <c r="O152" i="11"/>
  <c r="G158" i="34" s="1"/>
  <c r="G152" i="12" s="1"/>
  <c r="F152" i="39" s="1"/>
  <c r="O120" i="11"/>
  <c r="G126" i="34" s="1"/>
  <c r="G120" i="12" s="1"/>
  <c r="F120" i="39" s="1"/>
  <c r="O7" i="11"/>
  <c r="G13" i="34" s="1"/>
  <c r="G7" i="12" s="1"/>
  <c r="F7" i="39" s="1"/>
  <c r="O119" i="11"/>
  <c r="G125" i="34" s="1"/>
  <c r="G119" i="12" s="1"/>
  <c r="F119" i="39" s="1"/>
  <c r="O31" i="11"/>
  <c r="G37" i="34" s="1"/>
  <c r="G31" i="12" s="1"/>
  <c r="F31" i="39" s="1"/>
  <c r="O158" i="11"/>
  <c r="G164" i="34" s="1"/>
  <c r="G158" i="12" s="1"/>
  <c r="F158" i="39" s="1"/>
  <c r="O250" i="11"/>
  <c r="O216" i="11"/>
  <c r="G222" i="34" s="1"/>
  <c r="G216" i="12" s="1"/>
  <c r="F216" i="39" s="1"/>
  <c r="O187" i="11"/>
  <c r="G193" i="34" s="1"/>
  <c r="G187" i="12" s="1"/>
  <c r="F187" i="39" s="1"/>
  <c r="O267" i="11"/>
  <c r="G273" i="34" s="1"/>
  <c r="G267" i="12" s="1"/>
  <c r="F267" i="39" s="1"/>
  <c r="O137" i="11"/>
  <c r="G143" i="34" s="1"/>
  <c r="G137" i="12" s="1"/>
  <c r="F137" i="39" s="1"/>
  <c r="O98" i="11"/>
  <c r="G104" i="34" s="1"/>
  <c r="G98" i="12" s="1"/>
  <c r="F98" i="39" s="1"/>
  <c r="O251" i="11"/>
  <c r="G257" i="34" s="1"/>
  <c r="G251" i="12" s="1"/>
  <c r="F251" i="39" s="1"/>
  <c r="O188" i="11"/>
  <c r="G194" i="34" s="1"/>
  <c r="G188" i="12" s="1"/>
  <c r="F188" i="39" s="1"/>
  <c r="O171" i="11"/>
  <c r="G177" i="34" s="1"/>
  <c r="G171" i="12" s="1"/>
  <c r="F171" i="39" s="1"/>
  <c r="O25" i="11"/>
  <c r="G31" i="34" s="1"/>
  <c r="G25" i="12" s="1"/>
  <c r="F25" i="39" s="1"/>
  <c r="O107" i="11"/>
  <c r="G113" i="34" s="1"/>
  <c r="G107" i="12" s="1"/>
  <c r="F107" i="39" s="1"/>
  <c r="O202" i="11"/>
  <c r="G208" i="34" s="1"/>
  <c r="G202" i="12" s="1"/>
  <c r="F202" i="39" s="1"/>
  <c r="O126" i="11"/>
  <c r="G132" i="34" s="1"/>
  <c r="G126" i="12" s="1"/>
  <c r="F126" i="39" s="1"/>
  <c r="O116" i="11"/>
  <c r="G122" i="34" s="1"/>
  <c r="G116" i="12" s="1"/>
  <c r="F116" i="39" s="1"/>
  <c r="O14" i="11"/>
  <c r="G20" i="34" s="1"/>
  <c r="G14" i="12" s="1"/>
  <c r="F14" i="39" s="1"/>
  <c r="O177" i="11"/>
  <c r="G183" i="34" s="1"/>
  <c r="G177" i="12" s="1"/>
  <c r="F177" i="39" s="1"/>
  <c r="O231" i="11"/>
  <c r="G237" i="34" s="1"/>
  <c r="G231" i="12" s="1"/>
  <c r="O54" i="11"/>
  <c r="G60" i="34" s="1"/>
  <c r="G54" i="12" s="1"/>
  <c r="F54" i="39" s="1"/>
  <c r="O102" i="11"/>
  <c r="G108" i="34" s="1"/>
  <c r="G102" i="12" s="1"/>
  <c r="F102" i="39" s="1"/>
  <c r="O286" i="11"/>
  <c r="G292" i="34" s="1"/>
  <c r="G286" i="12" s="1"/>
  <c r="F286" i="39" s="1"/>
  <c r="O221" i="11"/>
  <c r="O211" i="11"/>
  <c r="G217" i="34" s="1"/>
  <c r="G211" i="12" s="1"/>
  <c r="F211" i="39" s="1"/>
  <c r="O29" i="11"/>
  <c r="G35" i="34" s="1"/>
  <c r="G29" i="12" s="1"/>
  <c r="F29" i="39" s="1"/>
  <c r="O104" i="11"/>
  <c r="G110" i="34" s="1"/>
  <c r="G104" i="12" s="1"/>
  <c r="F104" i="39" s="1"/>
  <c r="O220" i="11"/>
  <c r="G226" i="34" s="1"/>
  <c r="G220" i="12" s="1"/>
  <c r="F220" i="39" s="1"/>
  <c r="O174" i="11"/>
  <c r="G180" i="34" s="1"/>
  <c r="G174" i="12" s="1"/>
  <c r="F174" i="39" s="1"/>
  <c r="O261" i="11"/>
  <c r="G267" i="34" s="1"/>
  <c r="G261" i="12" s="1"/>
  <c r="F261" i="39" s="1"/>
  <c r="O260" i="11"/>
  <c r="G266" i="34" s="1"/>
  <c r="G260" i="12" s="1"/>
  <c r="F260" i="39" s="1"/>
  <c r="O200" i="11"/>
  <c r="G206" i="34" s="1"/>
  <c r="G200" i="12" s="1"/>
  <c r="F200" i="39" s="1"/>
  <c r="O65" i="11"/>
  <c r="G71" i="34" s="1"/>
  <c r="G65" i="12" s="1"/>
  <c r="F65" i="39" s="1"/>
  <c r="O131" i="11"/>
  <c r="G137" i="34" s="1"/>
  <c r="G131" i="12" s="1"/>
  <c r="F131" i="39" s="1"/>
  <c r="O290" i="11"/>
  <c r="G296" i="34" s="1"/>
  <c r="G290" i="12" s="1"/>
  <c r="F290" i="39" s="1"/>
  <c r="O247" i="11"/>
  <c r="G253" i="34" s="1"/>
  <c r="G247" i="12" s="1"/>
  <c r="F247" i="39" s="1"/>
  <c r="O154" i="11"/>
  <c r="G160" i="34" s="1"/>
  <c r="G154" i="12" s="1"/>
  <c r="F154" i="39" s="1"/>
  <c r="O172" i="11"/>
  <c r="G178" i="34" s="1"/>
  <c r="G172" i="12" s="1"/>
  <c r="F172" i="39" s="1"/>
  <c r="O143" i="11"/>
  <c r="G149" i="34" s="1"/>
  <c r="G143" i="12" s="1"/>
  <c r="F143" i="39" s="1"/>
  <c r="O97" i="11"/>
  <c r="G103" i="34" s="1"/>
  <c r="G97" i="12" s="1"/>
  <c r="F97" i="39" s="1"/>
  <c r="O155" i="11"/>
  <c r="G161" i="34" s="1"/>
  <c r="G155" i="12" s="1"/>
  <c r="F155" i="39" s="1"/>
  <c r="O257" i="11"/>
  <c r="G263" i="34" s="1"/>
  <c r="G257" i="12" s="1"/>
  <c r="F257" i="39" s="1"/>
  <c r="O132" i="11"/>
  <c r="G138" i="34" s="1"/>
  <c r="G132" i="12" s="1"/>
  <c r="F132" i="39" s="1"/>
  <c r="O76" i="11"/>
  <c r="G82" i="34" s="1"/>
  <c r="G76" i="12" s="1"/>
  <c r="F76" i="39" s="1"/>
  <c r="O24" i="11"/>
  <c r="G30" i="34" s="1"/>
  <c r="G24" i="12" s="1"/>
  <c r="F24" i="39" s="1"/>
  <c r="O222" i="11"/>
  <c r="G228" i="34" s="1"/>
  <c r="G222" i="12" s="1"/>
  <c r="F222" i="39" s="1"/>
  <c r="O207" i="11"/>
  <c r="G213" i="34" s="1"/>
  <c r="G207" i="12" s="1"/>
  <c r="F207" i="39" s="1"/>
  <c r="O219" i="11"/>
  <c r="G225" i="34" s="1"/>
  <c r="G219" i="12" s="1"/>
  <c r="F219" i="39" s="1"/>
  <c r="O85" i="11"/>
  <c r="G91" i="34" s="1"/>
  <c r="G85" i="12" s="1"/>
  <c r="F85" i="39" s="1"/>
  <c r="O184" i="11"/>
  <c r="G190" i="34" s="1"/>
  <c r="G184" i="12" s="1"/>
  <c r="F184" i="39" s="1"/>
  <c r="O196" i="11"/>
  <c r="G202" i="34" s="1"/>
  <c r="G196" i="12" s="1"/>
  <c r="F196" i="39" s="1"/>
  <c r="O22" i="11"/>
  <c r="G28" i="34" s="1"/>
  <c r="G22" i="12" s="1"/>
  <c r="F22" i="39" s="1"/>
  <c r="O23" i="11"/>
  <c r="G29" i="34" s="1"/>
  <c r="G23" i="12" s="1"/>
  <c r="F23" i="39" s="1"/>
  <c r="O274" i="11"/>
  <c r="G280" i="34" s="1"/>
  <c r="G274" i="12" s="1"/>
  <c r="F274" i="39" s="1"/>
  <c r="O194" i="11"/>
  <c r="G200" i="34" s="1"/>
  <c r="G194" i="12" s="1"/>
  <c r="F194" i="39" s="1"/>
  <c r="O71" i="11"/>
  <c r="O289" i="11"/>
  <c r="G295" i="34" s="1"/>
  <c r="G289" i="12" s="1"/>
  <c r="F289" i="39" s="1"/>
  <c r="O61" i="11"/>
  <c r="G67" i="34" s="1"/>
  <c r="G61" i="12" s="1"/>
  <c r="F61" i="39" s="1"/>
  <c r="O262" i="11"/>
  <c r="G268" i="34" s="1"/>
  <c r="G262" i="12" s="1"/>
  <c r="F262" i="39" s="1"/>
  <c r="O51" i="11"/>
  <c r="G57" i="34" s="1"/>
  <c r="G51" i="12" s="1"/>
  <c r="F51" i="39" s="1"/>
  <c r="O121" i="11"/>
  <c r="G127" i="34" s="1"/>
  <c r="G121" i="12" s="1"/>
  <c r="F121" i="39" s="1"/>
  <c r="O228" i="11"/>
  <c r="G234" i="34" s="1"/>
  <c r="G228" i="12" s="1"/>
  <c r="F228" i="39" s="1"/>
  <c r="O101" i="11"/>
  <c r="G107" i="34" s="1"/>
  <c r="G101" i="12" s="1"/>
  <c r="F101" i="39" s="1"/>
  <c r="O245" i="11"/>
  <c r="G251" i="34" s="1"/>
  <c r="G245" i="12" s="1"/>
  <c r="F245" i="39" s="1"/>
  <c r="O243" i="11"/>
  <c r="G249" i="34" s="1"/>
  <c r="G243" i="12" s="1"/>
  <c r="F243" i="39" s="1"/>
  <c r="O106" i="11"/>
  <c r="G112" i="34" s="1"/>
  <c r="G106" i="12" s="1"/>
  <c r="F106" i="39" s="1"/>
  <c r="O88" i="11"/>
  <c r="G94" i="34" s="1"/>
  <c r="G88" i="12" s="1"/>
  <c r="F88" i="39" s="1"/>
  <c r="O26" i="11"/>
  <c r="G32" i="34" s="1"/>
  <c r="G26" i="12" s="1"/>
  <c r="F26" i="39" s="1"/>
  <c r="O73" i="11"/>
  <c r="G79" i="34" s="1"/>
  <c r="G73" i="12" s="1"/>
  <c r="F73" i="39" s="1"/>
  <c r="O295" i="11"/>
  <c r="G301" i="34" s="1"/>
  <c r="G295" i="12" s="1"/>
  <c r="F295" i="39" s="1"/>
  <c r="O259" i="11"/>
  <c r="G265" i="34" s="1"/>
  <c r="G259" i="12" s="1"/>
  <c r="F259" i="39" s="1"/>
  <c r="O223" i="11"/>
  <c r="G229" i="34" s="1"/>
  <c r="G223" i="12" s="1"/>
  <c r="F223" i="39" s="1"/>
  <c r="O74" i="11"/>
  <c r="G80" i="34" s="1"/>
  <c r="G74" i="12" s="1"/>
  <c r="F74" i="39" s="1"/>
  <c r="O89" i="11"/>
  <c r="G95" i="34" s="1"/>
  <c r="G89" i="12" s="1"/>
  <c r="O40" i="11"/>
  <c r="G46" i="34" s="1"/>
  <c r="G40" i="12" s="1"/>
  <c r="F40" i="39" s="1"/>
  <c r="O199" i="11"/>
  <c r="G205" i="34" s="1"/>
  <c r="G199" i="12" s="1"/>
  <c r="F199" i="39" s="1"/>
  <c r="O91" i="11"/>
  <c r="G97" i="34" s="1"/>
  <c r="G91" i="12" s="1"/>
  <c r="F91" i="39" s="1"/>
  <c r="O62" i="11"/>
  <c r="G68" i="34" s="1"/>
  <c r="G62" i="12" s="1"/>
  <c r="F62" i="39" s="1"/>
  <c r="O82" i="11"/>
  <c r="G88" i="34" s="1"/>
  <c r="G82" i="12" s="1"/>
  <c r="F82" i="39" s="1"/>
  <c r="O235" i="11"/>
  <c r="G241" i="34" s="1"/>
  <c r="G235" i="12" s="1"/>
  <c r="F235" i="39" s="1"/>
  <c r="O176" i="11"/>
  <c r="G182" i="34" s="1"/>
  <c r="G176" i="12" s="1"/>
  <c r="F176" i="39" s="1"/>
  <c r="O44" i="11"/>
  <c r="G50" i="34" s="1"/>
  <c r="G44" i="12" s="1"/>
  <c r="F44" i="39" s="1"/>
  <c r="O204" i="11"/>
  <c r="G210" i="34" s="1"/>
  <c r="G204" i="12" s="1"/>
  <c r="F204" i="39" s="1"/>
  <c r="O217" i="11"/>
  <c r="G223" i="34" s="1"/>
  <c r="G217" i="12" s="1"/>
  <c r="F217" i="39" s="1"/>
  <c r="O277" i="11"/>
  <c r="G283" i="34" s="1"/>
  <c r="G277" i="12" s="1"/>
  <c r="F277" i="39" s="1"/>
  <c r="O27" i="11"/>
  <c r="G33" i="34" s="1"/>
  <c r="G27" i="12" s="1"/>
  <c r="F27" i="39" s="1"/>
  <c r="O173" i="11"/>
  <c r="G179" i="34" s="1"/>
  <c r="G173" i="12" s="1"/>
  <c r="F173" i="39" s="1"/>
  <c r="O258" i="11"/>
  <c r="G264" i="34" s="1"/>
  <c r="G258" i="12" s="1"/>
  <c r="F258" i="39" s="1"/>
  <c r="O63" i="11"/>
  <c r="G69" i="34" s="1"/>
  <c r="G63" i="12" s="1"/>
  <c r="F63" i="39" s="1"/>
  <c r="O293" i="11"/>
  <c r="G299" i="34" s="1"/>
  <c r="G293" i="12" s="1"/>
  <c r="F293" i="39" s="1"/>
  <c r="O115" i="11"/>
  <c r="G121" i="34" s="1"/>
  <c r="G115" i="12" s="1"/>
  <c r="F115" i="39" s="1"/>
  <c r="O239" i="11"/>
  <c r="G245" i="34" s="1"/>
  <c r="G239" i="12" s="1"/>
  <c r="F239" i="39" s="1"/>
  <c r="G256" i="34"/>
  <c r="G250" i="12" s="1"/>
  <c r="F250" i="39" s="1"/>
  <c r="G260" i="34"/>
  <c r="G254" i="12" s="1"/>
  <c r="F254" i="39" s="1"/>
  <c r="G261" i="34"/>
  <c r="G255" i="12" s="1"/>
  <c r="F255" i="39" s="1"/>
  <c r="G16" i="34"/>
  <c r="G10" i="12" s="1"/>
  <c r="F10" i="39" s="1"/>
  <c r="G140" i="34"/>
  <c r="G134" i="12" s="1"/>
  <c r="F134" i="39" s="1"/>
  <c r="G170" i="34"/>
  <c r="G164" i="12" s="1"/>
  <c r="F164" i="39" s="1"/>
  <c r="G227" i="34"/>
  <c r="G221" i="12" s="1"/>
  <c r="F221" i="39" s="1"/>
  <c r="G77" i="34"/>
  <c r="G71" i="12" s="1"/>
  <c r="F71" i="39" s="1"/>
  <c r="G312" i="9"/>
  <c r="H6" i="11"/>
  <c r="O6" i="11" s="1"/>
  <c r="F306" i="12"/>
  <c r="F11" i="34"/>
  <c r="M306" i="11"/>
  <c r="H11" i="9"/>
  <c r="F89" i="39" l="1"/>
  <c r="F114" i="39"/>
  <c r="F138" i="39"/>
  <c r="F265" i="39"/>
  <c r="F193" i="39"/>
  <c r="F130" i="39"/>
  <c r="F122" i="39"/>
  <c r="F231" i="39"/>
  <c r="F302" i="39"/>
  <c r="F213" i="39"/>
  <c r="F146" i="39"/>
  <c r="F17" i="39"/>
  <c r="F80" i="39"/>
  <c r="F281" i="39"/>
  <c r="E33" i="48"/>
  <c r="F34" i="48" s="1"/>
  <c r="H14" i="9"/>
  <c r="I14" i="9" s="1"/>
  <c r="H22" i="9"/>
  <c r="I22" i="9" s="1"/>
  <c r="H30" i="9"/>
  <c r="I30" i="9" s="1"/>
  <c r="H38" i="9"/>
  <c r="I38" i="9" s="1"/>
  <c r="H46" i="9"/>
  <c r="I46" i="9" s="1"/>
  <c r="H54" i="9"/>
  <c r="I54" i="9" s="1"/>
  <c r="H62" i="9"/>
  <c r="I62" i="9" s="1"/>
  <c r="H70" i="9"/>
  <c r="I70" i="9" s="1"/>
  <c r="H78" i="9"/>
  <c r="I78" i="9" s="1"/>
  <c r="H86" i="9"/>
  <c r="I86" i="9" s="1"/>
  <c r="H94" i="9"/>
  <c r="I94" i="9" s="1"/>
  <c r="H102" i="9"/>
  <c r="I102" i="9" s="1"/>
  <c r="H110" i="9"/>
  <c r="I110" i="9" s="1"/>
  <c r="H118" i="9"/>
  <c r="I118" i="9" s="1"/>
  <c r="H126" i="9"/>
  <c r="I126" i="9" s="1"/>
  <c r="H134" i="9"/>
  <c r="I134" i="9" s="1"/>
  <c r="H142" i="9"/>
  <c r="I142" i="9" s="1"/>
  <c r="H150" i="9"/>
  <c r="I150" i="9" s="1"/>
  <c r="H158" i="9"/>
  <c r="I158" i="9" s="1"/>
  <c r="H166" i="9"/>
  <c r="I166" i="9" s="1"/>
  <c r="H174" i="9"/>
  <c r="I174" i="9" s="1"/>
  <c r="H182" i="9"/>
  <c r="I182" i="9" s="1"/>
  <c r="H190" i="9"/>
  <c r="I190" i="9" s="1"/>
  <c r="H198" i="9"/>
  <c r="I198" i="9" s="1"/>
  <c r="H206" i="9"/>
  <c r="I206" i="9" s="1"/>
  <c r="H214" i="9"/>
  <c r="I214" i="9" s="1"/>
  <c r="H222" i="9"/>
  <c r="I222" i="9" s="1"/>
  <c r="H230" i="9"/>
  <c r="I230" i="9" s="1"/>
  <c r="H15" i="9"/>
  <c r="I15" i="9" s="1"/>
  <c r="H23" i="9"/>
  <c r="I23" i="9" s="1"/>
  <c r="H31" i="9"/>
  <c r="I31" i="9" s="1"/>
  <c r="H39" i="9"/>
  <c r="I39" i="9" s="1"/>
  <c r="H47" i="9"/>
  <c r="I47" i="9" s="1"/>
  <c r="H55" i="9"/>
  <c r="I55" i="9" s="1"/>
  <c r="H63" i="9"/>
  <c r="I63" i="9" s="1"/>
  <c r="H71" i="9"/>
  <c r="I71" i="9" s="1"/>
  <c r="H79" i="9"/>
  <c r="I79" i="9" s="1"/>
  <c r="H87" i="9"/>
  <c r="I87" i="9" s="1"/>
  <c r="H95" i="9"/>
  <c r="I95" i="9" s="1"/>
  <c r="H103" i="9"/>
  <c r="I103" i="9" s="1"/>
  <c r="H111" i="9"/>
  <c r="I111" i="9" s="1"/>
  <c r="H119" i="9"/>
  <c r="I119" i="9" s="1"/>
  <c r="H127" i="9"/>
  <c r="I127" i="9" s="1"/>
  <c r="H135" i="9"/>
  <c r="I135" i="9" s="1"/>
  <c r="H143" i="9"/>
  <c r="I143" i="9" s="1"/>
  <c r="H151" i="9"/>
  <c r="I151" i="9" s="1"/>
  <c r="H159" i="9"/>
  <c r="I159" i="9" s="1"/>
  <c r="H167" i="9"/>
  <c r="I167" i="9" s="1"/>
  <c r="H175" i="9"/>
  <c r="I175" i="9" s="1"/>
  <c r="H183" i="9"/>
  <c r="I183" i="9" s="1"/>
  <c r="H191" i="9"/>
  <c r="I191" i="9" s="1"/>
  <c r="H199" i="9"/>
  <c r="I199" i="9" s="1"/>
  <c r="H207" i="9"/>
  <c r="I207" i="9" s="1"/>
  <c r="H16" i="9"/>
  <c r="I16" i="9" s="1"/>
  <c r="H24" i="9"/>
  <c r="I24" i="9" s="1"/>
  <c r="H32" i="9"/>
  <c r="I32" i="9" s="1"/>
  <c r="H40" i="9"/>
  <c r="I40" i="9" s="1"/>
  <c r="H48" i="9"/>
  <c r="I48" i="9" s="1"/>
  <c r="H56" i="9"/>
  <c r="I56" i="9" s="1"/>
  <c r="H64" i="9"/>
  <c r="I64" i="9" s="1"/>
  <c r="H72" i="9"/>
  <c r="I72" i="9" s="1"/>
  <c r="H80" i="9"/>
  <c r="I80" i="9" s="1"/>
  <c r="H88" i="9"/>
  <c r="I88" i="9" s="1"/>
  <c r="H96" i="9"/>
  <c r="I96" i="9" s="1"/>
  <c r="H104" i="9"/>
  <c r="I104" i="9" s="1"/>
  <c r="H112" i="9"/>
  <c r="I112" i="9" s="1"/>
  <c r="H120" i="9"/>
  <c r="I120" i="9" s="1"/>
  <c r="H128" i="9"/>
  <c r="I128" i="9" s="1"/>
  <c r="H136" i="9"/>
  <c r="I136" i="9" s="1"/>
  <c r="H144" i="9"/>
  <c r="I144" i="9" s="1"/>
  <c r="H152" i="9"/>
  <c r="I152" i="9" s="1"/>
  <c r="H160" i="9"/>
  <c r="I160" i="9" s="1"/>
  <c r="H168" i="9"/>
  <c r="I168" i="9" s="1"/>
  <c r="H176" i="9"/>
  <c r="I176" i="9" s="1"/>
  <c r="H184" i="9"/>
  <c r="I184" i="9" s="1"/>
  <c r="H192" i="9"/>
  <c r="I192" i="9" s="1"/>
  <c r="H200" i="9"/>
  <c r="I200" i="9" s="1"/>
  <c r="H208" i="9"/>
  <c r="I208" i="9" s="1"/>
  <c r="H216" i="9"/>
  <c r="I216" i="9" s="1"/>
  <c r="H17" i="9"/>
  <c r="I17" i="9" s="1"/>
  <c r="H25" i="9"/>
  <c r="I25" i="9" s="1"/>
  <c r="H33" i="9"/>
  <c r="I33" i="9" s="1"/>
  <c r="H41" i="9"/>
  <c r="I41" i="9" s="1"/>
  <c r="H49" i="9"/>
  <c r="I49" i="9" s="1"/>
  <c r="H57" i="9"/>
  <c r="I57" i="9" s="1"/>
  <c r="H65" i="9"/>
  <c r="I65" i="9" s="1"/>
  <c r="H73" i="9"/>
  <c r="I73" i="9" s="1"/>
  <c r="H81" i="9"/>
  <c r="I81" i="9" s="1"/>
  <c r="H89" i="9"/>
  <c r="I89" i="9" s="1"/>
  <c r="H97" i="9"/>
  <c r="I97" i="9" s="1"/>
  <c r="H105" i="9"/>
  <c r="I105" i="9" s="1"/>
  <c r="H113" i="9"/>
  <c r="I113" i="9" s="1"/>
  <c r="H121" i="9"/>
  <c r="I121" i="9" s="1"/>
  <c r="H129" i="9"/>
  <c r="I129" i="9" s="1"/>
  <c r="H137" i="9"/>
  <c r="I137" i="9" s="1"/>
  <c r="H145" i="9"/>
  <c r="I145" i="9" s="1"/>
  <c r="H153" i="9"/>
  <c r="I153" i="9" s="1"/>
  <c r="H161" i="9"/>
  <c r="I161" i="9" s="1"/>
  <c r="H169" i="9"/>
  <c r="I169" i="9" s="1"/>
  <c r="H177" i="9"/>
  <c r="I177" i="9" s="1"/>
  <c r="H185" i="9"/>
  <c r="I185" i="9" s="1"/>
  <c r="H193" i="9"/>
  <c r="I193" i="9" s="1"/>
  <c r="H201" i="9"/>
  <c r="I201" i="9" s="1"/>
  <c r="H209" i="9"/>
  <c r="I209" i="9" s="1"/>
  <c r="H217" i="9"/>
  <c r="I217" i="9" s="1"/>
  <c r="H18" i="9"/>
  <c r="I18" i="9" s="1"/>
  <c r="H26" i="9"/>
  <c r="I26" i="9" s="1"/>
  <c r="H34" i="9"/>
  <c r="I34" i="9" s="1"/>
  <c r="H42" i="9"/>
  <c r="I42" i="9" s="1"/>
  <c r="H50" i="9"/>
  <c r="I50" i="9" s="1"/>
  <c r="H58" i="9"/>
  <c r="I58" i="9" s="1"/>
  <c r="H66" i="9"/>
  <c r="I66" i="9" s="1"/>
  <c r="H74" i="9"/>
  <c r="I74" i="9" s="1"/>
  <c r="H82" i="9"/>
  <c r="I82" i="9" s="1"/>
  <c r="H90" i="9"/>
  <c r="I90" i="9" s="1"/>
  <c r="H98" i="9"/>
  <c r="I98" i="9" s="1"/>
  <c r="H106" i="9"/>
  <c r="I106" i="9" s="1"/>
  <c r="H114" i="9"/>
  <c r="I114" i="9" s="1"/>
  <c r="H122" i="9"/>
  <c r="I122" i="9" s="1"/>
  <c r="H130" i="9"/>
  <c r="I130" i="9" s="1"/>
  <c r="H138" i="9"/>
  <c r="I138" i="9" s="1"/>
  <c r="H146" i="9"/>
  <c r="I146" i="9" s="1"/>
  <c r="H154" i="9"/>
  <c r="I154" i="9" s="1"/>
  <c r="H162" i="9"/>
  <c r="I162" i="9" s="1"/>
  <c r="H170" i="9"/>
  <c r="I170" i="9" s="1"/>
  <c r="H178" i="9"/>
  <c r="I178" i="9" s="1"/>
  <c r="H186" i="9"/>
  <c r="I186" i="9" s="1"/>
  <c r="H194" i="9"/>
  <c r="I194" i="9" s="1"/>
  <c r="H202" i="9"/>
  <c r="I202" i="9" s="1"/>
  <c r="H210" i="9"/>
  <c r="I210" i="9" s="1"/>
  <c r="H218" i="9"/>
  <c r="I218" i="9" s="1"/>
  <c r="H226" i="9"/>
  <c r="I226" i="9" s="1"/>
  <c r="H19" i="9"/>
  <c r="I19" i="9" s="1"/>
  <c r="H27" i="9"/>
  <c r="I27" i="9" s="1"/>
  <c r="H35" i="9"/>
  <c r="I35" i="9" s="1"/>
  <c r="H43" i="9"/>
  <c r="I43" i="9" s="1"/>
  <c r="H51" i="9"/>
  <c r="I51" i="9" s="1"/>
  <c r="H59" i="9"/>
  <c r="I59" i="9" s="1"/>
  <c r="H67" i="9"/>
  <c r="I67" i="9" s="1"/>
  <c r="H75" i="9"/>
  <c r="I75" i="9" s="1"/>
  <c r="H83" i="9"/>
  <c r="I83" i="9" s="1"/>
  <c r="H91" i="9"/>
  <c r="I91" i="9" s="1"/>
  <c r="H99" i="9"/>
  <c r="I99" i="9" s="1"/>
  <c r="H107" i="9"/>
  <c r="I107" i="9" s="1"/>
  <c r="H115" i="9"/>
  <c r="I115" i="9" s="1"/>
  <c r="H123" i="9"/>
  <c r="I123" i="9" s="1"/>
  <c r="H131" i="9"/>
  <c r="I131" i="9" s="1"/>
  <c r="H139" i="9"/>
  <c r="I139" i="9" s="1"/>
  <c r="H147" i="9"/>
  <c r="I147" i="9" s="1"/>
  <c r="H155" i="9"/>
  <c r="I155" i="9" s="1"/>
  <c r="H163" i="9"/>
  <c r="I163" i="9" s="1"/>
  <c r="H171" i="9"/>
  <c r="I171" i="9" s="1"/>
  <c r="H179" i="9"/>
  <c r="I179" i="9" s="1"/>
  <c r="H187" i="9"/>
  <c r="I187" i="9" s="1"/>
  <c r="H195" i="9"/>
  <c r="I195" i="9" s="1"/>
  <c r="H203" i="9"/>
  <c r="I203" i="9" s="1"/>
  <c r="H211" i="9"/>
  <c r="I211" i="9" s="1"/>
  <c r="H219" i="9"/>
  <c r="I219" i="9" s="1"/>
  <c r="H227" i="9"/>
  <c r="I227" i="9" s="1"/>
  <c r="H13" i="9"/>
  <c r="I13" i="9" s="1"/>
  <c r="H21" i="9"/>
  <c r="I21" i="9" s="1"/>
  <c r="H29" i="9"/>
  <c r="I29" i="9" s="1"/>
  <c r="H37" i="9"/>
  <c r="I37" i="9" s="1"/>
  <c r="H45" i="9"/>
  <c r="I45" i="9" s="1"/>
  <c r="H53" i="9"/>
  <c r="I53" i="9" s="1"/>
  <c r="H61" i="9"/>
  <c r="I61" i="9" s="1"/>
  <c r="H69" i="9"/>
  <c r="I69" i="9" s="1"/>
  <c r="H77" i="9"/>
  <c r="I77" i="9" s="1"/>
  <c r="H85" i="9"/>
  <c r="I85" i="9" s="1"/>
  <c r="H93" i="9"/>
  <c r="I93" i="9" s="1"/>
  <c r="H101" i="9"/>
  <c r="I101" i="9" s="1"/>
  <c r="H109" i="9"/>
  <c r="I109" i="9" s="1"/>
  <c r="H117" i="9"/>
  <c r="I117" i="9" s="1"/>
  <c r="H125" i="9"/>
  <c r="I125" i="9" s="1"/>
  <c r="H133" i="9"/>
  <c r="I133" i="9" s="1"/>
  <c r="H141" i="9"/>
  <c r="I141" i="9" s="1"/>
  <c r="H149" i="9"/>
  <c r="I149" i="9" s="1"/>
  <c r="H157" i="9"/>
  <c r="I157" i="9" s="1"/>
  <c r="H165" i="9"/>
  <c r="I165" i="9" s="1"/>
  <c r="H173" i="9"/>
  <c r="I173" i="9" s="1"/>
  <c r="H181" i="9"/>
  <c r="I181" i="9" s="1"/>
  <c r="H189" i="9"/>
  <c r="I189" i="9" s="1"/>
  <c r="H197" i="9"/>
  <c r="I197" i="9" s="1"/>
  <c r="H205" i="9"/>
  <c r="I205" i="9" s="1"/>
  <c r="H213" i="9"/>
  <c r="I213" i="9" s="1"/>
  <c r="H221" i="9"/>
  <c r="I221" i="9" s="1"/>
  <c r="H229" i="9"/>
  <c r="I229" i="9" s="1"/>
  <c r="H237" i="9"/>
  <c r="I237" i="9" s="1"/>
  <c r="H215" i="9"/>
  <c r="I215" i="9" s="1"/>
  <c r="H240" i="9"/>
  <c r="I240" i="9" s="1"/>
  <c r="H248" i="9"/>
  <c r="I248" i="9" s="1"/>
  <c r="H256" i="9"/>
  <c r="I256" i="9" s="1"/>
  <c r="H264" i="9"/>
  <c r="I264" i="9" s="1"/>
  <c r="H272" i="9"/>
  <c r="I272" i="9" s="1"/>
  <c r="H280" i="9"/>
  <c r="I280" i="9" s="1"/>
  <c r="H288" i="9"/>
  <c r="I288" i="9" s="1"/>
  <c r="H304" i="9"/>
  <c r="I304" i="9" s="1"/>
  <c r="H289" i="9"/>
  <c r="I289" i="9" s="1"/>
  <c r="H297" i="9"/>
  <c r="I297" i="9" s="1"/>
  <c r="H305" i="9"/>
  <c r="I305" i="9" s="1"/>
  <c r="H220" i="9"/>
  <c r="I220" i="9" s="1"/>
  <c r="H241" i="9"/>
  <c r="I241" i="9" s="1"/>
  <c r="H249" i="9"/>
  <c r="I249" i="9" s="1"/>
  <c r="H257" i="9"/>
  <c r="I257" i="9" s="1"/>
  <c r="H265" i="9"/>
  <c r="I265" i="9" s="1"/>
  <c r="H273" i="9"/>
  <c r="I273" i="9" s="1"/>
  <c r="H231" i="9"/>
  <c r="I231" i="9" s="1"/>
  <c r="H232" i="9"/>
  <c r="I232" i="9" s="1"/>
  <c r="H242" i="9"/>
  <c r="I242" i="9" s="1"/>
  <c r="H250" i="9"/>
  <c r="I250" i="9" s="1"/>
  <c r="H258" i="9"/>
  <c r="I258" i="9" s="1"/>
  <c r="H266" i="9"/>
  <c r="I266" i="9" s="1"/>
  <c r="H274" i="9"/>
  <c r="I274" i="9" s="1"/>
  <c r="H282" i="9"/>
  <c r="I282" i="9" s="1"/>
  <c r="H290" i="9"/>
  <c r="I290" i="9" s="1"/>
  <c r="H298" i="9"/>
  <c r="I298" i="9" s="1"/>
  <c r="H306" i="9"/>
  <c r="I306" i="9" s="1"/>
  <c r="H20" i="9"/>
  <c r="I20" i="9" s="1"/>
  <c r="H36" i="9"/>
  <c r="I36" i="9" s="1"/>
  <c r="H52" i="9"/>
  <c r="I52" i="9" s="1"/>
  <c r="H68" i="9"/>
  <c r="I68" i="9" s="1"/>
  <c r="H84" i="9"/>
  <c r="I84" i="9" s="1"/>
  <c r="H100" i="9"/>
  <c r="I100" i="9" s="1"/>
  <c r="H116" i="9"/>
  <c r="I116" i="9" s="1"/>
  <c r="H132" i="9"/>
  <c r="I132" i="9" s="1"/>
  <c r="H148" i="9"/>
  <c r="I148" i="9" s="1"/>
  <c r="H164" i="9"/>
  <c r="I164" i="9" s="1"/>
  <c r="H180" i="9"/>
  <c r="I180" i="9" s="1"/>
  <c r="H196" i="9"/>
  <c r="I196" i="9" s="1"/>
  <c r="H212" i="9"/>
  <c r="I212" i="9" s="1"/>
  <c r="H233" i="9"/>
  <c r="I233" i="9" s="1"/>
  <c r="H243" i="9"/>
  <c r="I243" i="9" s="1"/>
  <c r="H251" i="9"/>
  <c r="I251" i="9" s="1"/>
  <c r="H259" i="9"/>
  <c r="I259" i="9" s="1"/>
  <c r="H267" i="9"/>
  <c r="I267" i="9" s="1"/>
  <c r="H275" i="9"/>
  <c r="I275" i="9" s="1"/>
  <c r="H283" i="9"/>
  <c r="I283" i="9" s="1"/>
  <c r="H291" i="9"/>
  <c r="I291" i="9" s="1"/>
  <c r="H299" i="9"/>
  <c r="I299" i="9" s="1"/>
  <c r="H307" i="9"/>
  <c r="I307" i="9" s="1"/>
  <c r="H292" i="9"/>
  <c r="I292" i="9" s="1"/>
  <c r="H224" i="9"/>
  <c r="I224" i="9" s="1"/>
  <c r="H234" i="9"/>
  <c r="I234" i="9" s="1"/>
  <c r="H244" i="9"/>
  <c r="I244" i="9" s="1"/>
  <c r="H252" i="9"/>
  <c r="I252" i="9" s="1"/>
  <c r="H260" i="9"/>
  <c r="I260" i="9" s="1"/>
  <c r="H268" i="9"/>
  <c r="I268" i="9" s="1"/>
  <c r="H276" i="9"/>
  <c r="I276" i="9" s="1"/>
  <c r="H284" i="9"/>
  <c r="I284" i="9" s="1"/>
  <c r="H300" i="9"/>
  <c r="I300" i="9" s="1"/>
  <c r="H308" i="9"/>
  <c r="I308" i="9" s="1"/>
  <c r="H223" i="9"/>
  <c r="I223" i="9" s="1"/>
  <c r="H228" i="9"/>
  <c r="I228" i="9" s="1"/>
  <c r="H235" i="9"/>
  <c r="I235" i="9" s="1"/>
  <c r="H245" i="9"/>
  <c r="I245" i="9" s="1"/>
  <c r="H253" i="9"/>
  <c r="I253" i="9" s="1"/>
  <c r="H261" i="9"/>
  <c r="I261" i="9" s="1"/>
  <c r="H269" i="9"/>
  <c r="I269" i="9" s="1"/>
  <c r="H277" i="9"/>
  <c r="I277" i="9" s="1"/>
  <c r="H285" i="9"/>
  <c r="I285" i="9" s="1"/>
  <c r="H293" i="9"/>
  <c r="I293" i="9" s="1"/>
  <c r="H301" i="9"/>
  <c r="I301" i="9" s="1"/>
  <c r="H309" i="9"/>
  <c r="I309" i="9" s="1"/>
  <c r="H28" i="9"/>
  <c r="I28" i="9" s="1"/>
  <c r="H44" i="9"/>
  <c r="I44" i="9" s="1"/>
  <c r="H60" i="9"/>
  <c r="I60" i="9" s="1"/>
  <c r="H76" i="9"/>
  <c r="I76" i="9" s="1"/>
  <c r="H92" i="9"/>
  <c r="I92" i="9" s="1"/>
  <c r="H108" i="9"/>
  <c r="I108" i="9" s="1"/>
  <c r="H124" i="9"/>
  <c r="I124" i="9" s="1"/>
  <c r="H140" i="9"/>
  <c r="I140" i="9" s="1"/>
  <c r="H156" i="9"/>
  <c r="I156" i="9" s="1"/>
  <c r="H172" i="9"/>
  <c r="I172" i="9" s="1"/>
  <c r="H188" i="9"/>
  <c r="I188" i="9" s="1"/>
  <c r="H204" i="9"/>
  <c r="I204" i="9" s="1"/>
  <c r="H225" i="9"/>
  <c r="I225" i="9" s="1"/>
  <c r="H239" i="9"/>
  <c r="I239" i="9" s="1"/>
  <c r="H247" i="9"/>
  <c r="I247" i="9" s="1"/>
  <c r="H255" i="9"/>
  <c r="I255" i="9" s="1"/>
  <c r="H263" i="9"/>
  <c r="I263" i="9" s="1"/>
  <c r="H271" i="9"/>
  <c r="I271" i="9" s="1"/>
  <c r="H279" i="9"/>
  <c r="I279" i="9" s="1"/>
  <c r="H287" i="9"/>
  <c r="I287" i="9" s="1"/>
  <c r="H295" i="9"/>
  <c r="I295" i="9" s="1"/>
  <c r="H303" i="9"/>
  <c r="I303" i="9" s="1"/>
  <c r="H311" i="9"/>
  <c r="I311" i="9" s="1"/>
  <c r="H296" i="9"/>
  <c r="I296" i="9" s="1"/>
  <c r="H281" i="9"/>
  <c r="I281" i="9" s="1"/>
  <c r="H302" i="9"/>
  <c r="I302" i="9" s="1"/>
  <c r="H236" i="9"/>
  <c r="I236" i="9" s="1"/>
  <c r="H246" i="9"/>
  <c r="I246" i="9" s="1"/>
  <c r="H262" i="9"/>
  <c r="I262" i="9" s="1"/>
  <c r="H278" i="9"/>
  <c r="I278" i="9" s="1"/>
  <c r="H294" i="9"/>
  <c r="I294" i="9" s="1"/>
  <c r="H310" i="9"/>
  <c r="I310" i="9" s="1"/>
  <c r="H238" i="9"/>
  <c r="I238" i="9" s="1"/>
  <c r="H254" i="9"/>
  <c r="I254" i="9" s="1"/>
  <c r="H270" i="9"/>
  <c r="I270" i="9" s="1"/>
  <c r="H286" i="9"/>
  <c r="I286" i="9" s="1"/>
  <c r="G12" i="34"/>
  <c r="B21" i="48"/>
  <c r="H12" i="9"/>
  <c r="H306" i="11"/>
  <c r="D232" i="12" l="1"/>
  <c r="E232" i="39"/>
  <c r="D270" i="12"/>
  <c r="E270" i="39"/>
  <c r="E299" i="39"/>
  <c r="D299" i="12"/>
  <c r="E7" i="39"/>
  <c r="D7" i="12"/>
  <c r="D188" i="12"/>
  <c r="E188" i="39"/>
  <c r="D139" i="12"/>
  <c r="E139" i="39"/>
  <c r="D154" i="12"/>
  <c r="E154" i="39"/>
  <c r="E26" i="39"/>
  <c r="D26" i="12"/>
  <c r="E97" i="39"/>
  <c r="D97" i="12"/>
  <c r="E33" i="39"/>
  <c r="D33" i="12"/>
  <c r="D192" i="12"/>
  <c r="E192" i="39"/>
  <c r="D248" i="12"/>
  <c r="E248" i="39"/>
  <c r="E296" i="39"/>
  <c r="D296" i="12"/>
  <c r="E265" i="39"/>
  <c r="D265" i="12"/>
  <c r="E166" i="39"/>
  <c r="D166" i="12"/>
  <c r="D38" i="12"/>
  <c r="E38" i="39"/>
  <c r="E255" i="39"/>
  <c r="D255" i="12"/>
  <c r="D278" i="12"/>
  <c r="E278" i="39"/>
  <c r="E286" i="39"/>
  <c r="D286" i="12"/>
  <c r="D245" i="12"/>
  <c r="E245" i="39"/>
  <c r="D126" i="12"/>
  <c r="E126" i="39"/>
  <c r="D300" i="12"/>
  <c r="E300" i="39"/>
  <c r="D236" i="12"/>
  <c r="E236" i="39"/>
  <c r="E214" i="39"/>
  <c r="D214" i="12"/>
  <c r="E258" i="39"/>
  <c r="D258" i="12"/>
  <c r="E207" i="39"/>
  <c r="D207" i="12"/>
  <c r="D143" i="12"/>
  <c r="E143" i="39"/>
  <c r="D79" i="12"/>
  <c r="E79" i="39"/>
  <c r="D15" i="12"/>
  <c r="E15" i="39"/>
  <c r="D173" i="12"/>
  <c r="E173" i="39"/>
  <c r="D109" i="12"/>
  <c r="E109" i="39"/>
  <c r="E45" i="39"/>
  <c r="D45" i="12"/>
  <c r="D196" i="12"/>
  <c r="E196" i="39"/>
  <c r="D132" i="12"/>
  <c r="E132" i="39"/>
  <c r="E68" i="39"/>
  <c r="D68" i="12"/>
  <c r="E211" i="39"/>
  <c r="D211" i="12"/>
  <c r="D147" i="12"/>
  <c r="E147" i="39"/>
  <c r="E83" i="39"/>
  <c r="D83" i="12"/>
  <c r="D19" i="12"/>
  <c r="E19" i="39"/>
  <c r="E162" i="39"/>
  <c r="D162" i="12"/>
  <c r="D98" i="12"/>
  <c r="E98" i="39"/>
  <c r="E34" i="39"/>
  <c r="D34" i="12"/>
  <c r="E169" i="39"/>
  <c r="D169" i="12"/>
  <c r="E105" i="39"/>
  <c r="D105" i="12"/>
  <c r="E41" i="39"/>
  <c r="D41" i="12"/>
  <c r="D200" i="12"/>
  <c r="E200" i="39"/>
  <c r="E136" i="39"/>
  <c r="D136" i="12"/>
  <c r="D72" i="12"/>
  <c r="E72" i="39"/>
  <c r="D8" i="12"/>
  <c r="E8" i="39"/>
  <c r="D275" i="12"/>
  <c r="E275" i="39"/>
  <c r="E301" i="39"/>
  <c r="D301" i="12"/>
  <c r="E250" i="39"/>
  <c r="D250" i="12"/>
  <c r="E101" i="39"/>
  <c r="D101" i="12"/>
  <c r="D64" i="12"/>
  <c r="E64" i="39"/>
  <c r="E290" i="39"/>
  <c r="D290" i="12"/>
  <c r="E249" i="39"/>
  <c r="D249" i="12"/>
  <c r="D134" i="12"/>
  <c r="E134" i="39"/>
  <c r="D303" i="12"/>
  <c r="E303" i="39"/>
  <c r="E239" i="39"/>
  <c r="D239" i="12"/>
  <c r="D262" i="12"/>
  <c r="E262" i="39"/>
  <c r="E293" i="39"/>
  <c r="D293" i="12"/>
  <c r="D227" i="12"/>
  <c r="E227" i="39"/>
  <c r="E94" i="39"/>
  <c r="D94" i="12"/>
  <c r="E284" i="39"/>
  <c r="D284" i="12"/>
  <c r="E225" i="39"/>
  <c r="D225" i="12"/>
  <c r="D291" i="12"/>
  <c r="E291" i="39"/>
  <c r="E242" i="39"/>
  <c r="D242" i="12"/>
  <c r="E191" i="39"/>
  <c r="D191" i="12"/>
  <c r="D127" i="12"/>
  <c r="E127" i="39"/>
  <c r="E63" i="39"/>
  <c r="D63" i="12"/>
  <c r="E221" i="39"/>
  <c r="D221" i="12"/>
  <c r="D157" i="12"/>
  <c r="E157" i="39"/>
  <c r="E93" i="39"/>
  <c r="D93" i="12"/>
  <c r="E29" i="39"/>
  <c r="D29" i="12"/>
  <c r="E180" i="39"/>
  <c r="D180" i="12"/>
  <c r="E116" i="39"/>
  <c r="D116" i="12"/>
  <c r="D52" i="12"/>
  <c r="E52" i="39"/>
  <c r="E195" i="39"/>
  <c r="D195" i="12"/>
  <c r="E131" i="39"/>
  <c r="D131" i="12"/>
  <c r="D67" i="12"/>
  <c r="E67" i="39"/>
  <c r="E210" i="39"/>
  <c r="D210" i="12"/>
  <c r="D146" i="12"/>
  <c r="E146" i="39"/>
  <c r="E82" i="39"/>
  <c r="D82" i="12"/>
  <c r="E18" i="39"/>
  <c r="D18" i="12"/>
  <c r="E153" i="39"/>
  <c r="D153" i="12"/>
  <c r="E89" i="39"/>
  <c r="D89" i="12"/>
  <c r="E25" i="39"/>
  <c r="D25" i="12"/>
  <c r="E184" i="39"/>
  <c r="D184" i="12"/>
  <c r="E120" i="39"/>
  <c r="D120" i="12"/>
  <c r="D56" i="12"/>
  <c r="E56" i="39"/>
  <c r="E247" i="39"/>
  <c r="D247" i="12"/>
  <c r="E226" i="39"/>
  <c r="D226" i="12"/>
  <c r="E71" i="39"/>
  <c r="D71" i="12"/>
  <c r="E124" i="39"/>
  <c r="D124" i="12"/>
  <c r="E161" i="39"/>
  <c r="D161" i="12"/>
  <c r="E241" i="39"/>
  <c r="D241" i="12"/>
  <c r="D118" i="12"/>
  <c r="E118" i="39"/>
  <c r="D295" i="12"/>
  <c r="E295" i="39"/>
  <c r="D229" i="12"/>
  <c r="E229" i="39"/>
  <c r="D254" i="12"/>
  <c r="E254" i="39"/>
  <c r="E285" i="39"/>
  <c r="D285" i="12"/>
  <c r="E206" i="39"/>
  <c r="D206" i="12"/>
  <c r="E78" i="39"/>
  <c r="D78" i="12"/>
  <c r="D276" i="12"/>
  <c r="E276" i="39"/>
  <c r="D267" i="12"/>
  <c r="E267" i="39"/>
  <c r="D283" i="12"/>
  <c r="E283" i="39"/>
  <c r="E234" i="39"/>
  <c r="D234" i="12"/>
  <c r="E183" i="39"/>
  <c r="D183" i="12"/>
  <c r="E119" i="39"/>
  <c r="D119" i="12"/>
  <c r="D55" i="12"/>
  <c r="E55" i="39"/>
  <c r="D213" i="12"/>
  <c r="E213" i="39"/>
  <c r="D149" i="12"/>
  <c r="E149" i="39"/>
  <c r="E85" i="39"/>
  <c r="D85" i="12"/>
  <c r="E21" i="39"/>
  <c r="D21" i="12"/>
  <c r="D172" i="12"/>
  <c r="E172" i="39"/>
  <c r="D108" i="12"/>
  <c r="E108" i="39"/>
  <c r="E44" i="39"/>
  <c r="D44" i="12"/>
  <c r="D187" i="12"/>
  <c r="E187" i="39"/>
  <c r="D123" i="12"/>
  <c r="E123" i="39"/>
  <c r="E59" i="39"/>
  <c r="D59" i="12"/>
  <c r="E202" i="39"/>
  <c r="D202" i="12"/>
  <c r="D138" i="12"/>
  <c r="E138" i="39"/>
  <c r="D74" i="12"/>
  <c r="E74" i="39"/>
  <c r="E10" i="39"/>
  <c r="D10" i="12"/>
  <c r="E145" i="39"/>
  <c r="D145" i="12"/>
  <c r="E81" i="39"/>
  <c r="D81" i="12"/>
  <c r="E17" i="39"/>
  <c r="D17" i="12"/>
  <c r="D176" i="12"/>
  <c r="E176" i="39"/>
  <c r="E112" i="39"/>
  <c r="D112" i="12"/>
  <c r="D48" i="12"/>
  <c r="E48" i="39"/>
  <c r="E304" i="39"/>
  <c r="D304" i="12"/>
  <c r="E233" i="39"/>
  <c r="D233" i="12"/>
  <c r="D222" i="12"/>
  <c r="E222" i="39"/>
  <c r="D246" i="12"/>
  <c r="E246" i="39"/>
  <c r="D277" i="12"/>
  <c r="E277" i="39"/>
  <c r="D190" i="12"/>
  <c r="E190" i="39"/>
  <c r="D62" i="12"/>
  <c r="E62" i="39"/>
  <c r="D268" i="12"/>
  <c r="E268" i="39"/>
  <c r="D259" i="12"/>
  <c r="E259" i="39"/>
  <c r="E298" i="39"/>
  <c r="D298" i="12"/>
  <c r="E209" i="39"/>
  <c r="D209" i="12"/>
  <c r="E175" i="39"/>
  <c r="D175" i="12"/>
  <c r="E111" i="39"/>
  <c r="D111" i="12"/>
  <c r="D47" i="12"/>
  <c r="E47" i="39"/>
  <c r="D205" i="12"/>
  <c r="E205" i="39"/>
  <c r="E141" i="39"/>
  <c r="D141" i="12"/>
  <c r="E77" i="39"/>
  <c r="D77" i="12"/>
  <c r="E13" i="39"/>
  <c r="D13" i="12"/>
  <c r="D164" i="12"/>
  <c r="E164" i="39"/>
  <c r="D100" i="12"/>
  <c r="E100" i="39"/>
  <c r="E36" i="39"/>
  <c r="D36" i="12"/>
  <c r="E179" i="39"/>
  <c r="D179" i="12"/>
  <c r="E115" i="39"/>
  <c r="D115" i="12"/>
  <c r="E51" i="39"/>
  <c r="D51" i="12"/>
  <c r="E194" i="39"/>
  <c r="D194" i="12"/>
  <c r="D130" i="12"/>
  <c r="E130" i="39"/>
  <c r="D66" i="12"/>
  <c r="E66" i="39"/>
  <c r="E201" i="39"/>
  <c r="D201" i="12"/>
  <c r="E137" i="39"/>
  <c r="D137" i="12"/>
  <c r="E73" i="39"/>
  <c r="D73" i="12"/>
  <c r="E9" i="39"/>
  <c r="D9" i="12"/>
  <c r="E168" i="39"/>
  <c r="D168" i="12"/>
  <c r="D104" i="12"/>
  <c r="E104" i="39"/>
  <c r="D40" i="12"/>
  <c r="E40" i="39"/>
  <c r="E150" i="39"/>
  <c r="D150" i="12"/>
  <c r="D292" i="12"/>
  <c r="E292" i="39"/>
  <c r="D165" i="12"/>
  <c r="E165" i="39"/>
  <c r="E11" i="39"/>
  <c r="D11" i="12"/>
  <c r="E288" i="39"/>
  <c r="D288" i="12"/>
  <c r="E297" i="39"/>
  <c r="D297" i="12"/>
  <c r="D256" i="12"/>
  <c r="E256" i="39"/>
  <c r="E289" i="39"/>
  <c r="D289" i="12"/>
  <c r="D219" i="12"/>
  <c r="E219" i="39"/>
  <c r="D86" i="12"/>
  <c r="E86" i="39"/>
  <c r="D279" i="12"/>
  <c r="E279" i="39"/>
  <c r="E217" i="39"/>
  <c r="D217" i="12"/>
  <c r="E238" i="39"/>
  <c r="D238" i="12"/>
  <c r="D269" i="12"/>
  <c r="E269" i="39"/>
  <c r="E174" i="39"/>
  <c r="D174" i="12"/>
  <c r="E46" i="39"/>
  <c r="D46" i="12"/>
  <c r="D260" i="12"/>
  <c r="E260" i="39"/>
  <c r="D251" i="12"/>
  <c r="E251" i="39"/>
  <c r="E282" i="39"/>
  <c r="D282" i="12"/>
  <c r="E231" i="39"/>
  <c r="D231" i="12"/>
  <c r="E167" i="39"/>
  <c r="D167" i="12"/>
  <c r="E103" i="39"/>
  <c r="D103" i="12"/>
  <c r="E39" i="39"/>
  <c r="D39" i="12"/>
  <c r="D197" i="12"/>
  <c r="E197" i="39"/>
  <c r="E133" i="39"/>
  <c r="D133" i="12"/>
  <c r="E69" i="39"/>
  <c r="D69" i="12"/>
  <c r="D220" i="12"/>
  <c r="E220" i="39"/>
  <c r="D156" i="12"/>
  <c r="E156" i="39"/>
  <c r="E92" i="39"/>
  <c r="D92" i="12"/>
  <c r="E28" i="39"/>
  <c r="D28" i="12"/>
  <c r="D171" i="12"/>
  <c r="E171" i="39"/>
  <c r="D107" i="12"/>
  <c r="E107" i="39"/>
  <c r="E43" i="39"/>
  <c r="D43" i="12"/>
  <c r="E186" i="39"/>
  <c r="D186" i="12"/>
  <c r="D122" i="12"/>
  <c r="E122" i="39"/>
  <c r="D58" i="12"/>
  <c r="E58" i="39"/>
  <c r="E193" i="39"/>
  <c r="D193" i="12"/>
  <c r="E129" i="39"/>
  <c r="D129" i="12"/>
  <c r="E65" i="39"/>
  <c r="D65" i="12"/>
  <c r="D224" i="12"/>
  <c r="E224" i="39"/>
  <c r="E160" i="39"/>
  <c r="D160" i="12"/>
  <c r="D96" i="12"/>
  <c r="E96" i="39"/>
  <c r="D32" i="12"/>
  <c r="E32" i="39"/>
  <c r="D22" i="12"/>
  <c r="E22" i="39"/>
  <c r="D110" i="12"/>
  <c r="E110" i="39"/>
  <c r="E135" i="39"/>
  <c r="D135" i="12"/>
  <c r="D203" i="12"/>
  <c r="E203" i="39"/>
  <c r="E305" i="39"/>
  <c r="D305" i="12"/>
  <c r="E272" i="39"/>
  <c r="D272" i="12"/>
  <c r="D287" i="12"/>
  <c r="E287" i="39"/>
  <c r="D240" i="12"/>
  <c r="E240" i="39"/>
  <c r="E281" i="39"/>
  <c r="D281" i="12"/>
  <c r="D198" i="12"/>
  <c r="E198" i="39"/>
  <c r="E70" i="39"/>
  <c r="D70" i="12"/>
  <c r="D271" i="12"/>
  <c r="E271" i="39"/>
  <c r="E302" i="39"/>
  <c r="D302" i="12"/>
  <c r="D228" i="12"/>
  <c r="E228" i="39"/>
  <c r="D261" i="12"/>
  <c r="E261" i="39"/>
  <c r="E158" i="39"/>
  <c r="D158" i="12"/>
  <c r="D30" i="12"/>
  <c r="E30" i="39"/>
  <c r="D252" i="12"/>
  <c r="E252" i="39"/>
  <c r="D243" i="12"/>
  <c r="E243" i="39"/>
  <c r="E274" i="39"/>
  <c r="D274" i="12"/>
  <c r="E223" i="39"/>
  <c r="D223" i="12"/>
  <c r="E159" i="39"/>
  <c r="D159" i="12"/>
  <c r="D95" i="12"/>
  <c r="E95" i="39"/>
  <c r="D31" i="12"/>
  <c r="E31" i="39"/>
  <c r="D189" i="12"/>
  <c r="E189" i="39"/>
  <c r="D125" i="12"/>
  <c r="E125" i="39"/>
  <c r="E61" i="39"/>
  <c r="D61" i="12"/>
  <c r="D212" i="12"/>
  <c r="E212" i="39"/>
  <c r="E148" i="39"/>
  <c r="D148" i="12"/>
  <c r="E84" i="39"/>
  <c r="D84" i="12"/>
  <c r="E20" i="39"/>
  <c r="D20" i="12"/>
  <c r="D163" i="12"/>
  <c r="E163" i="39"/>
  <c r="E99" i="39"/>
  <c r="D99" i="12"/>
  <c r="E35" i="39"/>
  <c r="D35" i="12"/>
  <c r="E178" i="39"/>
  <c r="D178" i="12"/>
  <c r="D114" i="12"/>
  <c r="E114" i="39"/>
  <c r="E50" i="39"/>
  <c r="D50" i="12"/>
  <c r="E185" i="39"/>
  <c r="D185" i="12"/>
  <c r="E121" i="39"/>
  <c r="D121" i="12"/>
  <c r="E57" i="39"/>
  <c r="D57" i="12"/>
  <c r="D216" i="12"/>
  <c r="E216" i="39"/>
  <c r="D152" i="12"/>
  <c r="E152" i="39"/>
  <c r="D88" i="12"/>
  <c r="E88" i="39"/>
  <c r="E24" i="39"/>
  <c r="D24" i="12"/>
  <c r="E257" i="39"/>
  <c r="D257" i="12"/>
  <c r="D237" i="12"/>
  <c r="E237" i="39"/>
  <c r="E199" i="39"/>
  <c r="D199" i="12"/>
  <c r="E37" i="39"/>
  <c r="D37" i="12"/>
  <c r="E60" i="39"/>
  <c r="D60" i="12"/>
  <c r="D75" i="12"/>
  <c r="E75" i="39"/>
  <c r="E90" i="39"/>
  <c r="D90" i="12"/>
  <c r="E128" i="39"/>
  <c r="D128" i="12"/>
  <c r="D102" i="12"/>
  <c r="E102" i="39"/>
  <c r="E280" i="39"/>
  <c r="D280" i="12"/>
  <c r="D264" i="12"/>
  <c r="E264" i="39"/>
  <c r="D230" i="12"/>
  <c r="E230" i="39"/>
  <c r="E273" i="39"/>
  <c r="D273" i="12"/>
  <c r="D182" i="12"/>
  <c r="E182" i="39"/>
  <c r="E54" i="39"/>
  <c r="D54" i="12"/>
  <c r="D263" i="12"/>
  <c r="E263" i="39"/>
  <c r="D294" i="12"/>
  <c r="E294" i="39"/>
  <c r="E218" i="39"/>
  <c r="D218" i="12"/>
  <c r="E253" i="39"/>
  <c r="D253" i="12"/>
  <c r="D142" i="12"/>
  <c r="E142" i="39"/>
  <c r="D14" i="12"/>
  <c r="E14" i="39"/>
  <c r="D244" i="12"/>
  <c r="E244" i="39"/>
  <c r="D235" i="12"/>
  <c r="E235" i="39"/>
  <c r="E266" i="39"/>
  <c r="D266" i="12"/>
  <c r="E215" i="39"/>
  <c r="D215" i="12"/>
  <c r="D151" i="12"/>
  <c r="E151" i="39"/>
  <c r="D87" i="12"/>
  <c r="E87" i="39"/>
  <c r="D23" i="12"/>
  <c r="E23" i="39"/>
  <c r="D181" i="12"/>
  <c r="E181" i="39"/>
  <c r="D117" i="12"/>
  <c r="E117" i="39"/>
  <c r="E53" i="39"/>
  <c r="D53" i="12"/>
  <c r="D204" i="12"/>
  <c r="E204" i="39"/>
  <c r="D140" i="12"/>
  <c r="E140" i="39"/>
  <c r="E76" i="39"/>
  <c r="D76" i="12"/>
  <c r="E12" i="39"/>
  <c r="D12" i="12"/>
  <c r="D155" i="12"/>
  <c r="E155" i="39"/>
  <c r="E91" i="39"/>
  <c r="D91" i="12"/>
  <c r="E27" i="39"/>
  <c r="D27" i="12"/>
  <c r="D170" i="12"/>
  <c r="E170" i="39"/>
  <c r="D106" i="12"/>
  <c r="E106" i="39"/>
  <c r="D42" i="12"/>
  <c r="E42" i="39"/>
  <c r="E177" i="39"/>
  <c r="D177" i="12"/>
  <c r="E113" i="39"/>
  <c r="D113" i="12"/>
  <c r="E49" i="39"/>
  <c r="D49" i="12"/>
  <c r="D208" i="12"/>
  <c r="E208" i="39"/>
  <c r="D144" i="12"/>
  <c r="E144" i="39"/>
  <c r="D80" i="12"/>
  <c r="E80" i="39"/>
  <c r="D16" i="12"/>
  <c r="E16" i="39"/>
  <c r="G6" i="12"/>
  <c r="F6" i="39" s="1"/>
  <c r="G312" i="34"/>
  <c r="O306" i="11"/>
  <c r="G54" i="25"/>
  <c r="D55" i="54" s="1"/>
  <c r="E55" i="54" s="1"/>
  <c r="G258" i="25"/>
  <c r="D259" i="54" s="1"/>
  <c r="E259" i="54" s="1"/>
  <c r="G116" i="25"/>
  <c r="D117" i="54" s="1"/>
  <c r="E117" i="54" s="1"/>
  <c r="G262" i="25"/>
  <c r="D263" i="54" s="1"/>
  <c r="E263" i="54" s="1"/>
  <c r="G6" i="25"/>
  <c r="D7" i="54" s="1"/>
  <c r="E7" i="54" s="1"/>
  <c r="G243" i="25"/>
  <c r="D244" i="54" s="1"/>
  <c r="E244" i="54" s="1"/>
  <c r="G12" i="25"/>
  <c r="D13" i="54" s="1"/>
  <c r="E13" i="54" s="1"/>
  <c r="G78" i="25"/>
  <c r="D79" i="54" s="1"/>
  <c r="E79" i="54" s="1"/>
  <c r="G281" i="25"/>
  <c r="D282" i="54" s="1"/>
  <c r="E282" i="54" s="1"/>
  <c r="G186" i="25"/>
  <c r="D187" i="54" s="1"/>
  <c r="E187" i="54" s="1"/>
  <c r="G264" i="25"/>
  <c r="D265" i="54" s="1"/>
  <c r="E265" i="54" s="1"/>
  <c r="G188" i="25"/>
  <c r="D189" i="54" s="1"/>
  <c r="E189" i="54" s="1"/>
  <c r="G70" i="25"/>
  <c r="D71" i="54" s="1"/>
  <c r="E71" i="54" s="1"/>
  <c r="G279" i="25"/>
  <c r="D280" i="54" s="1"/>
  <c r="E280" i="54" s="1"/>
  <c r="G228" i="25"/>
  <c r="D229" i="54" s="1"/>
  <c r="E229" i="54" s="1"/>
  <c r="G143" i="25"/>
  <c r="D144" i="54" s="1"/>
  <c r="E144" i="54" s="1"/>
  <c r="G214" i="25"/>
  <c r="G62" i="25"/>
  <c r="D63" i="54" s="1"/>
  <c r="E63" i="54" s="1"/>
  <c r="G293" i="25"/>
  <c r="D294" i="54" s="1"/>
  <c r="E294" i="54" s="1"/>
  <c r="G223" i="25"/>
  <c r="G221" i="25"/>
  <c r="D222" i="54" s="1"/>
  <c r="E222" i="54" s="1"/>
  <c r="G157" i="25"/>
  <c r="D158" i="54" s="1"/>
  <c r="E158" i="54" s="1"/>
  <c r="G93" i="25"/>
  <c r="D94" i="54" s="1"/>
  <c r="E94" i="54" s="1"/>
  <c r="G29" i="25"/>
  <c r="D30" i="54" s="1"/>
  <c r="E30" i="54" s="1"/>
  <c r="G179" i="25"/>
  <c r="D180" i="54" s="1"/>
  <c r="E180" i="54" s="1"/>
  <c r="G115" i="25"/>
  <c r="D116" i="54" s="1"/>
  <c r="E116" i="54" s="1"/>
  <c r="G51" i="25"/>
  <c r="D52" i="54" s="1"/>
  <c r="E52" i="54" s="1"/>
  <c r="G162" i="25"/>
  <c r="G98" i="25"/>
  <c r="D99" i="54" s="1"/>
  <c r="E99" i="54" s="1"/>
  <c r="G34" i="25"/>
  <c r="D35" i="54" s="1"/>
  <c r="E35" i="54" s="1"/>
  <c r="G193" i="25"/>
  <c r="D194" i="54" s="1"/>
  <c r="E194" i="54" s="1"/>
  <c r="G129" i="25"/>
  <c r="D130" i="54" s="1"/>
  <c r="E130" i="54" s="1"/>
  <c r="G65" i="25"/>
  <c r="D66" i="54" s="1"/>
  <c r="E66" i="54" s="1"/>
  <c r="G200" i="25"/>
  <c r="D201" i="54" s="1"/>
  <c r="G136" i="25"/>
  <c r="D137" i="54" s="1"/>
  <c r="E137" i="54" s="1"/>
  <c r="G72" i="25"/>
  <c r="D73" i="54" s="1"/>
  <c r="E73" i="54" s="1"/>
  <c r="G8" i="25"/>
  <c r="D9" i="54" s="1"/>
  <c r="E9" i="54" s="1"/>
  <c r="G119" i="25"/>
  <c r="D120" i="54" s="1"/>
  <c r="E120" i="54" s="1"/>
  <c r="G76" i="25"/>
  <c r="D77" i="54" s="1"/>
  <c r="E77" i="54" s="1"/>
  <c r="G273" i="25"/>
  <c r="D274" i="54" s="1"/>
  <c r="E274" i="54" s="1"/>
  <c r="G159" i="25"/>
  <c r="D160" i="54" s="1"/>
  <c r="E160" i="54" s="1"/>
  <c r="G256" i="25"/>
  <c r="D257" i="54" s="1"/>
  <c r="E257" i="54" s="1"/>
  <c r="G151" i="25"/>
  <c r="D152" i="54" s="1"/>
  <c r="E152" i="54" s="1"/>
  <c r="G68" i="25"/>
  <c r="D69" i="54" s="1"/>
  <c r="E69" i="54" s="1"/>
  <c r="G271" i="25"/>
  <c r="D272" i="54" s="1"/>
  <c r="E272" i="54" s="1"/>
  <c r="G218" i="25"/>
  <c r="D219" i="54" s="1"/>
  <c r="E219" i="54" s="1"/>
  <c r="G142" i="25"/>
  <c r="D143" i="54" s="1"/>
  <c r="E143" i="54" s="1"/>
  <c r="G135" i="25"/>
  <c r="D136" i="54" s="1"/>
  <c r="E136" i="54" s="1"/>
  <c r="G60" i="25"/>
  <c r="D61" i="54" s="1"/>
  <c r="E61" i="54" s="1"/>
  <c r="G285" i="25"/>
  <c r="D286" i="54" s="1"/>
  <c r="E286" i="54" s="1"/>
  <c r="G222" i="25"/>
  <c r="D223" i="54" s="1"/>
  <c r="E223" i="54" s="1"/>
  <c r="G213" i="25"/>
  <c r="D214" i="54" s="1"/>
  <c r="E214" i="54" s="1"/>
  <c r="G149" i="25"/>
  <c r="D150" i="54" s="1"/>
  <c r="E150" i="54" s="1"/>
  <c r="G85" i="25"/>
  <c r="D86" i="54" s="1"/>
  <c r="E86" i="54" s="1"/>
  <c r="G21" i="25"/>
  <c r="D22" i="54" s="1"/>
  <c r="E22" i="54" s="1"/>
  <c r="G171" i="25"/>
  <c r="D172" i="54" s="1"/>
  <c r="E172" i="54" s="1"/>
  <c r="G107" i="25"/>
  <c r="D108" i="54" s="1"/>
  <c r="E108" i="54" s="1"/>
  <c r="G43" i="25"/>
  <c r="D44" i="54" s="1"/>
  <c r="E44" i="54" s="1"/>
  <c r="G154" i="25"/>
  <c r="D155" i="54" s="1"/>
  <c r="E155" i="54" s="1"/>
  <c r="G90" i="25"/>
  <c r="G26" i="25"/>
  <c r="D27" i="54" s="1"/>
  <c r="E27" i="54" s="1"/>
  <c r="G185" i="25"/>
  <c r="D186" i="54" s="1"/>
  <c r="E186" i="54" s="1"/>
  <c r="G121" i="25"/>
  <c r="D122" i="54" s="1"/>
  <c r="E122" i="54" s="1"/>
  <c r="G57" i="25"/>
  <c r="D58" i="54" s="1"/>
  <c r="E58" i="54" s="1"/>
  <c r="G192" i="25"/>
  <c r="D193" i="54" s="1"/>
  <c r="E193" i="54" s="1"/>
  <c r="G128" i="25"/>
  <c r="D129" i="54" s="1"/>
  <c r="E129" i="54" s="1"/>
  <c r="G64" i="25"/>
  <c r="D65" i="54" s="1"/>
  <c r="E65" i="54" s="1"/>
  <c r="G39" i="25"/>
  <c r="D40" i="54" s="1"/>
  <c r="E40" i="54" s="1"/>
  <c r="G278" i="25"/>
  <c r="D279" i="54" s="1"/>
  <c r="E279" i="54" s="1"/>
  <c r="G55" i="25"/>
  <c r="D56" i="54" s="1"/>
  <c r="E56" i="54" s="1"/>
  <c r="G291" i="25"/>
  <c r="D292" i="54" s="1"/>
  <c r="E292" i="54" s="1"/>
  <c r="G199" i="25"/>
  <c r="D200" i="54" s="1"/>
  <c r="E200" i="54" s="1"/>
  <c r="G166" i="25"/>
  <c r="D167" i="54" s="1"/>
  <c r="E167" i="54" s="1"/>
  <c r="G47" i="25"/>
  <c r="D48" i="54" s="1"/>
  <c r="E48" i="54" s="1"/>
  <c r="G265" i="25"/>
  <c r="D266" i="54" s="1"/>
  <c r="E266" i="54" s="1"/>
  <c r="G158" i="25"/>
  <c r="D159" i="54" s="1"/>
  <c r="E159" i="54" s="1"/>
  <c r="G248" i="25"/>
  <c r="D249" i="54" s="1"/>
  <c r="E249" i="54" s="1"/>
  <c r="G150" i="25"/>
  <c r="D151" i="54" s="1"/>
  <c r="E151" i="54" s="1"/>
  <c r="G22" i="25"/>
  <c r="D23" i="54" s="1"/>
  <c r="E23" i="54" s="1"/>
  <c r="G263" i="25"/>
  <c r="D264" i="54" s="1"/>
  <c r="E264" i="54" s="1"/>
  <c r="G216" i="25"/>
  <c r="D217" i="54" s="1"/>
  <c r="E217" i="54" s="1"/>
  <c r="G132" i="25"/>
  <c r="D133" i="54" s="1"/>
  <c r="E133" i="54" s="1"/>
  <c r="G134" i="25"/>
  <c r="D135" i="54" s="1"/>
  <c r="E135" i="54" s="1"/>
  <c r="G30" i="25"/>
  <c r="D31" i="54" s="1"/>
  <c r="E31" i="54" s="1"/>
  <c r="G277" i="25"/>
  <c r="D278" i="54" s="1"/>
  <c r="E278" i="54" s="1"/>
  <c r="G194" i="25"/>
  <c r="D195" i="54" s="1"/>
  <c r="E195" i="54" s="1"/>
  <c r="G205" i="25"/>
  <c r="D206" i="54" s="1"/>
  <c r="E206" i="54" s="1"/>
  <c r="G141" i="25"/>
  <c r="D142" i="54" s="1"/>
  <c r="E142" i="54" s="1"/>
  <c r="G77" i="25"/>
  <c r="D78" i="54" s="1"/>
  <c r="E78" i="54" s="1"/>
  <c r="G13" i="25"/>
  <c r="D14" i="54" s="1"/>
  <c r="E14" i="54" s="1"/>
  <c r="G163" i="25"/>
  <c r="D164" i="54" s="1"/>
  <c r="E164" i="54" s="1"/>
  <c r="G99" i="25"/>
  <c r="D100" i="54" s="1"/>
  <c r="E100" i="54" s="1"/>
  <c r="G35" i="25"/>
  <c r="D36" i="54" s="1"/>
  <c r="E36" i="54" s="1"/>
  <c r="G146" i="25"/>
  <c r="D147" i="54" s="1"/>
  <c r="E147" i="54" s="1"/>
  <c r="G82" i="25"/>
  <c r="D83" i="54" s="1"/>
  <c r="E83" i="54" s="1"/>
  <c r="G18" i="25"/>
  <c r="D19" i="54" s="1"/>
  <c r="E19" i="54" s="1"/>
  <c r="G177" i="25"/>
  <c r="D178" i="54" s="1"/>
  <c r="E178" i="54" s="1"/>
  <c r="G113" i="25"/>
  <c r="D114" i="54" s="1"/>
  <c r="E114" i="54" s="1"/>
  <c r="G49" i="25"/>
  <c r="D50" i="54" s="1"/>
  <c r="E50" i="54" s="1"/>
  <c r="G184" i="25"/>
  <c r="D185" i="54" s="1"/>
  <c r="E185" i="54" s="1"/>
  <c r="G120" i="25"/>
  <c r="D121" i="54" s="1"/>
  <c r="E121" i="54" s="1"/>
  <c r="G56" i="25"/>
  <c r="D57" i="54" s="1"/>
  <c r="E57" i="54" s="1"/>
  <c r="G31" i="25"/>
  <c r="D32" i="54" s="1"/>
  <c r="E32" i="54" s="1"/>
  <c r="G52" i="25"/>
  <c r="D53" i="54" s="1"/>
  <c r="E53" i="54" s="1"/>
  <c r="G167" i="25"/>
  <c r="D168" i="54" s="1"/>
  <c r="E168" i="54" s="1"/>
  <c r="G183" i="25"/>
  <c r="D184" i="54" s="1"/>
  <c r="E184" i="54" s="1"/>
  <c r="G236" i="25"/>
  <c r="D237" i="54" s="1"/>
  <c r="E237" i="54" s="1"/>
  <c r="G46" i="25"/>
  <c r="D47" i="54" s="1"/>
  <c r="E47" i="54" s="1"/>
  <c r="G257" i="25"/>
  <c r="D258" i="54" s="1"/>
  <c r="E258" i="54" s="1"/>
  <c r="G148" i="25"/>
  <c r="D149" i="54" s="1"/>
  <c r="E149" i="54" s="1"/>
  <c r="G240" i="25"/>
  <c r="D241" i="54" s="1"/>
  <c r="E241" i="54" s="1"/>
  <c r="G140" i="25"/>
  <c r="D141" i="54" s="1"/>
  <c r="E141" i="54" s="1"/>
  <c r="G304" i="25"/>
  <c r="D305" i="54" s="1"/>
  <c r="E305" i="54" s="1"/>
  <c r="G255" i="25"/>
  <c r="D256" i="54" s="1"/>
  <c r="E256" i="54" s="1"/>
  <c r="G212" i="25"/>
  <c r="D213" i="54" s="1"/>
  <c r="E213" i="54" s="1"/>
  <c r="G28" i="25"/>
  <c r="D29" i="54" s="1"/>
  <c r="E29" i="54" s="1"/>
  <c r="G124" i="25"/>
  <c r="D125" i="54" s="1"/>
  <c r="E125" i="54" s="1"/>
  <c r="G254" i="25"/>
  <c r="D255" i="54" s="1"/>
  <c r="E255" i="54" s="1"/>
  <c r="G269" i="25"/>
  <c r="D270" i="54" s="1"/>
  <c r="E270" i="54" s="1"/>
  <c r="G180" i="25"/>
  <c r="D181" i="54" s="1"/>
  <c r="E181" i="54" s="1"/>
  <c r="G197" i="25"/>
  <c r="D198" i="54" s="1"/>
  <c r="E198" i="54" s="1"/>
  <c r="G133" i="25"/>
  <c r="D134" i="54" s="1"/>
  <c r="E134" i="54" s="1"/>
  <c r="G69" i="25"/>
  <c r="D70" i="54" s="1"/>
  <c r="E70" i="54" s="1"/>
  <c r="G219" i="25"/>
  <c r="D220" i="54" s="1"/>
  <c r="E220" i="54" s="1"/>
  <c r="G155" i="25"/>
  <c r="D156" i="54" s="1"/>
  <c r="E156" i="54" s="1"/>
  <c r="G91" i="25"/>
  <c r="D92" i="54" s="1"/>
  <c r="E92" i="54" s="1"/>
  <c r="G27" i="25"/>
  <c r="D28" i="54" s="1"/>
  <c r="E28" i="54" s="1"/>
  <c r="G138" i="25"/>
  <c r="D139" i="54" s="1"/>
  <c r="E139" i="54" s="1"/>
  <c r="G74" i="25"/>
  <c r="D75" i="54" s="1"/>
  <c r="E75" i="54" s="1"/>
  <c r="G10" i="25"/>
  <c r="D11" i="54" s="1"/>
  <c r="E11" i="54" s="1"/>
  <c r="G169" i="25"/>
  <c r="D170" i="54" s="1"/>
  <c r="E170" i="54" s="1"/>
  <c r="G105" i="25"/>
  <c r="D106" i="54" s="1"/>
  <c r="E106" i="54" s="1"/>
  <c r="G41" i="25"/>
  <c r="D42" i="54" s="1"/>
  <c r="E42" i="54" s="1"/>
  <c r="G176" i="25"/>
  <c r="D177" i="54" s="1"/>
  <c r="E177" i="54" s="1"/>
  <c r="G112" i="25"/>
  <c r="D113" i="54" s="1"/>
  <c r="E113" i="54" s="1"/>
  <c r="G48" i="25"/>
  <c r="D49" i="54" s="1"/>
  <c r="E49" i="54" s="1"/>
  <c r="G23" i="25"/>
  <c r="D24" i="54" s="1"/>
  <c r="E24" i="54" s="1"/>
  <c r="G266" i="25"/>
  <c r="D267" i="54" s="1"/>
  <c r="E267" i="54" s="1"/>
  <c r="G250" i="25"/>
  <c r="D251" i="54" s="1"/>
  <c r="E251" i="54" s="1"/>
  <c r="G156" i="25"/>
  <c r="D157" i="54" s="1"/>
  <c r="E157" i="54" s="1"/>
  <c r="G84" i="25"/>
  <c r="D85" i="54" s="1"/>
  <c r="E85" i="54" s="1"/>
  <c r="G270" i="25"/>
  <c r="D271" i="54" s="1"/>
  <c r="E271" i="54" s="1"/>
  <c r="G172" i="25"/>
  <c r="D173" i="54" s="1"/>
  <c r="E173" i="54" s="1"/>
  <c r="G286" i="25"/>
  <c r="D287" i="54" s="1"/>
  <c r="G275" i="25"/>
  <c r="D276" i="54" s="1"/>
  <c r="E276" i="54" s="1"/>
  <c r="G175" i="25"/>
  <c r="D176" i="54" s="1"/>
  <c r="E176" i="54" s="1"/>
  <c r="G111" i="25"/>
  <c r="D112" i="54" s="1"/>
  <c r="E112" i="54" s="1"/>
  <c r="G14" i="25"/>
  <c r="D15" i="54" s="1"/>
  <c r="E15" i="54" s="1"/>
  <c r="G249" i="25"/>
  <c r="D250" i="54" s="1"/>
  <c r="E250" i="54" s="1"/>
  <c r="G20" i="25"/>
  <c r="D21" i="54" s="1"/>
  <c r="E21" i="54" s="1"/>
  <c r="G232" i="25"/>
  <c r="D233" i="54" s="1"/>
  <c r="E233" i="54" s="1"/>
  <c r="G103" i="25"/>
  <c r="D104" i="54" s="1"/>
  <c r="E104" i="54" s="1"/>
  <c r="G296" i="25"/>
  <c r="D297" i="54" s="1"/>
  <c r="E297" i="54" s="1"/>
  <c r="G247" i="25"/>
  <c r="D248" i="54" s="1"/>
  <c r="E248" i="54" s="1"/>
  <c r="G207" i="25"/>
  <c r="D208" i="54" s="1"/>
  <c r="E208" i="54" s="1"/>
  <c r="G238" i="25"/>
  <c r="D239" i="54" s="1"/>
  <c r="E239" i="54" s="1"/>
  <c r="G95" i="25"/>
  <c r="D96" i="54" s="1"/>
  <c r="E96" i="54" s="1"/>
  <c r="G246" i="25"/>
  <c r="D247" i="54" s="1"/>
  <c r="E247" i="54" s="1"/>
  <c r="G261" i="25"/>
  <c r="D262" i="54" s="1"/>
  <c r="E262" i="54" s="1"/>
  <c r="G127" i="25"/>
  <c r="D128" i="54" s="1"/>
  <c r="E128" i="54" s="1"/>
  <c r="G189" i="25"/>
  <c r="D190" i="54" s="1"/>
  <c r="E190" i="54" s="1"/>
  <c r="G125" i="25"/>
  <c r="D126" i="54" s="1"/>
  <c r="E126" i="54" s="1"/>
  <c r="G61" i="25"/>
  <c r="D62" i="54" s="1"/>
  <c r="E62" i="54" s="1"/>
  <c r="G211" i="25"/>
  <c r="D212" i="54" s="1"/>
  <c r="E212" i="54" s="1"/>
  <c r="G147" i="25"/>
  <c r="D148" i="54" s="1"/>
  <c r="E148" i="54" s="1"/>
  <c r="G83" i="25"/>
  <c r="D84" i="54" s="1"/>
  <c r="E84" i="54" s="1"/>
  <c r="G19" i="25"/>
  <c r="D20" i="54" s="1"/>
  <c r="E20" i="54" s="1"/>
  <c r="G130" i="25"/>
  <c r="D131" i="54" s="1"/>
  <c r="E131" i="54" s="1"/>
  <c r="G66" i="25"/>
  <c r="D67" i="54" s="1"/>
  <c r="E67" i="54" s="1"/>
  <c r="G225" i="25"/>
  <c r="D226" i="54" s="1"/>
  <c r="E226" i="54" s="1"/>
  <c r="G161" i="25"/>
  <c r="D162" i="54" s="1"/>
  <c r="E162" i="54" s="1"/>
  <c r="G97" i="25"/>
  <c r="D98" i="54" s="1"/>
  <c r="E98" i="54" s="1"/>
  <c r="G33" i="25"/>
  <c r="D34" i="54" s="1"/>
  <c r="E34" i="54" s="1"/>
  <c r="G168" i="25"/>
  <c r="D169" i="54" s="1"/>
  <c r="E169" i="54" s="1"/>
  <c r="G104" i="25"/>
  <c r="D105" i="54" s="1"/>
  <c r="E105" i="54" s="1"/>
  <c r="G40" i="25"/>
  <c r="D41" i="54" s="1"/>
  <c r="E41" i="54" s="1"/>
  <c r="G15" i="25"/>
  <c r="D16" i="54" s="1"/>
  <c r="E16" i="54" s="1"/>
  <c r="G252" i="25"/>
  <c r="D253" i="54" s="1"/>
  <c r="G235" i="25"/>
  <c r="D236" i="54" s="1"/>
  <c r="E236" i="54" s="1"/>
  <c r="G294" i="25"/>
  <c r="D295" i="54" s="1"/>
  <c r="E295" i="54" s="1"/>
  <c r="G242" i="25"/>
  <c r="D243" i="54" s="1"/>
  <c r="E243" i="54" s="1"/>
  <c r="G198" i="25"/>
  <c r="D199" i="54" s="1"/>
  <c r="E199" i="54" s="1"/>
  <c r="G276" i="25"/>
  <c r="D277" i="54" s="1"/>
  <c r="E277" i="54" s="1"/>
  <c r="G260" i="25"/>
  <c r="D261" i="54" s="1"/>
  <c r="E261" i="54" s="1"/>
  <c r="G302" i="25"/>
  <c r="D303" i="54" s="1"/>
  <c r="E303" i="54" s="1"/>
  <c r="G284" i="25"/>
  <c r="D285" i="54" s="1"/>
  <c r="E285" i="54" s="1"/>
  <c r="G267" i="25"/>
  <c r="D268" i="54" s="1"/>
  <c r="E268" i="54" s="1"/>
  <c r="G174" i="25"/>
  <c r="D175" i="54" s="1"/>
  <c r="E175" i="54" s="1"/>
  <c r="G110" i="25"/>
  <c r="G234" i="25"/>
  <c r="D235" i="54" s="1"/>
  <c r="E235" i="54" s="1"/>
  <c r="G241" i="25"/>
  <c r="D242" i="54" s="1"/>
  <c r="E242" i="54" s="1"/>
  <c r="G288" i="25"/>
  <c r="D289" i="54" s="1"/>
  <c r="E289" i="54" s="1"/>
  <c r="G210" i="25"/>
  <c r="D211" i="54" s="1"/>
  <c r="E211" i="54" s="1"/>
  <c r="G102" i="25"/>
  <c r="D103" i="54" s="1"/>
  <c r="E103" i="54" s="1"/>
  <c r="G303" i="25"/>
  <c r="D304" i="54" s="1"/>
  <c r="E304" i="54" s="1"/>
  <c r="G239" i="25"/>
  <c r="D240" i="54" s="1"/>
  <c r="E240" i="54" s="1"/>
  <c r="G206" i="25"/>
  <c r="D207" i="54" s="1"/>
  <c r="E207" i="54" s="1"/>
  <c r="G226" i="25"/>
  <c r="D227" i="54" s="1"/>
  <c r="E227" i="54" s="1"/>
  <c r="G94" i="25"/>
  <c r="D95" i="54" s="1"/>
  <c r="E95" i="54" s="1"/>
  <c r="G227" i="25"/>
  <c r="D228" i="54" s="1"/>
  <c r="E228" i="54" s="1"/>
  <c r="G253" i="25"/>
  <c r="D254" i="54" s="1"/>
  <c r="E254" i="54" s="1"/>
  <c r="G126" i="25"/>
  <c r="D127" i="54" s="1"/>
  <c r="E127" i="54" s="1"/>
  <c r="G181" i="25"/>
  <c r="D182" i="54" s="1"/>
  <c r="E182" i="54" s="1"/>
  <c r="G117" i="25"/>
  <c r="D118" i="54" s="1"/>
  <c r="E118" i="54" s="1"/>
  <c r="G53" i="25"/>
  <c r="D54" i="54" s="1"/>
  <c r="E54" i="54" s="1"/>
  <c r="G203" i="25"/>
  <c r="D204" i="54" s="1"/>
  <c r="E204" i="54" s="1"/>
  <c r="G139" i="25"/>
  <c r="D140" i="54" s="1"/>
  <c r="E140" i="54" s="1"/>
  <c r="G75" i="25"/>
  <c r="D76" i="54" s="1"/>
  <c r="E76" i="54" s="1"/>
  <c r="G11" i="25"/>
  <c r="D12" i="54" s="1"/>
  <c r="E12" i="54" s="1"/>
  <c r="G122" i="25"/>
  <c r="D123" i="54" s="1"/>
  <c r="E123" i="54" s="1"/>
  <c r="G58" i="25"/>
  <c r="D59" i="54" s="1"/>
  <c r="E59" i="54" s="1"/>
  <c r="G217" i="25"/>
  <c r="D218" i="54" s="1"/>
  <c r="E218" i="54" s="1"/>
  <c r="G153" i="25"/>
  <c r="D154" i="54" s="1"/>
  <c r="E154" i="54" s="1"/>
  <c r="G89" i="25"/>
  <c r="D90" i="54" s="1"/>
  <c r="E90" i="54" s="1"/>
  <c r="G25" i="25"/>
  <c r="D26" i="54" s="1"/>
  <c r="E26" i="54" s="1"/>
  <c r="G160" i="25"/>
  <c r="D161" i="54" s="1"/>
  <c r="E161" i="54" s="1"/>
  <c r="G96" i="25"/>
  <c r="D97" i="54" s="1"/>
  <c r="E97" i="54" s="1"/>
  <c r="G32" i="25"/>
  <c r="D33" i="54" s="1"/>
  <c r="E33" i="54" s="1"/>
  <c r="G7" i="25"/>
  <c r="D8" i="54" s="1"/>
  <c r="E8" i="54" s="1"/>
  <c r="G298" i="25"/>
  <c r="D299" i="54" s="1"/>
  <c r="E299" i="54" s="1"/>
  <c r="G196" i="25"/>
  <c r="D197" i="54" s="1"/>
  <c r="E197" i="54" s="1"/>
  <c r="G292" i="25"/>
  <c r="D293" i="54" s="1"/>
  <c r="E293" i="54" s="1"/>
  <c r="G282" i="25"/>
  <c r="D283" i="54" s="1"/>
  <c r="E283" i="54" s="1"/>
  <c r="G259" i="25"/>
  <c r="D260" i="54" s="1"/>
  <c r="E260" i="54" s="1"/>
  <c r="G164" i="25"/>
  <c r="D165" i="54" s="1"/>
  <c r="E165" i="54" s="1"/>
  <c r="G108" i="25"/>
  <c r="D109" i="54" s="1"/>
  <c r="E109" i="54" s="1"/>
  <c r="G297" i="25"/>
  <c r="D298" i="54" s="1"/>
  <c r="E298" i="54" s="1"/>
  <c r="G233" i="25"/>
  <c r="D234" i="54" s="1"/>
  <c r="E234" i="54" s="1"/>
  <c r="G280" i="25"/>
  <c r="D281" i="54" s="1"/>
  <c r="E281" i="54" s="1"/>
  <c r="G208" i="25"/>
  <c r="D209" i="54" s="1"/>
  <c r="E209" i="54" s="1"/>
  <c r="G100" i="25"/>
  <c r="D101" i="54" s="1"/>
  <c r="E101" i="54" s="1"/>
  <c r="G295" i="25"/>
  <c r="D296" i="54" s="1"/>
  <c r="E296" i="54" s="1"/>
  <c r="G231" i="25"/>
  <c r="D232" i="54" s="1"/>
  <c r="E232" i="54" s="1"/>
  <c r="G191" i="25"/>
  <c r="D192" i="54" s="1"/>
  <c r="E192" i="54" s="1"/>
  <c r="G224" i="25"/>
  <c r="D225" i="54" s="1"/>
  <c r="E225" i="54" s="1"/>
  <c r="G92" i="25"/>
  <c r="D93" i="54" s="1"/>
  <c r="E93" i="54" s="1"/>
  <c r="G215" i="25"/>
  <c r="D216" i="54" s="1"/>
  <c r="E216" i="54" s="1"/>
  <c r="G245" i="25"/>
  <c r="D246" i="54" s="1"/>
  <c r="E246" i="54" s="1"/>
  <c r="G36" i="25"/>
  <c r="D37" i="54" s="1"/>
  <c r="E37" i="54" s="1"/>
  <c r="G173" i="25"/>
  <c r="D174" i="54" s="1"/>
  <c r="E174" i="54" s="1"/>
  <c r="G109" i="25"/>
  <c r="D110" i="54" s="1"/>
  <c r="E110" i="54" s="1"/>
  <c r="G45" i="25"/>
  <c r="D46" i="54" s="1"/>
  <c r="E46" i="54" s="1"/>
  <c r="G195" i="25"/>
  <c r="D196" i="54" s="1"/>
  <c r="E196" i="54" s="1"/>
  <c r="G131" i="25"/>
  <c r="D132" i="54" s="1"/>
  <c r="E132" i="54" s="1"/>
  <c r="G67" i="25"/>
  <c r="D68" i="54" s="1"/>
  <c r="E68" i="54" s="1"/>
  <c r="G178" i="25"/>
  <c r="D179" i="54" s="1"/>
  <c r="E179" i="54" s="1"/>
  <c r="G114" i="25"/>
  <c r="D115" i="54" s="1"/>
  <c r="E115" i="54" s="1"/>
  <c r="G50" i="25"/>
  <c r="D51" i="54" s="1"/>
  <c r="E51" i="54" s="1"/>
  <c r="G209" i="25"/>
  <c r="D210" i="54" s="1"/>
  <c r="E210" i="54" s="1"/>
  <c r="G145" i="25"/>
  <c r="D146" i="54" s="1"/>
  <c r="E146" i="54" s="1"/>
  <c r="G81" i="25"/>
  <c r="D82" i="54" s="1"/>
  <c r="E82" i="54" s="1"/>
  <c r="G17" i="25"/>
  <c r="D18" i="54" s="1"/>
  <c r="E18" i="54" s="1"/>
  <c r="G152" i="25"/>
  <c r="D153" i="54" s="1"/>
  <c r="E153" i="54" s="1"/>
  <c r="G88" i="25"/>
  <c r="D89" i="54" s="1"/>
  <c r="E89" i="54" s="1"/>
  <c r="G24" i="25"/>
  <c r="D25" i="54" s="1"/>
  <c r="E25" i="54" s="1"/>
  <c r="G299" i="25"/>
  <c r="D300" i="54" s="1"/>
  <c r="E300" i="54" s="1"/>
  <c r="G87" i="25"/>
  <c r="D88" i="54" s="1"/>
  <c r="E88" i="54" s="1"/>
  <c r="G86" i="25"/>
  <c r="D87" i="54" s="1"/>
  <c r="E87" i="54" s="1"/>
  <c r="G283" i="25"/>
  <c r="D284" i="54" s="1"/>
  <c r="E284" i="54" s="1"/>
  <c r="G38" i="25"/>
  <c r="D39" i="54" s="1"/>
  <c r="E39" i="54" s="1"/>
  <c r="G300" i="25"/>
  <c r="D301" i="54" s="1"/>
  <c r="E301" i="54" s="1"/>
  <c r="G274" i="25"/>
  <c r="D275" i="54" s="1"/>
  <c r="E275" i="54" s="1"/>
  <c r="G244" i="25"/>
  <c r="D245" i="54" s="1"/>
  <c r="E245" i="54" s="1"/>
  <c r="G268" i="25"/>
  <c r="D269" i="54" s="1"/>
  <c r="E269" i="54" s="1"/>
  <c r="G118" i="25"/>
  <c r="D119" i="54" s="1"/>
  <c r="E119" i="54" s="1"/>
  <c r="G290" i="25"/>
  <c r="D291" i="54" s="1"/>
  <c r="E291" i="54" s="1"/>
  <c r="G182" i="25"/>
  <c r="D183" i="54" s="1"/>
  <c r="E183" i="54" s="1"/>
  <c r="G251" i="25"/>
  <c r="D252" i="54" s="1"/>
  <c r="E252" i="54" s="1"/>
  <c r="G44" i="25"/>
  <c r="D45" i="54" s="1"/>
  <c r="E45" i="54" s="1"/>
  <c r="G79" i="25"/>
  <c r="D80" i="54" s="1"/>
  <c r="E80" i="54" s="1"/>
  <c r="G289" i="25"/>
  <c r="D290" i="54" s="1"/>
  <c r="E290" i="54" s="1"/>
  <c r="G202" i="25"/>
  <c r="D203" i="54" s="1"/>
  <c r="E203" i="54" s="1"/>
  <c r="G272" i="25"/>
  <c r="D273" i="54" s="1"/>
  <c r="E273" i="54" s="1"/>
  <c r="G204" i="25"/>
  <c r="D205" i="54" s="1"/>
  <c r="E205" i="54" s="1"/>
  <c r="G71" i="25"/>
  <c r="D72" i="54" s="1"/>
  <c r="E72" i="54" s="1"/>
  <c r="G287" i="25"/>
  <c r="D288" i="54" s="1"/>
  <c r="E288" i="54" s="1"/>
  <c r="G230" i="25"/>
  <c r="D231" i="54" s="1"/>
  <c r="E231" i="54" s="1"/>
  <c r="G190" i="25"/>
  <c r="D191" i="54" s="1"/>
  <c r="E191" i="54" s="1"/>
  <c r="G220" i="25"/>
  <c r="D221" i="54" s="1"/>
  <c r="E221" i="54" s="1"/>
  <c r="G63" i="25"/>
  <c r="D64" i="54" s="1"/>
  <c r="E64" i="54" s="1"/>
  <c r="G301" i="25"/>
  <c r="D302" i="54" s="1"/>
  <c r="E302" i="54" s="1"/>
  <c r="G237" i="25"/>
  <c r="D238" i="54" s="1"/>
  <c r="E238" i="54" s="1"/>
  <c r="G229" i="25"/>
  <c r="D230" i="54" s="1"/>
  <c r="E230" i="54" s="1"/>
  <c r="G165" i="25"/>
  <c r="D166" i="54" s="1"/>
  <c r="E166" i="54" s="1"/>
  <c r="G101" i="25"/>
  <c r="D102" i="54" s="1"/>
  <c r="E102" i="54" s="1"/>
  <c r="G37" i="25"/>
  <c r="D38" i="54" s="1"/>
  <c r="E38" i="54" s="1"/>
  <c r="G187" i="25"/>
  <c r="D188" i="54" s="1"/>
  <c r="E188" i="54" s="1"/>
  <c r="G123" i="25"/>
  <c r="D124" i="54" s="1"/>
  <c r="E124" i="54" s="1"/>
  <c r="G59" i="25"/>
  <c r="D60" i="54" s="1"/>
  <c r="E60" i="54" s="1"/>
  <c r="G170" i="25"/>
  <c r="D171" i="54" s="1"/>
  <c r="E171" i="54" s="1"/>
  <c r="G106" i="25"/>
  <c r="D107" i="54" s="1"/>
  <c r="E107" i="54" s="1"/>
  <c r="G42" i="25"/>
  <c r="D43" i="54" s="1"/>
  <c r="E43" i="54" s="1"/>
  <c r="G201" i="25"/>
  <c r="D202" i="54" s="1"/>
  <c r="E202" i="54" s="1"/>
  <c r="G137" i="25"/>
  <c r="D138" i="54" s="1"/>
  <c r="E138" i="54" s="1"/>
  <c r="G73" i="25"/>
  <c r="D74" i="54" s="1"/>
  <c r="E74" i="54" s="1"/>
  <c r="G9" i="25"/>
  <c r="D10" i="54" s="1"/>
  <c r="E10" i="54" s="1"/>
  <c r="G144" i="25"/>
  <c r="D145" i="54" s="1"/>
  <c r="E145" i="54" s="1"/>
  <c r="G80" i="25"/>
  <c r="D81" i="54" s="1"/>
  <c r="E81" i="54" s="1"/>
  <c r="G16" i="25"/>
  <c r="D17" i="54" s="1"/>
  <c r="E17" i="54" s="1"/>
  <c r="F22" i="48"/>
  <c r="F24" i="48" s="1"/>
  <c r="D163" i="54"/>
  <c r="E163" i="54" s="1"/>
  <c r="D91" i="54"/>
  <c r="E91" i="54" s="1"/>
  <c r="D224" i="54"/>
  <c r="E224" i="54" s="1"/>
  <c r="D215" i="54"/>
  <c r="E215" i="54" s="1"/>
  <c r="I12" i="9"/>
  <c r="G5" i="25" s="1"/>
  <c r="H312" i="9"/>
  <c r="E201" i="54" l="1"/>
  <c r="D61" i="48" s="1"/>
  <c r="D60" i="48"/>
  <c r="E253" i="54"/>
  <c r="D111" i="54"/>
  <c r="E111" i="54" s="1"/>
  <c r="D6" i="12"/>
  <c r="E6" i="39"/>
  <c r="D6" i="54"/>
  <c r="I312" i="9"/>
  <c r="D306" i="12" s="1"/>
  <c r="D306" i="54" l="1"/>
  <c r="E6" i="54"/>
  <c r="E306" i="54" s="1"/>
  <c r="G305" i="25"/>
  <c r="C306" i="54" l="1"/>
  <c r="D6" i="34" l="1"/>
  <c r="F306" i="54" l="1"/>
  <c r="G306" i="12" l="1"/>
  <c r="G11" i="34"/>
  <c r="C5" i="34"/>
  <c r="D5" i="34" s="1"/>
  <c r="D8" i="34" s="1"/>
  <c r="J11" i="34" s="1"/>
  <c r="J90" i="34" l="1"/>
  <c r="H84" i="12" s="1"/>
  <c r="I84" i="12" s="1"/>
  <c r="J98" i="34"/>
  <c r="H92" i="12" s="1"/>
  <c r="I92" i="12" s="1"/>
  <c r="J114" i="34"/>
  <c r="H108" i="12" s="1"/>
  <c r="I108" i="12" s="1"/>
  <c r="J122" i="34"/>
  <c r="H116" i="12" s="1"/>
  <c r="I116" i="12" s="1"/>
  <c r="J130" i="34"/>
  <c r="H124" i="12" s="1"/>
  <c r="I124" i="12" s="1"/>
  <c r="J138" i="34"/>
  <c r="H132" i="12" s="1"/>
  <c r="I132" i="12" s="1"/>
  <c r="J146" i="34"/>
  <c r="H140" i="12" s="1"/>
  <c r="I140" i="12" s="1"/>
  <c r="J13" i="34"/>
  <c r="H7" i="12" s="1"/>
  <c r="I7" i="12" s="1"/>
  <c r="J21" i="34"/>
  <c r="H15" i="12" s="1"/>
  <c r="I15" i="12" s="1"/>
  <c r="J29" i="34"/>
  <c r="H23" i="12" s="1"/>
  <c r="I23" i="12" s="1"/>
  <c r="J37" i="34"/>
  <c r="H31" i="12" s="1"/>
  <c r="I31" i="12" s="1"/>
  <c r="J45" i="34"/>
  <c r="H39" i="12" s="1"/>
  <c r="I39" i="12" s="1"/>
  <c r="J53" i="34"/>
  <c r="H47" i="12" s="1"/>
  <c r="I47" i="12" s="1"/>
  <c r="J61" i="34"/>
  <c r="H55" i="12" s="1"/>
  <c r="I55" i="12" s="1"/>
  <c r="J69" i="34"/>
  <c r="H63" i="12" s="1"/>
  <c r="I63" i="12" s="1"/>
  <c r="J77" i="34"/>
  <c r="H71" i="12" s="1"/>
  <c r="I71" i="12" s="1"/>
  <c r="J85" i="34"/>
  <c r="H79" i="12" s="1"/>
  <c r="I79" i="12" s="1"/>
  <c r="J93" i="34"/>
  <c r="H87" i="12" s="1"/>
  <c r="I87" i="12" s="1"/>
  <c r="J101" i="34"/>
  <c r="H95" i="12" s="1"/>
  <c r="I95" i="12" s="1"/>
  <c r="J109" i="34"/>
  <c r="H103" i="12" s="1"/>
  <c r="I103" i="12" s="1"/>
  <c r="J117" i="34"/>
  <c r="H111" i="12" s="1"/>
  <c r="I111" i="12" s="1"/>
  <c r="J125" i="34"/>
  <c r="H119" i="12" s="1"/>
  <c r="I119" i="12" s="1"/>
  <c r="J133" i="34"/>
  <c r="H127" i="12" s="1"/>
  <c r="I127" i="12" s="1"/>
  <c r="J141" i="34"/>
  <c r="H135" i="12" s="1"/>
  <c r="I135" i="12" s="1"/>
  <c r="J149" i="34"/>
  <c r="H143" i="12" s="1"/>
  <c r="I143" i="12" s="1"/>
  <c r="J157" i="34"/>
  <c r="H151" i="12" s="1"/>
  <c r="I151" i="12" s="1"/>
  <c r="J165" i="34"/>
  <c r="H159" i="12" s="1"/>
  <c r="I159" i="12" s="1"/>
  <c r="J173" i="34"/>
  <c r="H167" i="12" s="1"/>
  <c r="I167" i="12" s="1"/>
  <c r="J14" i="34"/>
  <c r="H8" i="12" s="1"/>
  <c r="I8" i="12" s="1"/>
  <c r="J22" i="34"/>
  <c r="H16" i="12" s="1"/>
  <c r="I16" i="12" s="1"/>
  <c r="J46" i="34"/>
  <c r="H40" i="12" s="1"/>
  <c r="I40" i="12" s="1"/>
  <c r="J54" i="34"/>
  <c r="H48" i="12" s="1"/>
  <c r="I48" i="12" s="1"/>
  <c r="J62" i="34"/>
  <c r="H56" i="12" s="1"/>
  <c r="I56" i="12" s="1"/>
  <c r="J70" i="34"/>
  <c r="H64" i="12" s="1"/>
  <c r="I64" i="12" s="1"/>
  <c r="J78" i="34"/>
  <c r="H72" i="12" s="1"/>
  <c r="I72" i="12" s="1"/>
  <c r="J86" i="34"/>
  <c r="H80" i="12" s="1"/>
  <c r="I80" i="12" s="1"/>
  <c r="J94" i="34"/>
  <c r="H88" i="12" s="1"/>
  <c r="I88" i="12" s="1"/>
  <c r="J102" i="34"/>
  <c r="H96" i="12" s="1"/>
  <c r="I96" i="12" s="1"/>
  <c r="J142" i="34"/>
  <c r="H136" i="12" s="1"/>
  <c r="I136" i="12" s="1"/>
  <c r="J150" i="34"/>
  <c r="H144" i="12" s="1"/>
  <c r="I144" i="12" s="1"/>
  <c r="J158" i="34"/>
  <c r="H152" i="12" s="1"/>
  <c r="I152" i="12" s="1"/>
  <c r="J166" i="34"/>
  <c r="H160" i="12" s="1"/>
  <c r="I160" i="12" s="1"/>
  <c r="J23" i="34"/>
  <c r="H17" i="12" s="1"/>
  <c r="I17" i="12" s="1"/>
  <c r="J31" i="34"/>
  <c r="H25" i="12" s="1"/>
  <c r="I25" i="12" s="1"/>
  <c r="J55" i="34"/>
  <c r="H49" i="12" s="1"/>
  <c r="I49" i="12" s="1"/>
  <c r="J63" i="34"/>
  <c r="H57" i="12" s="1"/>
  <c r="I57" i="12" s="1"/>
  <c r="J71" i="34"/>
  <c r="H65" i="12" s="1"/>
  <c r="I65" i="12" s="1"/>
  <c r="J79" i="34"/>
  <c r="H73" i="12" s="1"/>
  <c r="I73" i="12" s="1"/>
  <c r="J87" i="34"/>
  <c r="H81" i="12" s="1"/>
  <c r="I81" i="12" s="1"/>
  <c r="J103" i="34"/>
  <c r="H97" i="12" s="1"/>
  <c r="I97" i="12" s="1"/>
  <c r="J151" i="34"/>
  <c r="H145" i="12" s="1"/>
  <c r="I145" i="12" s="1"/>
  <c r="J159" i="34"/>
  <c r="H153" i="12" s="1"/>
  <c r="I153" i="12" s="1"/>
  <c r="J167" i="34"/>
  <c r="H161" i="12" s="1"/>
  <c r="I161" i="12" s="1"/>
  <c r="J175" i="34"/>
  <c r="H169" i="12" s="1"/>
  <c r="I169" i="12" s="1"/>
  <c r="J182" i="34"/>
  <c r="H176" i="12" s="1"/>
  <c r="I176" i="12" s="1"/>
  <c r="J185" i="34"/>
  <c r="H179" i="12" s="1"/>
  <c r="I179" i="12" s="1"/>
  <c r="J184" i="34"/>
  <c r="H178" i="12" s="1"/>
  <c r="I178" i="12" s="1"/>
  <c r="J191" i="34"/>
  <c r="H185" i="12" s="1"/>
  <c r="I185" i="12" s="1"/>
  <c r="J207" i="34"/>
  <c r="H201" i="12" s="1"/>
  <c r="I201" i="12" s="1"/>
  <c r="J223" i="34"/>
  <c r="H217" i="12" s="1"/>
  <c r="I217" i="12" s="1"/>
  <c r="J239" i="34"/>
  <c r="H233" i="12" s="1"/>
  <c r="I233" i="12" s="1"/>
  <c r="J246" i="34"/>
  <c r="H240" i="12" s="1"/>
  <c r="I240" i="12" s="1"/>
  <c r="J254" i="34"/>
  <c r="H248" i="12" s="1"/>
  <c r="I248" i="12" s="1"/>
  <c r="J262" i="34"/>
  <c r="H256" i="12" s="1"/>
  <c r="I256" i="12" s="1"/>
  <c r="J270" i="34"/>
  <c r="H264" i="12" s="1"/>
  <c r="I264" i="12" s="1"/>
  <c r="J278" i="34"/>
  <c r="H272" i="12" s="1"/>
  <c r="I272" i="12" s="1"/>
  <c r="J286" i="34"/>
  <c r="H280" i="12" s="1"/>
  <c r="I280" i="12" s="1"/>
  <c r="J294" i="34"/>
  <c r="H288" i="12" s="1"/>
  <c r="I288" i="12" s="1"/>
  <c r="J302" i="34"/>
  <c r="H296" i="12" s="1"/>
  <c r="I296" i="12" s="1"/>
  <c r="J310" i="34"/>
  <c r="H304" i="12" s="1"/>
  <c r="I304" i="12" s="1"/>
  <c r="J192" i="34"/>
  <c r="H186" i="12" s="1"/>
  <c r="I186" i="12" s="1"/>
  <c r="J208" i="34"/>
  <c r="H202" i="12" s="1"/>
  <c r="I202" i="12" s="1"/>
  <c r="J224" i="34"/>
  <c r="H218" i="12" s="1"/>
  <c r="I218" i="12" s="1"/>
  <c r="J240" i="34"/>
  <c r="H234" i="12" s="1"/>
  <c r="I234" i="12" s="1"/>
  <c r="J19" i="34"/>
  <c r="H13" i="12" s="1"/>
  <c r="I13" i="12" s="1"/>
  <c r="J20" i="34"/>
  <c r="H14" i="12" s="1"/>
  <c r="I14" i="12" s="1"/>
  <c r="J35" i="34"/>
  <c r="H29" i="12" s="1"/>
  <c r="I29" i="12" s="1"/>
  <c r="J36" i="34"/>
  <c r="H30" i="12" s="1"/>
  <c r="I30" i="12" s="1"/>
  <c r="J51" i="34"/>
  <c r="H45" i="12" s="1"/>
  <c r="I45" i="12" s="1"/>
  <c r="J52" i="34"/>
  <c r="H46" i="12" s="1"/>
  <c r="I46" i="12" s="1"/>
  <c r="J67" i="34"/>
  <c r="H61" i="12" s="1"/>
  <c r="I61" i="12" s="1"/>
  <c r="J68" i="34"/>
  <c r="H62" i="12" s="1"/>
  <c r="I62" i="12" s="1"/>
  <c r="J83" i="34"/>
  <c r="H77" i="12" s="1"/>
  <c r="I77" i="12" s="1"/>
  <c r="J84" i="34"/>
  <c r="H78" i="12" s="1"/>
  <c r="I78" i="12" s="1"/>
  <c r="J99" i="34"/>
  <c r="H93" i="12" s="1"/>
  <c r="I93" i="12" s="1"/>
  <c r="J100" i="34"/>
  <c r="H94" i="12" s="1"/>
  <c r="I94" i="12" s="1"/>
  <c r="J115" i="34"/>
  <c r="H109" i="12" s="1"/>
  <c r="I109" i="12" s="1"/>
  <c r="J116" i="34"/>
  <c r="H110" i="12" s="1"/>
  <c r="I110" i="12" s="1"/>
  <c r="J131" i="34"/>
  <c r="H125" i="12" s="1"/>
  <c r="I125" i="12" s="1"/>
  <c r="J132" i="34"/>
  <c r="H126" i="12" s="1"/>
  <c r="I126" i="12" s="1"/>
  <c r="J147" i="34"/>
  <c r="H141" i="12" s="1"/>
  <c r="I141" i="12" s="1"/>
  <c r="J148" i="34"/>
  <c r="H142" i="12" s="1"/>
  <c r="I142" i="12" s="1"/>
  <c r="J193" i="34"/>
  <c r="H187" i="12" s="1"/>
  <c r="I187" i="12" s="1"/>
  <c r="J198" i="34"/>
  <c r="H192" i="12" s="1"/>
  <c r="I192" i="12" s="1"/>
  <c r="J209" i="34"/>
  <c r="H203" i="12" s="1"/>
  <c r="I203" i="12" s="1"/>
  <c r="J214" i="34"/>
  <c r="H208" i="12" s="1"/>
  <c r="I208" i="12" s="1"/>
  <c r="J225" i="34"/>
  <c r="H219" i="12" s="1"/>
  <c r="I219" i="12" s="1"/>
  <c r="J230" i="34"/>
  <c r="H224" i="12" s="1"/>
  <c r="I224" i="12" s="1"/>
  <c r="J241" i="34"/>
  <c r="H235" i="12" s="1"/>
  <c r="I235" i="12" s="1"/>
  <c r="J244" i="34"/>
  <c r="H238" i="12" s="1"/>
  <c r="I238" i="12" s="1"/>
  <c r="J252" i="34"/>
  <c r="H246" i="12" s="1"/>
  <c r="I246" i="12" s="1"/>
  <c r="J260" i="34"/>
  <c r="H254" i="12" s="1"/>
  <c r="I254" i="12" s="1"/>
  <c r="J268" i="34"/>
  <c r="H262" i="12" s="1"/>
  <c r="I262" i="12" s="1"/>
  <c r="J276" i="34"/>
  <c r="H270" i="12" s="1"/>
  <c r="I270" i="12" s="1"/>
  <c r="J284" i="34"/>
  <c r="H278" i="12" s="1"/>
  <c r="I278" i="12" s="1"/>
  <c r="J247" i="34"/>
  <c r="H241" i="12" s="1"/>
  <c r="I241" i="12" s="1"/>
  <c r="J255" i="34"/>
  <c r="H249" i="12" s="1"/>
  <c r="I249" i="12" s="1"/>
  <c r="J263" i="34"/>
  <c r="H257" i="12" s="1"/>
  <c r="I257" i="12" s="1"/>
  <c r="J271" i="34"/>
  <c r="H265" i="12" s="1"/>
  <c r="I265" i="12" s="1"/>
  <c r="J279" i="34"/>
  <c r="H273" i="12" s="1"/>
  <c r="I273" i="12" s="1"/>
  <c r="J287" i="34"/>
  <c r="H281" i="12" s="1"/>
  <c r="I281" i="12" s="1"/>
  <c r="J295" i="34"/>
  <c r="H289" i="12" s="1"/>
  <c r="I289" i="12" s="1"/>
  <c r="J303" i="34"/>
  <c r="H297" i="12" s="1"/>
  <c r="I297" i="12" s="1"/>
  <c r="J311" i="34"/>
  <c r="H305" i="12" s="1"/>
  <c r="I305" i="12" s="1"/>
  <c r="J199" i="34"/>
  <c r="H193" i="12" s="1"/>
  <c r="I193" i="12" s="1"/>
  <c r="J215" i="34"/>
  <c r="H209" i="12" s="1"/>
  <c r="I209" i="12" s="1"/>
  <c r="J231" i="34"/>
  <c r="H225" i="12" s="1"/>
  <c r="I225" i="12" s="1"/>
  <c r="J27" i="34"/>
  <c r="H21" i="12" s="1"/>
  <c r="I21" i="12" s="1"/>
  <c r="J28" i="34"/>
  <c r="H22" i="12" s="1"/>
  <c r="I22" i="12" s="1"/>
  <c r="J43" i="34"/>
  <c r="H37" i="12" s="1"/>
  <c r="I37" i="12" s="1"/>
  <c r="J44" i="34"/>
  <c r="H38" i="12" s="1"/>
  <c r="I38" i="12" s="1"/>
  <c r="J59" i="34"/>
  <c r="H53" i="12" s="1"/>
  <c r="I53" i="12" s="1"/>
  <c r="J60" i="34"/>
  <c r="H54" i="12" s="1"/>
  <c r="I54" i="12" s="1"/>
  <c r="J75" i="34"/>
  <c r="H69" i="12" s="1"/>
  <c r="I69" i="12" s="1"/>
  <c r="J76" i="34"/>
  <c r="H70" i="12" s="1"/>
  <c r="I70" i="12" s="1"/>
  <c r="J91" i="34"/>
  <c r="H85" i="12" s="1"/>
  <c r="I85" i="12" s="1"/>
  <c r="J92" i="34"/>
  <c r="H86" i="12" s="1"/>
  <c r="I86" i="12" s="1"/>
  <c r="J107" i="34"/>
  <c r="H101" i="12" s="1"/>
  <c r="I101" i="12" s="1"/>
  <c r="J108" i="34"/>
  <c r="H102" i="12" s="1"/>
  <c r="I102" i="12" s="1"/>
  <c r="J123" i="34"/>
  <c r="H117" i="12" s="1"/>
  <c r="I117" i="12" s="1"/>
  <c r="J124" i="34"/>
  <c r="H118" i="12" s="1"/>
  <c r="I118" i="12" s="1"/>
  <c r="J139" i="34"/>
  <c r="H133" i="12" s="1"/>
  <c r="I133" i="12" s="1"/>
  <c r="J140" i="34"/>
  <c r="H134" i="12" s="1"/>
  <c r="I134" i="12" s="1"/>
  <c r="J155" i="34"/>
  <c r="H149" i="12" s="1"/>
  <c r="I149" i="12" s="1"/>
  <c r="J156" i="34"/>
  <c r="H150" i="12" s="1"/>
  <c r="I150" i="12" s="1"/>
  <c r="J163" i="34"/>
  <c r="H157" i="12" s="1"/>
  <c r="I157" i="12" s="1"/>
  <c r="J164" i="34"/>
  <c r="H158" i="12" s="1"/>
  <c r="I158" i="12" s="1"/>
  <c r="J171" i="34"/>
  <c r="H165" i="12" s="1"/>
  <c r="I165" i="12" s="1"/>
  <c r="J172" i="34"/>
  <c r="H166" i="12" s="1"/>
  <c r="I166" i="12" s="1"/>
  <c r="J179" i="34"/>
  <c r="H173" i="12" s="1"/>
  <c r="I173" i="12" s="1"/>
  <c r="J180" i="34"/>
  <c r="H174" i="12" s="1"/>
  <c r="I174" i="12" s="1"/>
  <c r="J181" i="34"/>
  <c r="H175" i="12" s="1"/>
  <c r="I175" i="12" s="1"/>
  <c r="J183" i="34"/>
  <c r="H177" i="12" s="1"/>
  <c r="I177" i="12" s="1"/>
  <c r="J201" i="34"/>
  <c r="H195" i="12" s="1"/>
  <c r="I195" i="12" s="1"/>
  <c r="J217" i="34"/>
  <c r="H211" i="12" s="1"/>
  <c r="I211" i="12" s="1"/>
  <c r="J233" i="34"/>
  <c r="H227" i="12" s="1"/>
  <c r="I227" i="12" s="1"/>
  <c r="J248" i="34"/>
  <c r="H242" i="12" s="1"/>
  <c r="I242" i="12" s="1"/>
  <c r="J256" i="34"/>
  <c r="H250" i="12" s="1"/>
  <c r="I250" i="12" s="1"/>
  <c r="J264" i="34"/>
  <c r="H258" i="12" s="1"/>
  <c r="I258" i="12" s="1"/>
  <c r="J272" i="34"/>
  <c r="H266" i="12" s="1"/>
  <c r="I266" i="12" s="1"/>
  <c r="J280" i="34"/>
  <c r="H274" i="12" s="1"/>
  <c r="I274" i="12" s="1"/>
  <c r="J288" i="34"/>
  <c r="H282" i="12" s="1"/>
  <c r="I282" i="12" s="1"/>
  <c r="J296" i="34"/>
  <c r="H290" i="12" s="1"/>
  <c r="I290" i="12" s="1"/>
  <c r="J304" i="34"/>
  <c r="H298" i="12" s="1"/>
  <c r="I298" i="12" s="1"/>
  <c r="J232" i="34"/>
  <c r="H226" i="12" s="1"/>
  <c r="I226" i="12" s="1"/>
  <c r="J245" i="34"/>
  <c r="H239" i="12" s="1"/>
  <c r="I239" i="12" s="1"/>
  <c r="J261" i="34"/>
  <c r="H255" i="12" s="1"/>
  <c r="I255" i="12" s="1"/>
  <c r="J216" i="34"/>
  <c r="H210" i="12" s="1"/>
  <c r="I210" i="12" s="1"/>
  <c r="J277" i="34"/>
  <c r="H271" i="12" s="1"/>
  <c r="I271" i="12" s="1"/>
  <c r="J200" i="34"/>
  <c r="H194" i="12" s="1"/>
  <c r="I194" i="12" s="1"/>
  <c r="J253" i="34"/>
  <c r="H247" i="12" s="1"/>
  <c r="I247" i="12" s="1"/>
  <c r="J292" i="34"/>
  <c r="H286" i="12" s="1"/>
  <c r="I286" i="12" s="1"/>
  <c r="J293" i="34"/>
  <c r="H287" i="12" s="1"/>
  <c r="I287" i="12" s="1"/>
  <c r="J300" i="34"/>
  <c r="H294" i="12" s="1"/>
  <c r="I294" i="12" s="1"/>
  <c r="J301" i="34"/>
  <c r="H295" i="12" s="1"/>
  <c r="I295" i="12" s="1"/>
  <c r="J308" i="34"/>
  <c r="H302" i="12" s="1"/>
  <c r="I302" i="12" s="1"/>
  <c r="J309" i="34"/>
  <c r="H303" i="12" s="1"/>
  <c r="I303" i="12" s="1"/>
  <c r="J269" i="34"/>
  <c r="H263" i="12" s="1"/>
  <c r="I263" i="12" s="1"/>
  <c r="J285" i="34"/>
  <c r="H279" i="12" s="1"/>
  <c r="I279" i="12" s="1"/>
  <c r="J290" i="34"/>
  <c r="H284" i="12" s="1"/>
  <c r="I284" i="12" s="1"/>
  <c r="J229" i="34"/>
  <c r="H223" i="12" s="1"/>
  <c r="I223" i="12" s="1"/>
  <c r="J189" i="34"/>
  <c r="H183" i="12" s="1"/>
  <c r="I183" i="12" s="1"/>
  <c r="J282" i="34"/>
  <c r="H276" i="12" s="1"/>
  <c r="I276" i="12" s="1"/>
  <c r="J194" i="34"/>
  <c r="H188" i="12" s="1"/>
  <c r="I188" i="12" s="1"/>
  <c r="J273" i="34"/>
  <c r="H267" i="12" s="1"/>
  <c r="I267" i="12" s="1"/>
  <c r="J112" i="34"/>
  <c r="H106" i="12" s="1"/>
  <c r="I106" i="12" s="1"/>
  <c r="J120" i="34"/>
  <c r="H114" i="12" s="1"/>
  <c r="I114" i="12" s="1"/>
  <c r="J105" i="34"/>
  <c r="H99" i="12" s="1"/>
  <c r="I99" i="12" s="1"/>
  <c r="J161" i="34"/>
  <c r="H155" i="12" s="1"/>
  <c r="I155" i="12" s="1"/>
  <c r="J170" i="34"/>
  <c r="H164" i="12" s="1"/>
  <c r="I164" i="12" s="1"/>
  <c r="J50" i="34"/>
  <c r="H44" i="12" s="1"/>
  <c r="I44" i="12" s="1"/>
  <c r="J89" i="34"/>
  <c r="H83" i="12" s="1"/>
  <c r="I83" i="12" s="1"/>
  <c r="J57" i="34"/>
  <c r="H51" i="12" s="1"/>
  <c r="I51" i="12" s="1"/>
  <c r="J38" i="34"/>
  <c r="H32" i="12" s="1"/>
  <c r="I32" i="12" s="1"/>
  <c r="J15" i="34"/>
  <c r="H9" i="12" s="1"/>
  <c r="I9" i="12" s="1"/>
  <c r="J178" i="34"/>
  <c r="H172" i="12" s="1"/>
  <c r="I172" i="12" s="1"/>
  <c r="J226" i="34"/>
  <c r="H220" i="12" s="1"/>
  <c r="I220" i="12" s="1"/>
  <c r="J190" i="34"/>
  <c r="H184" i="12" s="1"/>
  <c r="I184" i="12" s="1"/>
  <c r="J259" i="34"/>
  <c r="H253" i="12" s="1"/>
  <c r="I253" i="12" s="1"/>
  <c r="J145" i="34"/>
  <c r="H139" i="12" s="1"/>
  <c r="I139" i="12" s="1"/>
  <c r="J222" i="34"/>
  <c r="H216" i="12" s="1"/>
  <c r="I216" i="12" s="1"/>
  <c r="J251" i="34"/>
  <c r="H245" i="12" s="1"/>
  <c r="I245" i="12" s="1"/>
  <c r="J227" i="34"/>
  <c r="H221" i="12" s="1"/>
  <c r="I221" i="12" s="1"/>
  <c r="J204" i="34"/>
  <c r="H198" i="12" s="1"/>
  <c r="I198" i="12" s="1"/>
  <c r="J219" i="34"/>
  <c r="H213" i="12" s="1"/>
  <c r="I213" i="12" s="1"/>
  <c r="J104" i="34"/>
  <c r="H98" i="12" s="1"/>
  <c r="I98" i="12" s="1"/>
  <c r="J196" i="34"/>
  <c r="H190" i="12" s="1"/>
  <c r="I190" i="12" s="1"/>
  <c r="J160" i="34"/>
  <c r="H154" i="12" s="1"/>
  <c r="I154" i="12" s="1"/>
  <c r="J162" i="34"/>
  <c r="H156" i="12" s="1"/>
  <c r="I156" i="12" s="1"/>
  <c r="J42" i="34"/>
  <c r="H36" i="12" s="1"/>
  <c r="I36" i="12" s="1"/>
  <c r="J88" i="34"/>
  <c r="H82" i="12" s="1"/>
  <c r="I82" i="12" s="1"/>
  <c r="J56" i="34"/>
  <c r="H50" i="12" s="1"/>
  <c r="I50" i="12" s="1"/>
  <c r="J33" i="34"/>
  <c r="H27" i="12" s="1"/>
  <c r="I27" i="12" s="1"/>
  <c r="J136" i="34"/>
  <c r="H130" i="12" s="1"/>
  <c r="I130" i="12" s="1"/>
  <c r="J58" i="34"/>
  <c r="H52" i="12" s="1"/>
  <c r="I52" i="12" s="1"/>
  <c r="J275" i="34"/>
  <c r="H269" i="12" s="1"/>
  <c r="I269" i="12" s="1"/>
  <c r="J113" i="34"/>
  <c r="H107" i="12" s="1"/>
  <c r="I107" i="12" s="1"/>
  <c r="J258" i="34"/>
  <c r="H252" i="12" s="1"/>
  <c r="I252" i="12" s="1"/>
  <c r="J129" i="34"/>
  <c r="H123" i="12" s="1"/>
  <c r="I123" i="12" s="1"/>
  <c r="J206" i="34"/>
  <c r="H200" i="12" s="1"/>
  <c r="I200" i="12" s="1"/>
  <c r="J267" i="34"/>
  <c r="H261" i="12" s="1"/>
  <c r="I261" i="12" s="1"/>
  <c r="J221" i="34"/>
  <c r="H215" i="12" s="1"/>
  <c r="I215" i="12" s="1"/>
  <c r="J250" i="34"/>
  <c r="H244" i="12" s="1"/>
  <c r="I244" i="12" s="1"/>
  <c r="J307" i="34"/>
  <c r="H301" i="12" s="1"/>
  <c r="I301" i="12" s="1"/>
  <c r="J234" i="34"/>
  <c r="H228" i="12" s="1"/>
  <c r="I228" i="12" s="1"/>
  <c r="J126" i="34"/>
  <c r="H120" i="12" s="1"/>
  <c r="I120" i="12" s="1"/>
  <c r="J154" i="34"/>
  <c r="H148" i="12" s="1"/>
  <c r="I148" i="12" s="1"/>
  <c r="J34" i="34"/>
  <c r="H28" i="12" s="1"/>
  <c r="I28" i="12" s="1"/>
  <c r="J81" i="34"/>
  <c r="H75" i="12" s="1"/>
  <c r="I75" i="12" s="1"/>
  <c r="J49" i="34"/>
  <c r="H43" i="12" s="1"/>
  <c r="I43" i="12" s="1"/>
  <c r="J32" i="34"/>
  <c r="H26" i="12" s="1"/>
  <c r="I26" i="12" s="1"/>
  <c r="J168" i="34"/>
  <c r="H162" i="12" s="1"/>
  <c r="I162" i="12" s="1"/>
  <c r="J64" i="34"/>
  <c r="H58" i="12" s="1"/>
  <c r="I58" i="12" s="1"/>
  <c r="J274" i="34"/>
  <c r="H268" i="12" s="1"/>
  <c r="I268" i="12" s="1"/>
  <c r="J205" i="34"/>
  <c r="H199" i="12" s="1"/>
  <c r="I199" i="12" s="1"/>
  <c r="J266" i="34"/>
  <c r="H260" i="12" s="1"/>
  <c r="I260" i="12" s="1"/>
  <c r="J299" i="34"/>
  <c r="H293" i="12" s="1"/>
  <c r="I293" i="12" s="1"/>
  <c r="J238" i="34"/>
  <c r="H232" i="12" s="1"/>
  <c r="I232" i="12" s="1"/>
  <c r="J211" i="34"/>
  <c r="H205" i="12" s="1"/>
  <c r="I205" i="12" s="1"/>
  <c r="J236" i="34"/>
  <c r="H230" i="12" s="1"/>
  <c r="I230" i="12" s="1"/>
  <c r="J203" i="34"/>
  <c r="H197" i="12" s="1"/>
  <c r="I197" i="12" s="1"/>
  <c r="J218" i="34"/>
  <c r="H212" i="12" s="1"/>
  <c r="I212" i="12" s="1"/>
  <c r="J228" i="34"/>
  <c r="H222" i="12" s="1"/>
  <c r="I222" i="12" s="1"/>
  <c r="J177" i="34"/>
  <c r="H171" i="12" s="1"/>
  <c r="I171" i="12" s="1"/>
  <c r="J110" i="34"/>
  <c r="H104" i="12" s="1"/>
  <c r="I104" i="12" s="1"/>
  <c r="J106" i="34"/>
  <c r="H100" i="12" s="1"/>
  <c r="I100" i="12" s="1"/>
  <c r="J26" i="34"/>
  <c r="H20" i="12" s="1"/>
  <c r="I20" i="12" s="1"/>
  <c r="J80" i="34"/>
  <c r="H74" i="12" s="1"/>
  <c r="I74" i="12" s="1"/>
  <c r="J48" i="34"/>
  <c r="H42" i="12" s="1"/>
  <c r="I42" i="12" s="1"/>
  <c r="J30" i="34"/>
  <c r="H24" i="12" s="1"/>
  <c r="I24" i="12" s="1"/>
  <c r="J306" i="34"/>
  <c r="H300" i="12" s="1"/>
  <c r="I300" i="12" s="1"/>
  <c r="J243" i="34"/>
  <c r="H237" i="12" s="1"/>
  <c r="I237" i="12" s="1"/>
  <c r="J265" i="34"/>
  <c r="H259" i="12" s="1"/>
  <c r="I259" i="12" s="1"/>
  <c r="J197" i="34"/>
  <c r="H191" i="12" s="1"/>
  <c r="I191" i="12" s="1"/>
  <c r="J291" i="34"/>
  <c r="H285" i="12" s="1"/>
  <c r="I285" i="12" s="1"/>
  <c r="J237" i="34"/>
  <c r="H231" i="12" s="1"/>
  <c r="I231" i="12" s="1"/>
  <c r="J134" i="34"/>
  <c r="H128" i="12" s="1"/>
  <c r="I128" i="12" s="1"/>
  <c r="J135" i="34"/>
  <c r="H129" i="12" s="1"/>
  <c r="I129" i="12" s="1"/>
  <c r="J202" i="34"/>
  <c r="H196" i="12" s="1"/>
  <c r="I196" i="12" s="1"/>
  <c r="J176" i="34"/>
  <c r="H170" i="12" s="1"/>
  <c r="I170" i="12" s="1"/>
  <c r="J82" i="34"/>
  <c r="H76" i="12" s="1"/>
  <c r="I76" i="12" s="1"/>
  <c r="J18" i="34"/>
  <c r="H12" i="12" s="1"/>
  <c r="I12" i="12" s="1"/>
  <c r="J73" i="34"/>
  <c r="H67" i="12" s="1"/>
  <c r="I67" i="12" s="1"/>
  <c r="J47" i="34"/>
  <c r="H41" i="12" s="1"/>
  <c r="I41" i="12" s="1"/>
  <c r="J25" i="34"/>
  <c r="H19" i="12" s="1"/>
  <c r="I19" i="12" s="1"/>
  <c r="J297" i="34"/>
  <c r="H291" i="12" s="1"/>
  <c r="I291" i="12" s="1"/>
  <c r="J283" i="34"/>
  <c r="H277" i="12" s="1"/>
  <c r="I277" i="12" s="1"/>
  <c r="J249" i="34"/>
  <c r="H243" i="12" s="1"/>
  <c r="I243" i="12" s="1"/>
  <c r="J128" i="34"/>
  <c r="H122" i="12" s="1"/>
  <c r="I122" i="12" s="1"/>
  <c r="J235" i="34"/>
  <c r="H229" i="12" s="1"/>
  <c r="I229" i="12" s="1"/>
  <c r="J111" i="34"/>
  <c r="H105" i="12" s="1"/>
  <c r="I105" i="12" s="1"/>
  <c r="J95" i="34"/>
  <c r="H89" i="12" s="1"/>
  <c r="I89" i="12" s="1"/>
  <c r="J305" i="34"/>
  <c r="H299" i="12" s="1"/>
  <c r="I299" i="12" s="1"/>
  <c r="J188" i="34"/>
  <c r="H182" i="12" s="1"/>
  <c r="I182" i="12" s="1"/>
  <c r="J242" i="34"/>
  <c r="H236" i="12" s="1"/>
  <c r="I236" i="12" s="1"/>
  <c r="J257" i="34"/>
  <c r="H251" i="12" s="1"/>
  <c r="I251" i="12" s="1"/>
  <c r="J281" i="34"/>
  <c r="H275" i="12" s="1"/>
  <c r="I275" i="12" s="1"/>
  <c r="J289" i="34"/>
  <c r="H283" i="12" s="1"/>
  <c r="I283" i="12" s="1"/>
  <c r="J195" i="34"/>
  <c r="H189" i="12" s="1"/>
  <c r="I189" i="12" s="1"/>
  <c r="J118" i="34"/>
  <c r="H112" i="12" s="1"/>
  <c r="I112" i="12" s="1"/>
  <c r="J119" i="34"/>
  <c r="H113" i="12" s="1"/>
  <c r="I113" i="12" s="1"/>
  <c r="J186" i="34"/>
  <c r="H180" i="12" s="1"/>
  <c r="I180" i="12" s="1"/>
  <c r="J153" i="34"/>
  <c r="H147" i="12" s="1"/>
  <c r="I147" i="12" s="1"/>
  <c r="J174" i="34"/>
  <c r="H168" i="12" s="1"/>
  <c r="I168" i="12" s="1"/>
  <c r="J143" i="34"/>
  <c r="H137" i="12" s="1"/>
  <c r="I137" i="12" s="1"/>
  <c r="J74" i="34"/>
  <c r="H68" i="12" s="1"/>
  <c r="I68" i="12" s="1"/>
  <c r="J97" i="34"/>
  <c r="H91" i="12" s="1"/>
  <c r="I91" i="12" s="1"/>
  <c r="J72" i="34"/>
  <c r="H66" i="12" s="1"/>
  <c r="I66" i="12" s="1"/>
  <c r="J41" i="34"/>
  <c r="H35" i="12" s="1"/>
  <c r="I35" i="12" s="1"/>
  <c r="J24" i="34"/>
  <c r="H18" i="12" s="1"/>
  <c r="I18" i="12" s="1"/>
  <c r="J16" i="34"/>
  <c r="H10" i="12" s="1"/>
  <c r="I10" i="12" s="1"/>
  <c r="J298" i="34"/>
  <c r="H292" i="12" s="1"/>
  <c r="I292" i="12" s="1"/>
  <c r="J210" i="34"/>
  <c r="H204" i="12" s="1"/>
  <c r="I204" i="12" s="1"/>
  <c r="J213" i="34"/>
  <c r="H207" i="12" s="1"/>
  <c r="I207" i="12" s="1"/>
  <c r="J144" i="34"/>
  <c r="H138" i="12" s="1"/>
  <c r="I138" i="12" s="1"/>
  <c r="J220" i="34"/>
  <c r="H214" i="12" s="1"/>
  <c r="I214" i="12" s="1"/>
  <c r="J187" i="34"/>
  <c r="H181" i="12" s="1"/>
  <c r="I181" i="12" s="1"/>
  <c r="J152" i="34"/>
  <c r="H146" i="12" s="1"/>
  <c r="I146" i="12" s="1"/>
  <c r="J137" i="34"/>
  <c r="H131" i="12" s="1"/>
  <c r="I131" i="12" s="1"/>
  <c r="J212" i="34"/>
  <c r="H206" i="12" s="1"/>
  <c r="I206" i="12" s="1"/>
  <c r="J169" i="34"/>
  <c r="H163" i="12" s="1"/>
  <c r="I163" i="12" s="1"/>
  <c r="J127" i="34"/>
  <c r="H121" i="12" s="1"/>
  <c r="I121" i="12" s="1"/>
  <c r="J66" i="34"/>
  <c r="H60" i="12" s="1"/>
  <c r="I60" i="12" s="1"/>
  <c r="J96" i="34"/>
  <c r="H90" i="12" s="1"/>
  <c r="I90" i="12" s="1"/>
  <c r="J65" i="34"/>
  <c r="H59" i="12" s="1"/>
  <c r="I59" i="12" s="1"/>
  <c r="J40" i="34"/>
  <c r="H34" i="12" s="1"/>
  <c r="I34" i="12" s="1"/>
  <c r="J17" i="34"/>
  <c r="H11" i="12" s="1"/>
  <c r="I11" i="12" s="1"/>
  <c r="J121" i="34"/>
  <c r="H115" i="12" s="1"/>
  <c r="I115" i="12" s="1"/>
  <c r="J39" i="34"/>
  <c r="H33" i="12" s="1"/>
  <c r="I33" i="12" s="1"/>
  <c r="C8" i="34"/>
  <c r="J312" i="34"/>
  <c r="H306" i="12" s="1"/>
  <c r="I306" i="12" s="1"/>
  <c r="J12" i="34"/>
  <c r="H6" i="12" s="1"/>
  <c r="I6" i="12" s="1"/>
  <c r="J147" i="12" l="1"/>
  <c r="K147" i="12" s="1"/>
  <c r="D147" i="39"/>
  <c r="G147" i="39" s="1"/>
  <c r="H147" i="39" s="1"/>
  <c r="I147" i="39" s="1"/>
  <c r="J236" i="12"/>
  <c r="K236" i="12" s="1"/>
  <c r="D236" i="39"/>
  <c r="G236" i="39" s="1"/>
  <c r="H236" i="39" s="1"/>
  <c r="I236" i="39" s="1"/>
  <c r="J222" i="12"/>
  <c r="K222" i="12" s="1"/>
  <c r="D222" i="39"/>
  <c r="G222" i="39" s="1"/>
  <c r="H222" i="39" s="1"/>
  <c r="I222" i="39" s="1"/>
  <c r="J148" i="12"/>
  <c r="K148" i="12" s="1"/>
  <c r="D148" i="39"/>
  <c r="G148" i="39" s="1"/>
  <c r="H148" i="39" s="1"/>
  <c r="I148" i="39" s="1"/>
  <c r="J34" i="12"/>
  <c r="K34" i="12" s="1"/>
  <c r="D34" i="39"/>
  <c r="G34" i="39" s="1"/>
  <c r="H34" i="39" s="1"/>
  <c r="I34" i="39" s="1"/>
  <c r="J146" i="12"/>
  <c r="K146" i="12" s="1"/>
  <c r="D146" i="39"/>
  <c r="G146" i="39" s="1"/>
  <c r="H146" i="39" s="1"/>
  <c r="I146" i="39" s="1"/>
  <c r="J18" i="12"/>
  <c r="K18" i="12" s="1"/>
  <c r="D18" i="39"/>
  <c r="G18" i="39" s="1"/>
  <c r="H18" i="39" s="1"/>
  <c r="I18" i="39" s="1"/>
  <c r="J180" i="12"/>
  <c r="K180" i="12" s="1"/>
  <c r="D180" i="39"/>
  <c r="G180" i="39" s="1"/>
  <c r="H180" i="39" s="1"/>
  <c r="I180" i="39" s="1"/>
  <c r="J182" i="12"/>
  <c r="K182" i="12" s="1"/>
  <c r="D182" i="39"/>
  <c r="G182" i="39" s="1"/>
  <c r="H182" i="39" s="1"/>
  <c r="I182" i="39" s="1"/>
  <c r="J291" i="12"/>
  <c r="K291" i="12" s="1"/>
  <c r="D291" i="39"/>
  <c r="G291" i="39" s="1"/>
  <c r="H291" i="39" s="1"/>
  <c r="I291" i="39" s="1"/>
  <c r="J129" i="12"/>
  <c r="K129" i="12" s="1"/>
  <c r="D129" i="39"/>
  <c r="G129" i="39" s="1"/>
  <c r="H129" i="39" s="1"/>
  <c r="I129" i="39" s="1"/>
  <c r="J212" i="12"/>
  <c r="K212" i="12" s="1"/>
  <c r="D212" i="39"/>
  <c r="G212" i="39" s="1"/>
  <c r="H212" i="39" s="1"/>
  <c r="I212" i="39" s="1"/>
  <c r="J268" i="12"/>
  <c r="K268" i="12" s="1"/>
  <c r="D268" i="39"/>
  <c r="G268" i="39" s="1"/>
  <c r="H268" i="39" s="1"/>
  <c r="I268" i="39" s="1"/>
  <c r="J120" i="12"/>
  <c r="K120" i="12" s="1"/>
  <c r="D120" i="39"/>
  <c r="G120" i="39" s="1"/>
  <c r="H120" i="39" s="1"/>
  <c r="I120" i="39" s="1"/>
  <c r="J252" i="12"/>
  <c r="K252" i="12" s="1"/>
  <c r="D252" i="39"/>
  <c r="G252" i="39" s="1"/>
  <c r="H252" i="39" s="1"/>
  <c r="I252" i="39" s="1"/>
  <c r="D36" i="39"/>
  <c r="G36" i="39" s="1"/>
  <c r="H36" i="39" s="1"/>
  <c r="I36" i="39" s="1"/>
  <c r="J36" i="12"/>
  <c r="K36" i="12" s="1"/>
  <c r="D245" i="39"/>
  <c r="G245" i="39" s="1"/>
  <c r="H245" i="39" s="1"/>
  <c r="I245" i="39" s="1"/>
  <c r="J245" i="12"/>
  <c r="K245" i="12" s="1"/>
  <c r="J32" i="12"/>
  <c r="K32" i="12" s="1"/>
  <c r="D32" i="39"/>
  <c r="G32" i="39" s="1"/>
  <c r="H32" i="39" s="1"/>
  <c r="I32" i="39" s="1"/>
  <c r="D106" i="39"/>
  <c r="G106" i="39" s="1"/>
  <c r="H106" i="39" s="1"/>
  <c r="I106" i="39" s="1"/>
  <c r="J106" i="12"/>
  <c r="K106" i="12" s="1"/>
  <c r="J263" i="12"/>
  <c r="K263" i="12" s="1"/>
  <c r="D263" i="39"/>
  <c r="G263" i="39" s="1"/>
  <c r="H263" i="39" s="1"/>
  <c r="I263" i="39" s="1"/>
  <c r="J194" i="12"/>
  <c r="K194" i="12" s="1"/>
  <c r="D194" i="39"/>
  <c r="G194" i="39" s="1"/>
  <c r="H194" i="39" s="1"/>
  <c r="I194" i="39" s="1"/>
  <c r="D282" i="39"/>
  <c r="G282" i="39" s="1"/>
  <c r="H282" i="39" s="1"/>
  <c r="I282" i="39" s="1"/>
  <c r="J282" i="12"/>
  <c r="K282" i="12" s="1"/>
  <c r="J195" i="12"/>
  <c r="K195" i="12" s="1"/>
  <c r="D195" i="39"/>
  <c r="G195" i="39" s="1"/>
  <c r="H195" i="39" s="1"/>
  <c r="I195" i="39" s="1"/>
  <c r="D157" i="39"/>
  <c r="G157" i="39" s="1"/>
  <c r="H157" i="39" s="1"/>
  <c r="I157" i="39" s="1"/>
  <c r="J157" i="12"/>
  <c r="K157" i="12" s="1"/>
  <c r="D101" i="39"/>
  <c r="G101" i="39" s="1"/>
  <c r="H101" i="39" s="1"/>
  <c r="I101" i="39" s="1"/>
  <c r="J101" i="12"/>
  <c r="K101" i="12" s="1"/>
  <c r="D37" i="39"/>
  <c r="G37" i="39" s="1"/>
  <c r="H37" i="39" s="1"/>
  <c r="I37" i="39" s="1"/>
  <c r="J37" i="12"/>
  <c r="K37" i="12" s="1"/>
  <c r="J289" i="12"/>
  <c r="K289" i="12" s="1"/>
  <c r="D289" i="39"/>
  <c r="G289" i="39" s="1"/>
  <c r="H289" i="39" s="1"/>
  <c r="I289" i="39" s="1"/>
  <c r="J270" i="12"/>
  <c r="K270" i="12" s="1"/>
  <c r="D270" i="39"/>
  <c r="G270" i="39" s="1"/>
  <c r="H270" i="39" s="1"/>
  <c r="I270" i="39" s="1"/>
  <c r="J208" i="12"/>
  <c r="K208" i="12" s="1"/>
  <c r="D208" i="39"/>
  <c r="G208" i="39" s="1"/>
  <c r="H208" i="39" s="1"/>
  <c r="I208" i="39" s="1"/>
  <c r="J110" i="12"/>
  <c r="K110" i="12" s="1"/>
  <c r="D110" i="39"/>
  <c r="G110" i="39" s="1"/>
  <c r="H110" i="39" s="1"/>
  <c r="I110" i="39" s="1"/>
  <c r="J46" i="12"/>
  <c r="K46" i="12" s="1"/>
  <c r="D46" i="39"/>
  <c r="G46" i="39" s="1"/>
  <c r="H46" i="39" s="1"/>
  <c r="I46" i="39" s="1"/>
  <c r="J202" i="12"/>
  <c r="K202" i="12" s="1"/>
  <c r="D202" i="39"/>
  <c r="G202" i="39" s="1"/>
  <c r="H202" i="39" s="1"/>
  <c r="I202" i="39" s="1"/>
  <c r="J256" i="12"/>
  <c r="K256" i="12" s="1"/>
  <c r="D256" i="39"/>
  <c r="G256" i="39" s="1"/>
  <c r="H256" i="39" s="1"/>
  <c r="I256" i="39" s="1"/>
  <c r="J179" i="12"/>
  <c r="K179" i="12" s="1"/>
  <c r="D179" i="39"/>
  <c r="G179" i="39" s="1"/>
  <c r="H179" i="39" s="1"/>
  <c r="I179" i="39" s="1"/>
  <c r="J73" i="12"/>
  <c r="K73" i="12" s="1"/>
  <c r="D73" i="39"/>
  <c r="G73" i="39" s="1"/>
  <c r="H73" i="39" s="1"/>
  <c r="I73" i="39" s="1"/>
  <c r="D144" i="39"/>
  <c r="G144" i="39" s="1"/>
  <c r="H144" i="39" s="1"/>
  <c r="I144" i="39" s="1"/>
  <c r="J144" i="12"/>
  <c r="K144" i="12" s="1"/>
  <c r="J48" i="12"/>
  <c r="K48" i="12" s="1"/>
  <c r="D48" i="39"/>
  <c r="G48" i="39" s="1"/>
  <c r="H48" i="39" s="1"/>
  <c r="I48" i="39" s="1"/>
  <c r="J135" i="12"/>
  <c r="K135" i="12" s="1"/>
  <c r="D135" i="39"/>
  <c r="G135" i="39" s="1"/>
  <c r="H135" i="39" s="1"/>
  <c r="I135" i="39" s="1"/>
  <c r="D71" i="39"/>
  <c r="G71" i="39" s="1"/>
  <c r="H71" i="39" s="1"/>
  <c r="I71" i="39" s="1"/>
  <c r="J71" i="12"/>
  <c r="K71" i="12" s="1"/>
  <c r="J7" i="12"/>
  <c r="K7" i="12" s="1"/>
  <c r="D7" i="39"/>
  <c r="G7" i="39" s="1"/>
  <c r="H7" i="39" s="1"/>
  <c r="I7" i="39" s="1"/>
  <c r="D204" i="39"/>
  <c r="G204" i="39" s="1"/>
  <c r="H204" i="39" s="1"/>
  <c r="I204" i="39" s="1"/>
  <c r="J204" i="12"/>
  <c r="K204" i="12" s="1"/>
  <c r="D122" i="39"/>
  <c r="G122" i="39" s="1"/>
  <c r="H122" i="39" s="1"/>
  <c r="I122" i="39" s="1"/>
  <c r="J122" i="12"/>
  <c r="K122" i="12" s="1"/>
  <c r="J293" i="12"/>
  <c r="K293" i="12" s="1"/>
  <c r="D293" i="39"/>
  <c r="G293" i="39" s="1"/>
  <c r="H293" i="39" s="1"/>
  <c r="I293" i="39" s="1"/>
  <c r="J27" i="12"/>
  <c r="K27" i="12" s="1"/>
  <c r="D27" i="39"/>
  <c r="G27" i="39" s="1"/>
  <c r="H27" i="39" s="1"/>
  <c r="I27" i="39" s="1"/>
  <c r="J213" i="12"/>
  <c r="K213" i="12" s="1"/>
  <c r="D213" i="39"/>
  <c r="G213" i="39" s="1"/>
  <c r="H213" i="39" s="1"/>
  <c r="I213" i="39" s="1"/>
  <c r="J59" i="12"/>
  <c r="K59" i="12" s="1"/>
  <c r="D59" i="39"/>
  <c r="G59" i="39" s="1"/>
  <c r="H59" i="39" s="1"/>
  <c r="I59" i="39" s="1"/>
  <c r="D181" i="39"/>
  <c r="G181" i="39" s="1"/>
  <c r="H181" i="39" s="1"/>
  <c r="I181" i="39" s="1"/>
  <c r="J181" i="12"/>
  <c r="K181" i="12" s="1"/>
  <c r="J35" i="12"/>
  <c r="K35" i="12" s="1"/>
  <c r="D35" i="39"/>
  <c r="G35" i="39" s="1"/>
  <c r="H35" i="39" s="1"/>
  <c r="I35" i="39" s="1"/>
  <c r="J113" i="12"/>
  <c r="K113" i="12" s="1"/>
  <c r="D113" i="39"/>
  <c r="G113" i="39" s="1"/>
  <c r="H113" i="39" s="1"/>
  <c r="I113" i="39" s="1"/>
  <c r="J299" i="12"/>
  <c r="K299" i="12" s="1"/>
  <c r="D299" i="39"/>
  <c r="G299" i="39" s="1"/>
  <c r="H299" i="39" s="1"/>
  <c r="I299" i="39" s="1"/>
  <c r="J19" i="12"/>
  <c r="K19" i="12" s="1"/>
  <c r="D19" i="39"/>
  <c r="G19" i="39" s="1"/>
  <c r="H19" i="39" s="1"/>
  <c r="I19" i="39" s="1"/>
  <c r="J128" i="12"/>
  <c r="K128" i="12" s="1"/>
  <c r="D128" i="39"/>
  <c r="G128" i="39" s="1"/>
  <c r="H128" i="39" s="1"/>
  <c r="I128" i="39" s="1"/>
  <c r="J42" i="12"/>
  <c r="K42" i="12" s="1"/>
  <c r="D42" i="39"/>
  <c r="G42" i="39" s="1"/>
  <c r="H42" i="39" s="1"/>
  <c r="I42" i="39" s="1"/>
  <c r="D197" i="39"/>
  <c r="G197" i="39" s="1"/>
  <c r="H197" i="39" s="1"/>
  <c r="I197" i="39" s="1"/>
  <c r="J197" i="12"/>
  <c r="K197" i="12" s="1"/>
  <c r="D58" i="39"/>
  <c r="G58" i="39" s="1"/>
  <c r="H58" i="39" s="1"/>
  <c r="I58" i="39" s="1"/>
  <c r="J58" i="12"/>
  <c r="K58" i="12" s="1"/>
  <c r="D228" i="39"/>
  <c r="G228" i="39" s="1"/>
  <c r="H228" i="39" s="1"/>
  <c r="I228" i="39" s="1"/>
  <c r="J228" i="12"/>
  <c r="K228" i="12" s="1"/>
  <c r="J107" i="12"/>
  <c r="K107" i="12" s="1"/>
  <c r="D107" i="39"/>
  <c r="G107" i="39" s="1"/>
  <c r="H107" i="39" s="1"/>
  <c r="I107" i="39" s="1"/>
  <c r="J156" i="12"/>
  <c r="K156" i="12" s="1"/>
  <c r="D156" i="39"/>
  <c r="G156" i="39" s="1"/>
  <c r="H156" i="39" s="1"/>
  <c r="I156" i="39" s="1"/>
  <c r="D216" i="39"/>
  <c r="G216" i="39" s="1"/>
  <c r="H216" i="39" s="1"/>
  <c r="I216" i="39" s="1"/>
  <c r="J216" i="12"/>
  <c r="K216" i="12" s="1"/>
  <c r="J51" i="12"/>
  <c r="K51" i="12" s="1"/>
  <c r="D51" i="39"/>
  <c r="G51" i="39" s="1"/>
  <c r="H51" i="39" s="1"/>
  <c r="I51" i="39" s="1"/>
  <c r="J303" i="12"/>
  <c r="K303" i="12" s="1"/>
  <c r="D303" i="39"/>
  <c r="G303" i="39" s="1"/>
  <c r="H303" i="39" s="1"/>
  <c r="I303" i="39" s="1"/>
  <c r="D271" i="39"/>
  <c r="G271" i="39" s="1"/>
  <c r="H271" i="39" s="1"/>
  <c r="I271" i="39" s="1"/>
  <c r="J271" i="12"/>
  <c r="K271" i="12" s="1"/>
  <c r="D274" i="39"/>
  <c r="G274" i="39" s="1"/>
  <c r="H274" i="39" s="1"/>
  <c r="I274" i="39" s="1"/>
  <c r="J274" i="12"/>
  <c r="K274" i="12" s="1"/>
  <c r="J177" i="12"/>
  <c r="K177" i="12" s="1"/>
  <c r="D177" i="39"/>
  <c r="G177" i="39" s="1"/>
  <c r="H177" i="39" s="1"/>
  <c r="I177" i="39" s="1"/>
  <c r="J150" i="12"/>
  <c r="K150" i="12" s="1"/>
  <c r="D150" i="39"/>
  <c r="G150" i="39" s="1"/>
  <c r="H150" i="39" s="1"/>
  <c r="I150" i="39" s="1"/>
  <c r="J86" i="12"/>
  <c r="K86" i="12" s="1"/>
  <c r="D86" i="39"/>
  <c r="G86" i="39" s="1"/>
  <c r="H86" i="39" s="1"/>
  <c r="I86" i="39" s="1"/>
  <c r="J22" i="12"/>
  <c r="K22" i="12" s="1"/>
  <c r="D22" i="39"/>
  <c r="G22" i="39" s="1"/>
  <c r="H22" i="39" s="1"/>
  <c r="I22" i="39" s="1"/>
  <c r="J281" i="12"/>
  <c r="K281" i="12" s="1"/>
  <c r="D281" i="39"/>
  <c r="G281" i="39" s="1"/>
  <c r="H281" i="39" s="1"/>
  <c r="I281" i="39" s="1"/>
  <c r="J262" i="12"/>
  <c r="K262" i="12" s="1"/>
  <c r="D262" i="39"/>
  <c r="G262" i="39" s="1"/>
  <c r="H262" i="39" s="1"/>
  <c r="I262" i="39" s="1"/>
  <c r="D203" i="39"/>
  <c r="G203" i="39" s="1"/>
  <c r="H203" i="39" s="1"/>
  <c r="I203" i="39" s="1"/>
  <c r="J203" i="12"/>
  <c r="K203" i="12" s="1"/>
  <c r="J109" i="12"/>
  <c r="K109" i="12" s="1"/>
  <c r="D109" i="39"/>
  <c r="G109" i="39" s="1"/>
  <c r="H109" i="39" s="1"/>
  <c r="I109" i="39" s="1"/>
  <c r="J45" i="12"/>
  <c r="K45" i="12" s="1"/>
  <c r="D45" i="39"/>
  <c r="G45" i="39" s="1"/>
  <c r="H45" i="39" s="1"/>
  <c r="I45" i="39" s="1"/>
  <c r="J186" i="12"/>
  <c r="K186" i="12" s="1"/>
  <c r="D186" i="39"/>
  <c r="G186" i="39" s="1"/>
  <c r="H186" i="39" s="1"/>
  <c r="I186" i="39" s="1"/>
  <c r="D248" i="39"/>
  <c r="G248" i="39" s="1"/>
  <c r="H248" i="39" s="1"/>
  <c r="I248" i="39" s="1"/>
  <c r="J248" i="12"/>
  <c r="K248" i="12" s="1"/>
  <c r="J176" i="12"/>
  <c r="K176" i="12" s="1"/>
  <c r="D176" i="39"/>
  <c r="G176" i="39" s="1"/>
  <c r="H176" i="39" s="1"/>
  <c r="I176" i="39" s="1"/>
  <c r="D65" i="39"/>
  <c r="G65" i="39" s="1"/>
  <c r="H65" i="39" s="1"/>
  <c r="I65" i="39" s="1"/>
  <c r="J65" i="12"/>
  <c r="K65" i="12" s="1"/>
  <c r="D136" i="39"/>
  <c r="G136" i="39" s="1"/>
  <c r="H136" i="39" s="1"/>
  <c r="I136" i="39" s="1"/>
  <c r="J136" i="12"/>
  <c r="K136" i="12" s="1"/>
  <c r="D40" i="39"/>
  <c r="G40" i="39" s="1"/>
  <c r="H40" i="39" s="1"/>
  <c r="I40" i="39" s="1"/>
  <c r="J40" i="12"/>
  <c r="K40" i="12" s="1"/>
  <c r="J127" i="12"/>
  <c r="K127" i="12" s="1"/>
  <c r="D127" i="39"/>
  <c r="G127" i="39" s="1"/>
  <c r="H127" i="39" s="1"/>
  <c r="I127" i="39" s="1"/>
  <c r="J63" i="12"/>
  <c r="K63" i="12" s="1"/>
  <c r="D63" i="39"/>
  <c r="G63" i="39" s="1"/>
  <c r="H63" i="39" s="1"/>
  <c r="I63" i="39" s="1"/>
  <c r="J140" i="12"/>
  <c r="K140" i="12" s="1"/>
  <c r="D140" i="39"/>
  <c r="G140" i="39" s="1"/>
  <c r="H140" i="39" s="1"/>
  <c r="I140" i="39" s="1"/>
  <c r="J76" i="12"/>
  <c r="K76" i="12" s="1"/>
  <c r="D76" i="39"/>
  <c r="G76" i="39" s="1"/>
  <c r="H76" i="39" s="1"/>
  <c r="I76" i="39" s="1"/>
  <c r="D89" i="39"/>
  <c r="G89" i="39" s="1"/>
  <c r="H89" i="39" s="1"/>
  <c r="I89" i="39" s="1"/>
  <c r="J89" i="12"/>
  <c r="K89" i="12" s="1"/>
  <c r="J231" i="12"/>
  <c r="K231" i="12" s="1"/>
  <c r="D231" i="39"/>
  <c r="G231" i="39" s="1"/>
  <c r="H231" i="39" s="1"/>
  <c r="I231" i="39" s="1"/>
  <c r="D74" i="39"/>
  <c r="G74" i="39" s="1"/>
  <c r="H74" i="39" s="1"/>
  <c r="I74" i="39" s="1"/>
  <c r="J74" i="12"/>
  <c r="K74" i="12" s="1"/>
  <c r="D230" i="39"/>
  <c r="G230" i="39" s="1"/>
  <c r="H230" i="39" s="1"/>
  <c r="I230" i="39" s="1"/>
  <c r="J230" i="12"/>
  <c r="K230" i="12" s="1"/>
  <c r="J162" i="12"/>
  <c r="K162" i="12" s="1"/>
  <c r="D162" i="39"/>
  <c r="G162" i="39" s="1"/>
  <c r="H162" i="39" s="1"/>
  <c r="I162" i="39" s="1"/>
  <c r="J301" i="12"/>
  <c r="K301" i="12" s="1"/>
  <c r="D301" i="39"/>
  <c r="G301" i="39" s="1"/>
  <c r="H301" i="39" s="1"/>
  <c r="I301" i="39" s="1"/>
  <c r="J269" i="12"/>
  <c r="K269" i="12" s="1"/>
  <c r="D269" i="39"/>
  <c r="G269" i="39" s="1"/>
  <c r="H269" i="39" s="1"/>
  <c r="I269" i="39" s="1"/>
  <c r="D154" i="39"/>
  <c r="G154" i="39" s="1"/>
  <c r="H154" i="39" s="1"/>
  <c r="I154" i="39" s="1"/>
  <c r="J154" i="12"/>
  <c r="K154" i="12" s="1"/>
  <c r="J139" i="12"/>
  <c r="K139" i="12" s="1"/>
  <c r="D139" i="39"/>
  <c r="G139" i="39" s="1"/>
  <c r="H139" i="39" s="1"/>
  <c r="I139" i="39" s="1"/>
  <c r="J83" i="12"/>
  <c r="K83" i="12" s="1"/>
  <c r="D83" i="39"/>
  <c r="G83" i="39" s="1"/>
  <c r="H83" i="39" s="1"/>
  <c r="I83" i="39" s="1"/>
  <c r="J188" i="12"/>
  <c r="K188" i="12" s="1"/>
  <c r="D188" i="39"/>
  <c r="G188" i="39" s="1"/>
  <c r="H188" i="39" s="1"/>
  <c r="I188" i="39" s="1"/>
  <c r="D302" i="39"/>
  <c r="G302" i="39" s="1"/>
  <c r="H302" i="39" s="1"/>
  <c r="I302" i="39" s="1"/>
  <c r="J302" i="12"/>
  <c r="K302" i="12" s="1"/>
  <c r="D210" i="39"/>
  <c r="G210" i="39" s="1"/>
  <c r="H210" i="39" s="1"/>
  <c r="I210" i="39" s="1"/>
  <c r="J210" i="12"/>
  <c r="K210" i="12" s="1"/>
  <c r="D266" i="39"/>
  <c r="G266" i="39" s="1"/>
  <c r="H266" i="39" s="1"/>
  <c r="I266" i="39" s="1"/>
  <c r="J266" i="12"/>
  <c r="K266" i="12" s="1"/>
  <c r="D175" i="39"/>
  <c r="G175" i="39" s="1"/>
  <c r="H175" i="39" s="1"/>
  <c r="I175" i="39" s="1"/>
  <c r="J175" i="12"/>
  <c r="K175" i="12" s="1"/>
  <c r="J149" i="12"/>
  <c r="K149" i="12" s="1"/>
  <c r="D149" i="39"/>
  <c r="G149" i="39" s="1"/>
  <c r="H149" i="39" s="1"/>
  <c r="I149" i="39" s="1"/>
  <c r="J85" i="12"/>
  <c r="K85" i="12" s="1"/>
  <c r="D85" i="39"/>
  <c r="G85" i="39" s="1"/>
  <c r="H85" i="39" s="1"/>
  <c r="I85" i="39" s="1"/>
  <c r="D21" i="39"/>
  <c r="G21" i="39" s="1"/>
  <c r="H21" i="39" s="1"/>
  <c r="I21" i="39" s="1"/>
  <c r="J21" i="12"/>
  <c r="K21" i="12" s="1"/>
  <c r="D273" i="39"/>
  <c r="G273" i="39" s="1"/>
  <c r="H273" i="39" s="1"/>
  <c r="I273" i="39" s="1"/>
  <c r="J273" i="12"/>
  <c r="K273" i="12" s="1"/>
  <c r="D254" i="39"/>
  <c r="G254" i="39" s="1"/>
  <c r="H254" i="39" s="1"/>
  <c r="I254" i="39" s="1"/>
  <c r="J254" i="12"/>
  <c r="K254" i="12" s="1"/>
  <c r="J192" i="12"/>
  <c r="K192" i="12" s="1"/>
  <c r="D192" i="39"/>
  <c r="G192" i="39" s="1"/>
  <c r="H192" i="39" s="1"/>
  <c r="I192" i="39" s="1"/>
  <c r="D94" i="39"/>
  <c r="G94" i="39" s="1"/>
  <c r="H94" i="39" s="1"/>
  <c r="I94" i="39" s="1"/>
  <c r="J94" i="12"/>
  <c r="K94" i="12" s="1"/>
  <c r="D304" i="39"/>
  <c r="G304" i="39" s="1"/>
  <c r="H304" i="39" s="1"/>
  <c r="I304" i="39" s="1"/>
  <c r="J304" i="12"/>
  <c r="K304" i="12" s="1"/>
  <c r="J240" i="12"/>
  <c r="K240" i="12" s="1"/>
  <c r="D240" i="39"/>
  <c r="G240" i="39" s="1"/>
  <c r="H240" i="39" s="1"/>
  <c r="I240" i="39" s="1"/>
  <c r="J169" i="12"/>
  <c r="K169" i="12" s="1"/>
  <c r="D169" i="39"/>
  <c r="G169" i="39" s="1"/>
  <c r="H169" i="39" s="1"/>
  <c r="I169" i="39" s="1"/>
  <c r="J57" i="12"/>
  <c r="K57" i="12" s="1"/>
  <c r="D57" i="39"/>
  <c r="G57" i="39" s="1"/>
  <c r="H57" i="39" s="1"/>
  <c r="I57" i="39" s="1"/>
  <c r="J96" i="12"/>
  <c r="K96" i="12" s="1"/>
  <c r="D96" i="39"/>
  <c r="G96" i="39" s="1"/>
  <c r="H96" i="39" s="1"/>
  <c r="I96" i="39" s="1"/>
  <c r="J16" i="12"/>
  <c r="K16" i="12" s="1"/>
  <c r="D16" i="39"/>
  <c r="G16" i="39" s="1"/>
  <c r="H16" i="39" s="1"/>
  <c r="I16" i="39" s="1"/>
  <c r="J55" i="12"/>
  <c r="K55" i="12" s="1"/>
  <c r="D55" i="39"/>
  <c r="G55" i="39" s="1"/>
  <c r="H55" i="39" s="1"/>
  <c r="I55" i="39" s="1"/>
  <c r="J132" i="12"/>
  <c r="K132" i="12" s="1"/>
  <c r="D132" i="39"/>
  <c r="G132" i="39" s="1"/>
  <c r="H132" i="39" s="1"/>
  <c r="I132" i="39" s="1"/>
  <c r="D163" i="39"/>
  <c r="G163" i="39" s="1"/>
  <c r="H163" i="39" s="1"/>
  <c r="I163" i="39" s="1"/>
  <c r="J163" i="12"/>
  <c r="K163" i="12" s="1"/>
  <c r="D259" i="39"/>
  <c r="G259" i="39" s="1"/>
  <c r="H259" i="39" s="1"/>
  <c r="I259" i="39" s="1"/>
  <c r="J259" i="12"/>
  <c r="K259" i="12" s="1"/>
  <c r="J112" i="12"/>
  <c r="K112" i="12" s="1"/>
  <c r="D112" i="39"/>
  <c r="G112" i="39" s="1"/>
  <c r="H112" i="39" s="1"/>
  <c r="I112" i="39" s="1"/>
  <c r="J60" i="12"/>
  <c r="K60" i="12" s="1"/>
  <c r="D60" i="39"/>
  <c r="G60" i="39" s="1"/>
  <c r="H60" i="39" s="1"/>
  <c r="I60" i="39" s="1"/>
  <c r="J138" i="12"/>
  <c r="K138" i="12" s="1"/>
  <c r="D138" i="39"/>
  <c r="G138" i="39" s="1"/>
  <c r="H138" i="39" s="1"/>
  <c r="I138" i="39" s="1"/>
  <c r="J26" i="12"/>
  <c r="K26" i="12" s="1"/>
  <c r="D26" i="39"/>
  <c r="G26" i="39" s="1"/>
  <c r="H26" i="39" s="1"/>
  <c r="I26" i="39" s="1"/>
  <c r="D244" i="39"/>
  <c r="G244" i="39" s="1"/>
  <c r="H244" i="39" s="1"/>
  <c r="I244" i="39" s="1"/>
  <c r="J244" i="12"/>
  <c r="K244" i="12" s="1"/>
  <c r="J52" i="12"/>
  <c r="K52" i="12" s="1"/>
  <c r="D52" i="39"/>
  <c r="G52" i="39" s="1"/>
  <c r="H52" i="39" s="1"/>
  <c r="I52" i="39" s="1"/>
  <c r="J190" i="12"/>
  <c r="K190" i="12" s="1"/>
  <c r="D190" i="39"/>
  <c r="G190" i="39" s="1"/>
  <c r="H190" i="39" s="1"/>
  <c r="I190" i="39" s="1"/>
  <c r="D253" i="39"/>
  <c r="G253" i="39" s="1"/>
  <c r="H253" i="39" s="1"/>
  <c r="I253" i="39" s="1"/>
  <c r="J253" i="12"/>
  <c r="K253" i="12" s="1"/>
  <c r="J44" i="12"/>
  <c r="K44" i="12" s="1"/>
  <c r="D44" i="39"/>
  <c r="G44" i="39" s="1"/>
  <c r="H44" i="39" s="1"/>
  <c r="I44" i="39" s="1"/>
  <c r="D276" i="39"/>
  <c r="G276" i="39" s="1"/>
  <c r="H276" i="39" s="1"/>
  <c r="I276" i="39" s="1"/>
  <c r="J276" i="12"/>
  <c r="K276" i="12" s="1"/>
  <c r="J295" i="12"/>
  <c r="K295" i="12" s="1"/>
  <c r="D295" i="39"/>
  <c r="G295" i="39" s="1"/>
  <c r="H295" i="39" s="1"/>
  <c r="I295" i="39" s="1"/>
  <c r="J255" i="12"/>
  <c r="K255" i="12" s="1"/>
  <c r="D255" i="39"/>
  <c r="G255" i="39" s="1"/>
  <c r="H255" i="39" s="1"/>
  <c r="I255" i="39" s="1"/>
  <c r="D258" i="39"/>
  <c r="G258" i="39" s="1"/>
  <c r="H258" i="39" s="1"/>
  <c r="I258" i="39" s="1"/>
  <c r="J258" i="12"/>
  <c r="K258" i="12" s="1"/>
  <c r="J174" i="12"/>
  <c r="K174" i="12" s="1"/>
  <c r="D174" i="39"/>
  <c r="G174" i="39" s="1"/>
  <c r="H174" i="39" s="1"/>
  <c r="I174" i="39" s="1"/>
  <c r="J134" i="12"/>
  <c r="K134" i="12" s="1"/>
  <c r="D134" i="39"/>
  <c r="G134" i="39" s="1"/>
  <c r="H134" i="39" s="1"/>
  <c r="I134" i="39" s="1"/>
  <c r="D70" i="39"/>
  <c r="G70" i="39" s="1"/>
  <c r="H70" i="39" s="1"/>
  <c r="I70" i="39" s="1"/>
  <c r="J70" i="12"/>
  <c r="K70" i="12" s="1"/>
  <c r="J225" i="12"/>
  <c r="K225" i="12" s="1"/>
  <c r="D225" i="39"/>
  <c r="G225" i="39" s="1"/>
  <c r="H225" i="39" s="1"/>
  <c r="I225" i="39" s="1"/>
  <c r="J265" i="12"/>
  <c r="K265" i="12" s="1"/>
  <c r="D265" i="39"/>
  <c r="G265" i="39" s="1"/>
  <c r="H265" i="39" s="1"/>
  <c r="I265" i="39" s="1"/>
  <c r="J246" i="12"/>
  <c r="K246" i="12" s="1"/>
  <c r="D246" i="39"/>
  <c r="G246" i="39" s="1"/>
  <c r="H246" i="39" s="1"/>
  <c r="I246" i="39" s="1"/>
  <c r="J187" i="12"/>
  <c r="K187" i="12" s="1"/>
  <c r="D187" i="39"/>
  <c r="G187" i="39" s="1"/>
  <c r="H187" i="39" s="1"/>
  <c r="I187" i="39" s="1"/>
  <c r="D93" i="39"/>
  <c r="G93" i="39" s="1"/>
  <c r="H93" i="39" s="1"/>
  <c r="I93" i="39" s="1"/>
  <c r="J93" i="12"/>
  <c r="K93" i="12" s="1"/>
  <c r="J29" i="12"/>
  <c r="K29" i="12" s="1"/>
  <c r="D29" i="39"/>
  <c r="G29" i="39" s="1"/>
  <c r="H29" i="39" s="1"/>
  <c r="I29" i="39" s="1"/>
  <c r="J296" i="12"/>
  <c r="K296" i="12" s="1"/>
  <c r="D296" i="39"/>
  <c r="G296" i="39" s="1"/>
  <c r="H296" i="39" s="1"/>
  <c r="I296" i="39" s="1"/>
  <c r="J233" i="12"/>
  <c r="K233" i="12" s="1"/>
  <c r="D233" i="39"/>
  <c r="G233" i="39" s="1"/>
  <c r="H233" i="39" s="1"/>
  <c r="I233" i="39" s="1"/>
  <c r="D161" i="39"/>
  <c r="G161" i="39" s="1"/>
  <c r="H161" i="39" s="1"/>
  <c r="I161" i="39" s="1"/>
  <c r="J161" i="12"/>
  <c r="K161" i="12" s="1"/>
  <c r="J49" i="12"/>
  <c r="K49" i="12" s="1"/>
  <c r="D49" i="39"/>
  <c r="G49" i="39" s="1"/>
  <c r="H49" i="39" s="1"/>
  <c r="I49" i="39" s="1"/>
  <c r="J88" i="12"/>
  <c r="K88" i="12" s="1"/>
  <c r="D88" i="39"/>
  <c r="G88" i="39" s="1"/>
  <c r="H88" i="39" s="1"/>
  <c r="I88" i="39" s="1"/>
  <c r="D8" i="39"/>
  <c r="G8" i="39" s="1"/>
  <c r="H8" i="39" s="1"/>
  <c r="I8" i="39" s="1"/>
  <c r="J8" i="12"/>
  <c r="K8" i="12" s="1"/>
  <c r="J47" i="12"/>
  <c r="K47" i="12" s="1"/>
  <c r="D47" i="39"/>
  <c r="G47" i="39" s="1"/>
  <c r="H47" i="39" s="1"/>
  <c r="I47" i="39" s="1"/>
  <c r="J124" i="12"/>
  <c r="K124" i="12" s="1"/>
  <c r="D124" i="39"/>
  <c r="G124" i="39" s="1"/>
  <c r="H124" i="39" s="1"/>
  <c r="I124" i="39" s="1"/>
  <c r="D137" i="39"/>
  <c r="G137" i="39" s="1"/>
  <c r="H137" i="39" s="1"/>
  <c r="I137" i="39" s="1"/>
  <c r="J137" i="12"/>
  <c r="K137" i="12" s="1"/>
  <c r="J75" i="12"/>
  <c r="K75" i="12" s="1"/>
  <c r="D75" i="39"/>
  <c r="G75" i="39" s="1"/>
  <c r="H75" i="39" s="1"/>
  <c r="I75" i="39" s="1"/>
  <c r="J90" i="12"/>
  <c r="K90" i="12" s="1"/>
  <c r="D90" i="39"/>
  <c r="G90" i="39" s="1"/>
  <c r="H90" i="39" s="1"/>
  <c r="I90" i="39" s="1"/>
  <c r="J66" i="12"/>
  <c r="K66" i="12" s="1"/>
  <c r="D66" i="39"/>
  <c r="G66" i="39" s="1"/>
  <c r="H66" i="39" s="1"/>
  <c r="I66" i="39" s="1"/>
  <c r="D91" i="39"/>
  <c r="G91" i="39" s="1"/>
  <c r="H91" i="39" s="1"/>
  <c r="I91" i="39" s="1"/>
  <c r="J91" i="12"/>
  <c r="K91" i="12" s="1"/>
  <c r="D189" i="39"/>
  <c r="G189" i="39" s="1"/>
  <c r="H189" i="39" s="1"/>
  <c r="I189" i="39" s="1"/>
  <c r="J189" i="12"/>
  <c r="K189" i="12" s="1"/>
  <c r="J105" i="12"/>
  <c r="K105" i="12" s="1"/>
  <c r="D105" i="39"/>
  <c r="G105" i="39" s="1"/>
  <c r="H105" i="39" s="1"/>
  <c r="I105" i="39" s="1"/>
  <c r="J67" i="12"/>
  <c r="K67" i="12" s="1"/>
  <c r="D67" i="39"/>
  <c r="G67" i="39" s="1"/>
  <c r="H67" i="39" s="1"/>
  <c r="I67" i="39" s="1"/>
  <c r="D285" i="39"/>
  <c r="G285" i="39" s="1"/>
  <c r="H285" i="39" s="1"/>
  <c r="I285" i="39" s="1"/>
  <c r="J285" i="12"/>
  <c r="K285" i="12" s="1"/>
  <c r="J20" i="12"/>
  <c r="K20" i="12" s="1"/>
  <c r="D20" i="39"/>
  <c r="G20" i="39" s="1"/>
  <c r="H20" i="39" s="1"/>
  <c r="I20" i="39" s="1"/>
  <c r="J205" i="12"/>
  <c r="K205" i="12" s="1"/>
  <c r="D205" i="39"/>
  <c r="G205" i="39" s="1"/>
  <c r="H205" i="39" s="1"/>
  <c r="I205" i="39" s="1"/>
  <c r="D121" i="39"/>
  <c r="G121" i="39" s="1"/>
  <c r="H121" i="39" s="1"/>
  <c r="I121" i="39" s="1"/>
  <c r="J121" i="12"/>
  <c r="K121" i="12" s="1"/>
  <c r="J207" i="12"/>
  <c r="K207" i="12" s="1"/>
  <c r="D207" i="39"/>
  <c r="G207" i="39" s="1"/>
  <c r="H207" i="39" s="1"/>
  <c r="I207" i="39" s="1"/>
  <c r="D68" i="39"/>
  <c r="G68" i="39" s="1"/>
  <c r="H68" i="39" s="1"/>
  <c r="I68" i="39" s="1"/>
  <c r="J68" i="12"/>
  <c r="K68" i="12" s="1"/>
  <c r="J283" i="12"/>
  <c r="K283" i="12" s="1"/>
  <c r="D283" i="39"/>
  <c r="G283" i="39" s="1"/>
  <c r="H283" i="39" s="1"/>
  <c r="I283" i="39" s="1"/>
  <c r="D229" i="39"/>
  <c r="G229" i="39" s="1"/>
  <c r="H229" i="39" s="1"/>
  <c r="I229" i="39" s="1"/>
  <c r="J229" i="12"/>
  <c r="K229" i="12" s="1"/>
  <c r="J12" i="12"/>
  <c r="K12" i="12" s="1"/>
  <c r="D12" i="39"/>
  <c r="G12" i="39" s="1"/>
  <c r="H12" i="39" s="1"/>
  <c r="I12" i="39" s="1"/>
  <c r="J191" i="12"/>
  <c r="K191" i="12" s="1"/>
  <c r="D191" i="39"/>
  <c r="G191" i="39" s="1"/>
  <c r="H191" i="39" s="1"/>
  <c r="I191" i="39" s="1"/>
  <c r="J100" i="12"/>
  <c r="K100" i="12" s="1"/>
  <c r="D100" i="39"/>
  <c r="G100" i="39" s="1"/>
  <c r="H100" i="39" s="1"/>
  <c r="I100" i="39" s="1"/>
  <c r="J232" i="12"/>
  <c r="K232" i="12" s="1"/>
  <c r="D232" i="39"/>
  <c r="G232" i="39" s="1"/>
  <c r="H232" i="39" s="1"/>
  <c r="I232" i="39" s="1"/>
  <c r="D43" i="39"/>
  <c r="G43" i="39" s="1"/>
  <c r="H43" i="39" s="1"/>
  <c r="I43" i="39" s="1"/>
  <c r="J43" i="12"/>
  <c r="K43" i="12" s="1"/>
  <c r="J215" i="12"/>
  <c r="K215" i="12" s="1"/>
  <c r="D215" i="39"/>
  <c r="G215" i="39" s="1"/>
  <c r="H215" i="39" s="1"/>
  <c r="I215" i="39" s="1"/>
  <c r="D130" i="39"/>
  <c r="G130" i="39" s="1"/>
  <c r="H130" i="39" s="1"/>
  <c r="I130" i="39" s="1"/>
  <c r="J130" i="12"/>
  <c r="K130" i="12" s="1"/>
  <c r="J98" i="12"/>
  <c r="K98" i="12" s="1"/>
  <c r="D98" i="39"/>
  <c r="G98" i="39" s="1"/>
  <c r="H98" i="39" s="1"/>
  <c r="I98" i="39" s="1"/>
  <c r="J184" i="12"/>
  <c r="K184" i="12" s="1"/>
  <c r="D184" i="39"/>
  <c r="G184" i="39" s="1"/>
  <c r="H184" i="39" s="1"/>
  <c r="I184" i="39" s="1"/>
  <c r="J164" i="12"/>
  <c r="K164" i="12" s="1"/>
  <c r="D164" i="39"/>
  <c r="G164" i="39" s="1"/>
  <c r="H164" i="39" s="1"/>
  <c r="I164" i="39" s="1"/>
  <c r="J183" i="12"/>
  <c r="K183" i="12" s="1"/>
  <c r="D183" i="39"/>
  <c r="G183" i="39" s="1"/>
  <c r="H183" i="39" s="1"/>
  <c r="I183" i="39" s="1"/>
  <c r="D294" i="39"/>
  <c r="G294" i="39" s="1"/>
  <c r="H294" i="39" s="1"/>
  <c r="I294" i="39" s="1"/>
  <c r="J294" i="12"/>
  <c r="K294" i="12" s="1"/>
  <c r="J239" i="12"/>
  <c r="K239" i="12" s="1"/>
  <c r="D239" i="39"/>
  <c r="G239" i="39" s="1"/>
  <c r="H239" i="39" s="1"/>
  <c r="I239" i="39" s="1"/>
  <c r="J250" i="12"/>
  <c r="K250" i="12" s="1"/>
  <c r="D250" i="39"/>
  <c r="G250" i="39" s="1"/>
  <c r="H250" i="39" s="1"/>
  <c r="I250" i="39" s="1"/>
  <c r="J173" i="12"/>
  <c r="K173" i="12" s="1"/>
  <c r="D173" i="39"/>
  <c r="G173" i="39" s="1"/>
  <c r="H173" i="39" s="1"/>
  <c r="I173" i="39" s="1"/>
  <c r="J133" i="12"/>
  <c r="K133" i="12" s="1"/>
  <c r="D133" i="39"/>
  <c r="G133" i="39" s="1"/>
  <c r="H133" i="39" s="1"/>
  <c r="I133" i="39" s="1"/>
  <c r="J69" i="12"/>
  <c r="K69" i="12" s="1"/>
  <c r="D69" i="39"/>
  <c r="G69" i="39" s="1"/>
  <c r="H69" i="39" s="1"/>
  <c r="I69" i="39" s="1"/>
  <c r="J209" i="12"/>
  <c r="K209" i="12" s="1"/>
  <c r="D209" i="39"/>
  <c r="G209" i="39" s="1"/>
  <c r="H209" i="39" s="1"/>
  <c r="I209" i="39" s="1"/>
  <c r="D257" i="39"/>
  <c r="G257" i="39" s="1"/>
  <c r="H257" i="39" s="1"/>
  <c r="I257" i="39" s="1"/>
  <c r="J257" i="12"/>
  <c r="K257" i="12" s="1"/>
  <c r="J238" i="12"/>
  <c r="K238" i="12" s="1"/>
  <c r="D238" i="39"/>
  <c r="G238" i="39" s="1"/>
  <c r="H238" i="39" s="1"/>
  <c r="I238" i="39" s="1"/>
  <c r="D142" i="39"/>
  <c r="G142" i="39" s="1"/>
  <c r="H142" i="39" s="1"/>
  <c r="I142" i="39" s="1"/>
  <c r="J142" i="12"/>
  <c r="K142" i="12" s="1"/>
  <c r="J78" i="12"/>
  <c r="K78" i="12" s="1"/>
  <c r="D78" i="39"/>
  <c r="G78" i="39" s="1"/>
  <c r="H78" i="39" s="1"/>
  <c r="I78" i="39" s="1"/>
  <c r="J14" i="12"/>
  <c r="K14" i="12" s="1"/>
  <c r="D14" i="39"/>
  <c r="G14" i="39" s="1"/>
  <c r="H14" i="39" s="1"/>
  <c r="I14" i="39" s="1"/>
  <c r="J288" i="12"/>
  <c r="K288" i="12" s="1"/>
  <c r="D288" i="39"/>
  <c r="G288" i="39" s="1"/>
  <c r="H288" i="39" s="1"/>
  <c r="I288" i="39" s="1"/>
  <c r="J217" i="12"/>
  <c r="K217" i="12" s="1"/>
  <c r="D217" i="39"/>
  <c r="G217" i="39" s="1"/>
  <c r="H217" i="39" s="1"/>
  <c r="I217" i="39" s="1"/>
  <c r="J153" i="12"/>
  <c r="K153" i="12" s="1"/>
  <c r="D153" i="39"/>
  <c r="G153" i="39" s="1"/>
  <c r="H153" i="39" s="1"/>
  <c r="I153" i="39" s="1"/>
  <c r="D25" i="39"/>
  <c r="G25" i="39" s="1"/>
  <c r="H25" i="39" s="1"/>
  <c r="I25" i="39" s="1"/>
  <c r="J25" i="12"/>
  <c r="K25" i="12" s="1"/>
  <c r="J80" i="12"/>
  <c r="K80" i="12" s="1"/>
  <c r="D80" i="39"/>
  <c r="G80" i="39" s="1"/>
  <c r="H80" i="39" s="1"/>
  <c r="I80" i="39" s="1"/>
  <c r="J167" i="12"/>
  <c r="K167" i="12" s="1"/>
  <c r="D167" i="39"/>
  <c r="G167" i="39" s="1"/>
  <c r="H167" i="39" s="1"/>
  <c r="I167" i="39" s="1"/>
  <c r="D103" i="39"/>
  <c r="G103" i="39" s="1"/>
  <c r="H103" i="39" s="1"/>
  <c r="I103" i="39" s="1"/>
  <c r="J103" i="12"/>
  <c r="K103" i="12" s="1"/>
  <c r="J39" i="12"/>
  <c r="K39" i="12" s="1"/>
  <c r="D39" i="39"/>
  <c r="G39" i="39" s="1"/>
  <c r="H39" i="39" s="1"/>
  <c r="I39" i="39" s="1"/>
  <c r="J116" i="12"/>
  <c r="K116" i="12" s="1"/>
  <c r="D116" i="39"/>
  <c r="G116" i="39" s="1"/>
  <c r="H116" i="39" s="1"/>
  <c r="I116" i="39" s="1"/>
  <c r="D33" i="39"/>
  <c r="G33" i="39" s="1"/>
  <c r="H33" i="39" s="1"/>
  <c r="I33" i="39" s="1"/>
  <c r="J33" i="12"/>
  <c r="K33" i="12" s="1"/>
  <c r="J155" i="12"/>
  <c r="K155" i="12" s="1"/>
  <c r="D155" i="39"/>
  <c r="G155" i="39" s="1"/>
  <c r="H155" i="39" s="1"/>
  <c r="I155" i="39" s="1"/>
  <c r="J287" i="12"/>
  <c r="K287" i="12" s="1"/>
  <c r="D287" i="39"/>
  <c r="G287" i="39" s="1"/>
  <c r="H287" i="39" s="1"/>
  <c r="I287" i="39" s="1"/>
  <c r="J226" i="12"/>
  <c r="K226" i="12" s="1"/>
  <c r="D226" i="39"/>
  <c r="G226" i="39" s="1"/>
  <c r="H226" i="39" s="1"/>
  <c r="I226" i="39" s="1"/>
  <c r="J242" i="12"/>
  <c r="K242" i="12" s="1"/>
  <c r="D242" i="39"/>
  <c r="G242" i="39" s="1"/>
  <c r="H242" i="39" s="1"/>
  <c r="I242" i="39" s="1"/>
  <c r="D166" i="39"/>
  <c r="G166" i="39" s="1"/>
  <c r="H166" i="39" s="1"/>
  <c r="I166" i="39" s="1"/>
  <c r="J166" i="12"/>
  <c r="K166" i="12" s="1"/>
  <c r="J118" i="12"/>
  <c r="K118" i="12" s="1"/>
  <c r="D118" i="39"/>
  <c r="G118" i="39" s="1"/>
  <c r="H118" i="39" s="1"/>
  <c r="I118" i="39" s="1"/>
  <c r="J54" i="12"/>
  <c r="K54" i="12" s="1"/>
  <c r="D54" i="39"/>
  <c r="G54" i="39" s="1"/>
  <c r="H54" i="39" s="1"/>
  <c r="I54" i="39" s="1"/>
  <c r="D193" i="39"/>
  <c r="G193" i="39" s="1"/>
  <c r="H193" i="39" s="1"/>
  <c r="I193" i="39" s="1"/>
  <c r="J193" i="12"/>
  <c r="K193" i="12" s="1"/>
  <c r="J249" i="12"/>
  <c r="K249" i="12" s="1"/>
  <c r="D249" i="39"/>
  <c r="G249" i="39" s="1"/>
  <c r="H249" i="39" s="1"/>
  <c r="I249" i="39" s="1"/>
  <c r="J235" i="12"/>
  <c r="K235" i="12" s="1"/>
  <c r="D235" i="39"/>
  <c r="G235" i="39" s="1"/>
  <c r="H235" i="39" s="1"/>
  <c r="I235" i="39" s="1"/>
  <c r="J141" i="12"/>
  <c r="K141" i="12" s="1"/>
  <c r="D141" i="39"/>
  <c r="G141" i="39" s="1"/>
  <c r="H141" i="39" s="1"/>
  <c r="I141" i="39" s="1"/>
  <c r="J77" i="12"/>
  <c r="K77" i="12" s="1"/>
  <c r="D77" i="39"/>
  <c r="G77" i="39" s="1"/>
  <c r="H77" i="39" s="1"/>
  <c r="I77" i="39" s="1"/>
  <c r="J13" i="12"/>
  <c r="K13" i="12" s="1"/>
  <c r="D13" i="39"/>
  <c r="G13" i="39" s="1"/>
  <c r="H13" i="39" s="1"/>
  <c r="I13" i="39" s="1"/>
  <c r="D280" i="39"/>
  <c r="G280" i="39" s="1"/>
  <c r="H280" i="39" s="1"/>
  <c r="I280" i="39" s="1"/>
  <c r="J280" i="12"/>
  <c r="K280" i="12" s="1"/>
  <c r="J201" i="12"/>
  <c r="K201" i="12" s="1"/>
  <c r="D201" i="39"/>
  <c r="G201" i="39" s="1"/>
  <c r="H201" i="39" s="1"/>
  <c r="I201" i="39" s="1"/>
  <c r="D145" i="39"/>
  <c r="G145" i="39" s="1"/>
  <c r="H145" i="39" s="1"/>
  <c r="I145" i="39" s="1"/>
  <c r="J145" i="12"/>
  <c r="K145" i="12" s="1"/>
  <c r="J17" i="12"/>
  <c r="K17" i="12" s="1"/>
  <c r="D17" i="39"/>
  <c r="G17" i="39" s="1"/>
  <c r="H17" i="39" s="1"/>
  <c r="I17" i="39" s="1"/>
  <c r="J72" i="12"/>
  <c r="K72" i="12" s="1"/>
  <c r="D72" i="39"/>
  <c r="G72" i="39" s="1"/>
  <c r="H72" i="39" s="1"/>
  <c r="I72" i="39" s="1"/>
  <c r="J159" i="12"/>
  <c r="K159" i="12" s="1"/>
  <c r="D159" i="39"/>
  <c r="G159" i="39" s="1"/>
  <c r="H159" i="39" s="1"/>
  <c r="I159" i="39" s="1"/>
  <c r="D95" i="39"/>
  <c r="G95" i="39" s="1"/>
  <c r="H95" i="39" s="1"/>
  <c r="I95" i="39" s="1"/>
  <c r="J95" i="12"/>
  <c r="K95" i="12" s="1"/>
  <c r="J108" i="12"/>
  <c r="K108" i="12" s="1"/>
  <c r="D108" i="39"/>
  <c r="G108" i="39" s="1"/>
  <c r="H108" i="39" s="1"/>
  <c r="I108" i="39" s="1"/>
  <c r="D220" i="39"/>
  <c r="G220" i="39" s="1"/>
  <c r="H220" i="39" s="1"/>
  <c r="I220" i="39" s="1"/>
  <c r="J220" i="12"/>
  <c r="K220" i="12" s="1"/>
  <c r="D115" i="39"/>
  <c r="G115" i="39" s="1"/>
  <c r="H115" i="39" s="1"/>
  <c r="I115" i="39" s="1"/>
  <c r="J115" i="12"/>
  <c r="K115" i="12" s="1"/>
  <c r="J292" i="12"/>
  <c r="K292" i="12" s="1"/>
  <c r="D292" i="39"/>
  <c r="G292" i="39" s="1"/>
  <c r="H292" i="39" s="1"/>
  <c r="I292" i="39" s="1"/>
  <c r="D168" i="39"/>
  <c r="G168" i="39" s="1"/>
  <c r="H168" i="39" s="1"/>
  <c r="I168" i="39" s="1"/>
  <c r="J168" i="12"/>
  <c r="K168" i="12" s="1"/>
  <c r="D251" i="39"/>
  <c r="G251" i="39" s="1"/>
  <c r="H251" i="39" s="1"/>
  <c r="I251" i="39" s="1"/>
  <c r="J251" i="12"/>
  <c r="K251" i="12" s="1"/>
  <c r="J243" i="12"/>
  <c r="K243" i="12" s="1"/>
  <c r="D243" i="39"/>
  <c r="G243" i="39" s="1"/>
  <c r="H243" i="39" s="1"/>
  <c r="I243" i="39" s="1"/>
  <c r="J170" i="12"/>
  <c r="K170" i="12" s="1"/>
  <c r="D170" i="39"/>
  <c r="G170" i="39" s="1"/>
  <c r="H170" i="39" s="1"/>
  <c r="I170" i="39" s="1"/>
  <c r="D237" i="39"/>
  <c r="G237" i="39" s="1"/>
  <c r="H237" i="39" s="1"/>
  <c r="I237" i="39" s="1"/>
  <c r="J237" i="12"/>
  <c r="K237" i="12" s="1"/>
  <c r="J171" i="12"/>
  <c r="K171" i="12" s="1"/>
  <c r="D171" i="39"/>
  <c r="G171" i="39" s="1"/>
  <c r="H171" i="39" s="1"/>
  <c r="I171" i="39" s="1"/>
  <c r="J260" i="12"/>
  <c r="K260" i="12" s="1"/>
  <c r="D260" i="39"/>
  <c r="G260" i="39" s="1"/>
  <c r="H260" i="39" s="1"/>
  <c r="I260" i="39" s="1"/>
  <c r="D28" i="39"/>
  <c r="G28" i="39" s="1"/>
  <c r="H28" i="39" s="1"/>
  <c r="I28" i="39" s="1"/>
  <c r="J28" i="12"/>
  <c r="K28" i="12" s="1"/>
  <c r="D200" i="39"/>
  <c r="G200" i="39" s="1"/>
  <c r="H200" i="39" s="1"/>
  <c r="I200" i="39" s="1"/>
  <c r="J200" i="12"/>
  <c r="K200" i="12" s="1"/>
  <c r="J50" i="12"/>
  <c r="K50" i="12" s="1"/>
  <c r="D50" i="39"/>
  <c r="G50" i="39" s="1"/>
  <c r="H50" i="39" s="1"/>
  <c r="I50" i="39" s="1"/>
  <c r="D172" i="39"/>
  <c r="G172" i="39" s="1"/>
  <c r="H172" i="39" s="1"/>
  <c r="I172" i="39" s="1"/>
  <c r="J172" i="12"/>
  <c r="K172" i="12" s="1"/>
  <c r="D99" i="39"/>
  <c r="G99" i="39" s="1"/>
  <c r="H99" i="39" s="1"/>
  <c r="I99" i="39" s="1"/>
  <c r="J99" i="12"/>
  <c r="K99" i="12" s="1"/>
  <c r="J286" i="12"/>
  <c r="K286" i="12" s="1"/>
  <c r="D286" i="39"/>
  <c r="G286" i="39" s="1"/>
  <c r="H286" i="39" s="1"/>
  <c r="I286" i="39" s="1"/>
  <c r="J298" i="12"/>
  <c r="K298" i="12" s="1"/>
  <c r="D298" i="39"/>
  <c r="G298" i="39" s="1"/>
  <c r="H298" i="39" s="1"/>
  <c r="I298" i="39" s="1"/>
  <c r="D227" i="39"/>
  <c r="G227" i="39" s="1"/>
  <c r="H227" i="39" s="1"/>
  <c r="I227" i="39" s="1"/>
  <c r="J227" i="12"/>
  <c r="K227" i="12" s="1"/>
  <c r="J165" i="12"/>
  <c r="K165" i="12" s="1"/>
  <c r="D165" i="39"/>
  <c r="G165" i="39" s="1"/>
  <c r="H165" i="39" s="1"/>
  <c r="I165" i="39" s="1"/>
  <c r="D117" i="39"/>
  <c r="G117" i="39" s="1"/>
  <c r="H117" i="39" s="1"/>
  <c r="I117" i="39" s="1"/>
  <c r="J117" i="12"/>
  <c r="K117" i="12" s="1"/>
  <c r="J53" i="12"/>
  <c r="K53" i="12" s="1"/>
  <c r="D53" i="39"/>
  <c r="G53" i="39" s="1"/>
  <c r="H53" i="39" s="1"/>
  <c r="I53" i="39" s="1"/>
  <c r="D305" i="39"/>
  <c r="G305" i="39" s="1"/>
  <c r="H305" i="39" s="1"/>
  <c r="I305" i="39" s="1"/>
  <c r="J305" i="12"/>
  <c r="K305" i="12" s="1"/>
  <c r="J241" i="12"/>
  <c r="K241" i="12" s="1"/>
  <c r="D241" i="39"/>
  <c r="G241" i="39" s="1"/>
  <c r="H241" i="39" s="1"/>
  <c r="I241" i="39" s="1"/>
  <c r="J224" i="12"/>
  <c r="K224" i="12" s="1"/>
  <c r="D224" i="39"/>
  <c r="G224" i="39" s="1"/>
  <c r="H224" i="39" s="1"/>
  <c r="I224" i="39" s="1"/>
  <c r="D126" i="39"/>
  <c r="G126" i="39" s="1"/>
  <c r="H126" i="39" s="1"/>
  <c r="I126" i="39" s="1"/>
  <c r="J126" i="12"/>
  <c r="K126" i="12" s="1"/>
  <c r="J62" i="12"/>
  <c r="K62" i="12" s="1"/>
  <c r="D62" i="39"/>
  <c r="G62" i="39" s="1"/>
  <c r="H62" i="39" s="1"/>
  <c r="I62" i="39" s="1"/>
  <c r="D234" i="39"/>
  <c r="G234" i="39" s="1"/>
  <c r="H234" i="39" s="1"/>
  <c r="I234" i="39" s="1"/>
  <c r="J234" i="12"/>
  <c r="K234" i="12" s="1"/>
  <c r="J272" i="12"/>
  <c r="K272" i="12" s="1"/>
  <c r="D272" i="39"/>
  <c r="G272" i="39" s="1"/>
  <c r="H272" i="39" s="1"/>
  <c r="I272" i="39" s="1"/>
  <c r="D185" i="39"/>
  <c r="G185" i="39" s="1"/>
  <c r="H185" i="39" s="1"/>
  <c r="I185" i="39" s="1"/>
  <c r="J185" i="12"/>
  <c r="K185" i="12" s="1"/>
  <c r="D97" i="39"/>
  <c r="G97" i="39" s="1"/>
  <c r="H97" i="39" s="1"/>
  <c r="I97" i="39" s="1"/>
  <c r="J97" i="12"/>
  <c r="K97" i="12" s="1"/>
  <c r="J160" i="12"/>
  <c r="K160" i="12" s="1"/>
  <c r="D160" i="39"/>
  <c r="G160" i="39" s="1"/>
  <c r="H160" i="39" s="1"/>
  <c r="I160" i="39" s="1"/>
  <c r="J64" i="12"/>
  <c r="K64" i="12" s="1"/>
  <c r="D64" i="39"/>
  <c r="G64" i="39" s="1"/>
  <c r="H64" i="39" s="1"/>
  <c r="I64" i="39" s="1"/>
  <c r="D87" i="39"/>
  <c r="G87" i="39" s="1"/>
  <c r="H87" i="39" s="1"/>
  <c r="I87" i="39" s="1"/>
  <c r="J87" i="12"/>
  <c r="K87" i="12" s="1"/>
  <c r="J23" i="12"/>
  <c r="K23" i="12" s="1"/>
  <c r="D23" i="39"/>
  <c r="G23" i="39" s="1"/>
  <c r="H23" i="39" s="1"/>
  <c r="I23" i="39" s="1"/>
  <c r="J92" i="12"/>
  <c r="K92" i="12" s="1"/>
  <c r="D92" i="39"/>
  <c r="G92" i="39" s="1"/>
  <c r="H92" i="39" s="1"/>
  <c r="I92" i="39" s="1"/>
  <c r="J275" i="12"/>
  <c r="K275" i="12" s="1"/>
  <c r="D275" i="39"/>
  <c r="G275" i="39" s="1"/>
  <c r="H275" i="39" s="1"/>
  <c r="I275" i="39" s="1"/>
  <c r="J104" i="12"/>
  <c r="K104" i="12" s="1"/>
  <c r="D104" i="39"/>
  <c r="G104" i="39" s="1"/>
  <c r="H104" i="39" s="1"/>
  <c r="I104" i="39" s="1"/>
  <c r="J261" i="12"/>
  <c r="K261" i="12" s="1"/>
  <c r="D261" i="39"/>
  <c r="G261" i="39" s="1"/>
  <c r="H261" i="39" s="1"/>
  <c r="I261" i="39" s="1"/>
  <c r="J11" i="12"/>
  <c r="K11" i="12" s="1"/>
  <c r="D11" i="39"/>
  <c r="G11" i="39" s="1"/>
  <c r="H11" i="39" s="1"/>
  <c r="I11" i="39" s="1"/>
  <c r="D131" i="39"/>
  <c r="G131" i="39" s="1"/>
  <c r="H131" i="39" s="1"/>
  <c r="I131" i="39" s="1"/>
  <c r="J131" i="12"/>
  <c r="K131" i="12" s="1"/>
  <c r="J10" i="12"/>
  <c r="K10" i="12" s="1"/>
  <c r="D10" i="39"/>
  <c r="G10" i="39" s="1"/>
  <c r="H10" i="39" s="1"/>
  <c r="I10" i="39" s="1"/>
  <c r="J277" i="12"/>
  <c r="K277" i="12" s="1"/>
  <c r="D277" i="39"/>
  <c r="G277" i="39" s="1"/>
  <c r="H277" i="39" s="1"/>
  <c r="I277" i="39" s="1"/>
  <c r="J196" i="12"/>
  <c r="K196" i="12" s="1"/>
  <c r="D196" i="39"/>
  <c r="G196" i="39" s="1"/>
  <c r="H196" i="39" s="1"/>
  <c r="I196" i="39" s="1"/>
  <c r="J300" i="12"/>
  <c r="K300" i="12" s="1"/>
  <c r="D300" i="39"/>
  <c r="G300" i="39" s="1"/>
  <c r="H300" i="39" s="1"/>
  <c r="I300" i="39" s="1"/>
  <c r="J199" i="12"/>
  <c r="K199" i="12" s="1"/>
  <c r="D199" i="39"/>
  <c r="G199" i="39" s="1"/>
  <c r="H199" i="39" s="1"/>
  <c r="I199" i="39" s="1"/>
  <c r="J123" i="12"/>
  <c r="K123" i="12" s="1"/>
  <c r="D123" i="39"/>
  <c r="G123" i="39" s="1"/>
  <c r="H123" i="39" s="1"/>
  <c r="I123" i="39" s="1"/>
  <c r="J82" i="12"/>
  <c r="K82" i="12" s="1"/>
  <c r="D82" i="39"/>
  <c r="G82" i="39" s="1"/>
  <c r="H82" i="39" s="1"/>
  <c r="I82" i="39" s="1"/>
  <c r="D221" i="39"/>
  <c r="G221" i="39" s="1"/>
  <c r="H221" i="39" s="1"/>
  <c r="I221" i="39" s="1"/>
  <c r="J221" i="12"/>
  <c r="K221" i="12" s="1"/>
  <c r="D9" i="39"/>
  <c r="G9" i="39" s="1"/>
  <c r="H9" i="39" s="1"/>
  <c r="I9" i="39" s="1"/>
  <c r="J9" i="12"/>
  <c r="K9" i="12" s="1"/>
  <c r="J114" i="12"/>
  <c r="K114" i="12" s="1"/>
  <c r="D114" i="39"/>
  <c r="G114" i="39" s="1"/>
  <c r="H114" i="39" s="1"/>
  <c r="I114" i="39" s="1"/>
  <c r="J279" i="12"/>
  <c r="K279" i="12" s="1"/>
  <c r="D279" i="39"/>
  <c r="G279" i="39" s="1"/>
  <c r="H279" i="39" s="1"/>
  <c r="I279" i="39" s="1"/>
  <c r="J247" i="12"/>
  <c r="K247" i="12" s="1"/>
  <c r="D247" i="39"/>
  <c r="G247" i="39" s="1"/>
  <c r="H247" i="39" s="1"/>
  <c r="I247" i="39" s="1"/>
  <c r="D290" i="39"/>
  <c r="G290" i="39" s="1"/>
  <c r="H290" i="39" s="1"/>
  <c r="I290" i="39" s="1"/>
  <c r="J290" i="12"/>
  <c r="K290" i="12" s="1"/>
  <c r="J211" i="12"/>
  <c r="K211" i="12" s="1"/>
  <c r="D211" i="39"/>
  <c r="G211" i="39" s="1"/>
  <c r="H211" i="39" s="1"/>
  <c r="I211" i="39" s="1"/>
  <c r="J158" i="12"/>
  <c r="K158" i="12" s="1"/>
  <c r="D158" i="39"/>
  <c r="G158" i="39" s="1"/>
  <c r="H158" i="39" s="1"/>
  <c r="I158" i="39" s="1"/>
  <c r="J102" i="12"/>
  <c r="K102" i="12" s="1"/>
  <c r="D102" i="39"/>
  <c r="G102" i="39" s="1"/>
  <c r="H102" i="39" s="1"/>
  <c r="I102" i="39" s="1"/>
  <c r="J38" i="12"/>
  <c r="K38" i="12" s="1"/>
  <c r="D38" i="39"/>
  <c r="G38" i="39" s="1"/>
  <c r="H38" i="39" s="1"/>
  <c r="I38" i="39" s="1"/>
  <c r="J297" i="12"/>
  <c r="K297" i="12" s="1"/>
  <c r="D297" i="39"/>
  <c r="G297" i="39" s="1"/>
  <c r="H297" i="39" s="1"/>
  <c r="I297" i="39" s="1"/>
  <c r="J278" i="12"/>
  <c r="K278" i="12" s="1"/>
  <c r="D278" i="39"/>
  <c r="G278" i="39" s="1"/>
  <c r="H278" i="39" s="1"/>
  <c r="I278" i="39" s="1"/>
  <c r="D219" i="39"/>
  <c r="G219" i="39" s="1"/>
  <c r="H219" i="39" s="1"/>
  <c r="I219" i="39" s="1"/>
  <c r="J219" i="12"/>
  <c r="K219" i="12" s="1"/>
  <c r="J125" i="12"/>
  <c r="K125" i="12" s="1"/>
  <c r="D125" i="39"/>
  <c r="G125" i="39" s="1"/>
  <c r="H125" i="39" s="1"/>
  <c r="I125" i="39" s="1"/>
  <c r="J61" i="12"/>
  <c r="K61" i="12" s="1"/>
  <c r="D61" i="39"/>
  <c r="G61" i="39" s="1"/>
  <c r="H61" i="39" s="1"/>
  <c r="I61" i="39" s="1"/>
  <c r="J218" i="12"/>
  <c r="K218" i="12" s="1"/>
  <c r="D218" i="39"/>
  <c r="G218" i="39" s="1"/>
  <c r="H218" i="39" s="1"/>
  <c r="I218" i="39" s="1"/>
  <c r="D264" i="39"/>
  <c r="G264" i="39" s="1"/>
  <c r="H264" i="39" s="1"/>
  <c r="I264" i="39" s="1"/>
  <c r="J264" i="12"/>
  <c r="K264" i="12" s="1"/>
  <c r="J178" i="12"/>
  <c r="K178" i="12" s="1"/>
  <c r="D178" i="39"/>
  <c r="G178" i="39" s="1"/>
  <c r="H178" i="39" s="1"/>
  <c r="I178" i="39" s="1"/>
  <c r="J81" i="12"/>
  <c r="K81" i="12" s="1"/>
  <c r="D81" i="39"/>
  <c r="G81" i="39" s="1"/>
  <c r="H81" i="39" s="1"/>
  <c r="I81" i="39" s="1"/>
  <c r="J152" i="12"/>
  <c r="K152" i="12" s="1"/>
  <c r="D152" i="39"/>
  <c r="G152" i="39" s="1"/>
  <c r="H152" i="39" s="1"/>
  <c r="I152" i="39" s="1"/>
  <c r="J56" i="12"/>
  <c r="K56" i="12" s="1"/>
  <c r="D56" i="39"/>
  <c r="G56" i="39" s="1"/>
  <c r="H56" i="39" s="1"/>
  <c r="I56" i="39" s="1"/>
  <c r="D143" i="39"/>
  <c r="G143" i="39" s="1"/>
  <c r="H143" i="39" s="1"/>
  <c r="I143" i="39" s="1"/>
  <c r="J143" i="12"/>
  <c r="K143" i="12" s="1"/>
  <c r="D79" i="39"/>
  <c r="G79" i="39" s="1"/>
  <c r="H79" i="39" s="1"/>
  <c r="I79" i="39" s="1"/>
  <c r="J79" i="12"/>
  <c r="K79" i="12" s="1"/>
  <c r="J84" i="12"/>
  <c r="K84" i="12" s="1"/>
  <c r="D84" i="39"/>
  <c r="G84" i="39" s="1"/>
  <c r="H84" i="39" s="1"/>
  <c r="I84" i="39" s="1"/>
  <c r="J267" i="12"/>
  <c r="K267" i="12" s="1"/>
  <c r="D267" i="39"/>
  <c r="G267" i="39" s="1"/>
  <c r="H267" i="39" s="1"/>
  <c r="I267" i="39" s="1"/>
  <c r="J24" i="12"/>
  <c r="K24" i="12" s="1"/>
  <c r="D24" i="39"/>
  <c r="G24" i="39" s="1"/>
  <c r="H24" i="39" s="1"/>
  <c r="I24" i="39" s="1"/>
  <c r="J41" i="12"/>
  <c r="K41" i="12" s="1"/>
  <c r="D41" i="39"/>
  <c r="G41" i="39" s="1"/>
  <c r="H41" i="39" s="1"/>
  <c r="I41" i="39" s="1"/>
  <c r="J30" i="12"/>
  <c r="K30" i="12" s="1"/>
  <c r="D30" i="39"/>
  <c r="G30" i="39" s="1"/>
  <c r="H30" i="39" s="1"/>
  <c r="I30" i="39" s="1"/>
  <c r="J119" i="12"/>
  <c r="K119" i="12" s="1"/>
  <c r="D119" i="39"/>
  <c r="G119" i="39" s="1"/>
  <c r="H119" i="39" s="1"/>
  <c r="I119" i="39" s="1"/>
  <c r="J111" i="12"/>
  <c r="K111" i="12" s="1"/>
  <c r="D111" i="39"/>
  <c r="G111" i="39" s="1"/>
  <c r="H111" i="39" s="1"/>
  <c r="I111" i="39" s="1"/>
  <c r="J214" i="12"/>
  <c r="K214" i="12" s="1"/>
  <c r="D214" i="39"/>
  <c r="G214" i="39" s="1"/>
  <c r="H214" i="39" s="1"/>
  <c r="I214" i="39" s="1"/>
  <c r="J223" i="12"/>
  <c r="K223" i="12" s="1"/>
  <c r="D223" i="39"/>
  <c r="G223" i="39" s="1"/>
  <c r="H223" i="39" s="1"/>
  <c r="I223" i="39" s="1"/>
  <c r="J31" i="12"/>
  <c r="K31" i="12" s="1"/>
  <c r="D31" i="39"/>
  <c r="G31" i="39" s="1"/>
  <c r="H31" i="39" s="1"/>
  <c r="I31" i="39" s="1"/>
  <c r="J206" i="12"/>
  <c r="K206" i="12" s="1"/>
  <c r="D206" i="39"/>
  <c r="G206" i="39" s="1"/>
  <c r="H206" i="39" s="1"/>
  <c r="I206" i="39" s="1"/>
  <c r="J198" i="12"/>
  <c r="K198" i="12" s="1"/>
  <c r="D198" i="39"/>
  <c r="G198" i="39" s="1"/>
  <c r="H198" i="39" s="1"/>
  <c r="I198" i="39" s="1"/>
  <c r="J284" i="12"/>
  <c r="K284" i="12" s="1"/>
  <c r="D284" i="39"/>
  <c r="G284" i="39" s="1"/>
  <c r="H284" i="39" s="1"/>
  <c r="I284" i="39" s="1"/>
  <c r="J151" i="12"/>
  <c r="K151" i="12" s="1"/>
  <c r="D151" i="39"/>
  <c r="G151" i="39" s="1"/>
  <c r="H151" i="39" s="1"/>
  <c r="I151" i="39" s="1"/>
  <c r="J15" i="12"/>
  <c r="K15" i="12" s="1"/>
  <c r="D15" i="39"/>
  <c r="G15" i="39" s="1"/>
  <c r="H15" i="39" s="1"/>
  <c r="I15" i="39" s="1"/>
  <c r="F41" i="48"/>
  <c r="J6" i="12"/>
  <c r="K6" i="12" s="1"/>
  <c r="D6" i="39"/>
  <c r="G6" i="39" s="1"/>
  <c r="H6" i="39" s="1"/>
  <c r="I6" i="39" s="1"/>
  <c r="J306" i="12"/>
  <c r="G91" i="13" l="1"/>
  <c r="H91" i="13" s="1"/>
  <c r="I91" i="13" s="1"/>
  <c r="J91" i="13" s="1"/>
  <c r="G16" i="13"/>
  <c r="H16" i="13" s="1"/>
  <c r="I16" i="13" s="1"/>
  <c r="J16" i="13" s="1"/>
  <c r="E37" i="48"/>
  <c r="G201" i="13"/>
  <c r="H201" i="13" s="1"/>
  <c r="I201" i="13" s="1"/>
  <c r="J201" i="13" s="1"/>
  <c r="G230" i="13"/>
  <c r="H230" i="13" s="1"/>
  <c r="I230" i="13" s="1"/>
  <c r="J230" i="13" s="1"/>
  <c r="G295" i="13"/>
  <c r="H295" i="13" s="1"/>
  <c r="I295" i="13" s="1"/>
  <c r="J295" i="13" s="1"/>
  <c r="G164" i="13"/>
  <c r="H164" i="13" s="1"/>
  <c r="I164" i="13" s="1"/>
  <c r="J164" i="13" s="1"/>
  <c r="G244" i="13"/>
  <c r="H244" i="13" s="1"/>
  <c r="I244" i="13" s="1"/>
  <c r="J244" i="13" s="1"/>
  <c r="G250" i="13"/>
  <c r="H250" i="13" s="1"/>
  <c r="I250" i="13" s="1"/>
  <c r="J250" i="13" s="1"/>
  <c r="G248" i="13"/>
  <c r="H248" i="13" s="1"/>
  <c r="I248" i="13" s="1"/>
  <c r="J248" i="13" s="1"/>
  <c r="G243" i="13"/>
  <c r="H243" i="13" s="1"/>
  <c r="I243" i="13" s="1"/>
  <c r="J243" i="13" s="1"/>
  <c r="G47" i="13"/>
  <c r="H47" i="13" s="1"/>
  <c r="I47" i="13" s="1"/>
  <c r="J47" i="13" s="1"/>
  <c r="G41" i="13"/>
  <c r="H41" i="13" s="1"/>
  <c r="I41" i="13" s="1"/>
  <c r="J41" i="13" s="1"/>
  <c r="G37" i="13"/>
  <c r="H37" i="13" s="1"/>
  <c r="I37" i="13" s="1"/>
  <c r="J37" i="13" s="1"/>
  <c r="G33" i="13"/>
  <c r="H33" i="13" s="1"/>
  <c r="I33" i="13" s="1"/>
  <c r="J33" i="13" s="1"/>
  <c r="G233" i="13"/>
  <c r="H233" i="13" s="1"/>
  <c r="I233" i="13" s="1"/>
  <c r="J233" i="13" s="1"/>
  <c r="G234" i="13"/>
  <c r="H234" i="13" s="1"/>
  <c r="I234" i="13" s="1"/>
  <c r="J234" i="13" s="1"/>
  <c r="G46" i="13"/>
  <c r="H46" i="13" s="1"/>
  <c r="I46" i="13" s="1"/>
  <c r="J46" i="13" s="1"/>
  <c r="G32" i="13"/>
  <c r="H32" i="13" s="1"/>
  <c r="I32" i="13" s="1"/>
  <c r="J32" i="13" s="1"/>
  <c r="G61" i="13"/>
  <c r="H61" i="13" s="1"/>
  <c r="I61" i="13" s="1"/>
  <c r="J61" i="13" s="1"/>
  <c r="G103" i="13"/>
  <c r="H103" i="13" s="1"/>
  <c r="I103" i="13" s="1"/>
  <c r="J103" i="13" s="1"/>
  <c r="G240" i="13"/>
  <c r="H240" i="13" s="1"/>
  <c r="I240" i="13" s="1"/>
  <c r="J240" i="13" s="1"/>
  <c r="G115" i="13"/>
  <c r="H115" i="13" s="1"/>
  <c r="I115" i="13" s="1"/>
  <c r="J115" i="13" s="1"/>
  <c r="G30" i="13"/>
  <c r="H30" i="13" s="1"/>
  <c r="I30" i="13" s="1"/>
  <c r="J30" i="13" s="1"/>
  <c r="G87" i="13"/>
  <c r="H87" i="13" s="1"/>
  <c r="I87" i="13" s="1"/>
  <c r="J87" i="13" s="1"/>
  <c r="G218" i="13"/>
  <c r="H218" i="13" s="1"/>
  <c r="I218" i="13" s="1"/>
  <c r="J218" i="13" s="1"/>
  <c r="G224" i="13"/>
  <c r="H224" i="13" s="1"/>
  <c r="I224" i="13" s="1"/>
  <c r="J224" i="13" s="1"/>
  <c r="G86" i="13"/>
  <c r="H86" i="13" s="1"/>
  <c r="I86" i="13" s="1"/>
  <c r="J86" i="13" s="1"/>
  <c r="G238" i="13"/>
  <c r="H238" i="13" s="1"/>
  <c r="I238" i="13" s="1"/>
  <c r="J238" i="13" s="1"/>
  <c r="G289" i="13"/>
  <c r="G56" i="13"/>
  <c r="H56" i="13" s="1"/>
  <c r="I56" i="13" s="1"/>
  <c r="J56" i="13" s="1"/>
  <c r="G65" i="13"/>
  <c r="H65" i="13" s="1"/>
  <c r="I65" i="13" s="1"/>
  <c r="J65" i="13" s="1"/>
  <c r="G191" i="13"/>
  <c r="H191" i="13" s="1"/>
  <c r="I191" i="13" s="1"/>
  <c r="J191" i="13" s="1"/>
  <c r="G242" i="13"/>
  <c r="H242" i="13" s="1"/>
  <c r="I242" i="13" s="1"/>
  <c r="J242" i="13" s="1"/>
  <c r="G211" i="13"/>
  <c r="H211" i="13" s="1"/>
  <c r="I211" i="13" s="1"/>
  <c r="J211" i="13" s="1"/>
  <c r="G26" i="13"/>
  <c r="H26" i="13" s="1"/>
  <c r="I26" i="13" s="1"/>
  <c r="J26" i="13" s="1"/>
  <c r="G125" i="13"/>
  <c r="H125" i="13" s="1"/>
  <c r="I125" i="13" s="1"/>
  <c r="J125" i="13" s="1"/>
  <c r="G188" i="13"/>
  <c r="H188" i="13" s="1"/>
  <c r="I188" i="13" s="1"/>
  <c r="J188" i="13" s="1"/>
  <c r="G133" i="13"/>
  <c r="H133" i="13" s="1"/>
  <c r="I133" i="13" s="1"/>
  <c r="J133" i="13" s="1"/>
  <c r="G247" i="13"/>
  <c r="H247" i="13" s="1"/>
  <c r="I247" i="13" s="1"/>
  <c r="J247" i="13" s="1"/>
  <c r="G239" i="13"/>
  <c r="H239" i="13" s="1"/>
  <c r="I239" i="13" s="1"/>
  <c r="J239" i="13" s="1"/>
  <c r="G15" i="13"/>
  <c r="H15" i="13" s="1"/>
  <c r="I15" i="13" s="1"/>
  <c r="J15" i="13" s="1"/>
  <c r="G85" i="13"/>
  <c r="H85" i="13" s="1"/>
  <c r="I85" i="13" s="1"/>
  <c r="J85" i="13" s="1"/>
  <c r="G63" i="13"/>
  <c r="H63" i="13" s="1"/>
  <c r="I63" i="13" s="1"/>
  <c r="J63" i="13" s="1"/>
  <c r="G145" i="13"/>
  <c r="H145" i="13" s="1"/>
  <c r="I145" i="13" s="1"/>
  <c r="J145" i="13" s="1"/>
  <c r="G214" i="13"/>
  <c r="H214" i="13" s="1"/>
  <c r="I214" i="13" s="1"/>
  <c r="J214" i="13" s="1"/>
  <c r="G261" i="13"/>
  <c r="H261" i="13" s="1"/>
  <c r="I261" i="13" s="1"/>
  <c r="J261" i="13" s="1"/>
  <c r="G278" i="13"/>
  <c r="H278" i="13" s="1"/>
  <c r="I278" i="13" s="1"/>
  <c r="J278" i="13" s="1"/>
  <c r="G101" i="13"/>
  <c r="H101" i="13" s="1"/>
  <c r="I101" i="13" s="1"/>
  <c r="J101" i="13" s="1"/>
  <c r="G276" i="13"/>
  <c r="H276" i="13" s="1"/>
  <c r="I276" i="13" s="1"/>
  <c r="J276" i="13" s="1"/>
  <c r="G57" i="13"/>
  <c r="H57" i="13" s="1"/>
  <c r="I57" i="13" s="1"/>
  <c r="J57" i="13" s="1"/>
  <c r="G70" i="13"/>
  <c r="H70" i="13" s="1"/>
  <c r="I70" i="13" s="1"/>
  <c r="J70" i="13" s="1"/>
  <c r="G194" i="13"/>
  <c r="H194" i="13" s="1"/>
  <c r="I194" i="13" s="1"/>
  <c r="J194" i="13" s="1"/>
  <c r="G39" i="13"/>
  <c r="H39" i="13" s="1"/>
  <c r="I39" i="13" s="1"/>
  <c r="J39" i="13" s="1"/>
  <c r="G104" i="13"/>
  <c r="H104" i="13" s="1"/>
  <c r="I104" i="13" s="1"/>
  <c r="J104" i="13" s="1"/>
  <c r="G45" i="13"/>
  <c r="H45" i="13" s="1"/>
  <c r="I45" i="13" s="1"/>
  <c r="J45" i="13" s="1"/>
  <c r="G235" i="13"/>
  <c r="H235" i="13" s="1"/>
  <c r="I235" i="13" s="1"/>
  <c r="J235" i="13" s="1"/>
  <c r="G204" i="13"/>
  <c r="H204" i="13" s="1"/>
  <c r="I204" i="13" s="1"/>
  <c r="J204" i="13" s="1"/>
  <c r="G275" i="13"/>
  <c r="H275" i="13" s="1"/>
  <c r="I275" i="13" s="1"/>
  <c r="J275" i="13" s="1"/>
  <c r="G170" i="13"/>
  <c r="H170" i="13" s="1"/>
  <c r="I170" i="13" s="1"/>
  <c r="J170" i="13" s="1"/>
  <c r="G98" i="13"/>
  <c r="H98" i="13" s="1"/>
  <c r="I98" i="13" s="1"/>
  <c r="J98" i="13" s="1"/>
  <c r="G10" i="13"/>
  <c r="H10" i="13" s="1"/>
  <c r="I10" i="13" s="1"/>
  <c r="J10" i="13" s="1"/>
  <c r="G262" i="13"/>
  <c r="H262" i="13" s="1"/>
  <c r="I262" i="13" s="1"/>
  <c r="J262" i="13" s="1"/>
  <c r="G144" i="13"/>
  <c r="H144" i="13" s="1"/>
  <c r="I144" i="13" s="1"/>
  <c r="J144" i="13" s="1"/>
  <c r="G48" i="13"/>
  <c r="H48" i="13" s="1"/>
  <c r="I48" i="13" s="1"/>
  <c r="J48" i="13" s="1"/>
  <c r="G305" i="13"/>
  <c r="H305" i="13" s="1"/>
  <c r="I305" i="13" s="1"/>
  <c r="J305" i="13" s="1"/>
  <c r="G300" i="13"/>
  <c r="H300" i="13" s="1"/>
  <c r="I300" i="13" s="1"/>
  <c r="J300" i="13" s="1"/>
  <c r="G50" i="13"/>
  <c r="H50" i="13" s="1"/>
  <c r="I50" i="13" s="1"/>
  <c r="J50" i="13" s="1"/>
  <c r="G149" i="13"/>
  <c r="H149" i="13" s="1"/>
  <c r="I149" i="13" s="1"/>
  <c r="J149" i="13" s="1"/>
  <c r="G290" i="13"/>
  <c r="H290" i="13" s="1"/>
  <c r="I290" i="13" s="1"/>
  <c r="J290" i="13" s="1"/>
  <c r="G296" i="13"/>
  <c r="H296" i="13" s="1"/>
  <c r="I296" i="13" s="1"/>
  <c r="J296" i="13" s="1"/>
  <c r="G109" i="13"/>
  <c r="H109" i="13" s="1"/>
  <c r="I109" i="13" s="1"/>
  <c r="J109" i="13" s="1"/>
  <c r="G59" i="13"/>
  <c r="H59" i="13" s="1"/>
  <c r="I59" i="13" s="1"/>
  <c r="J59" i="13" s="1"/>
  <c r="G265" i="13"/>
  <c r="H265" i="13" s="1"/>
  <c r="I265" i="13" s="1"/>
  <c r="J265" i="13" s="1"/>
  <c r="G163" i="13"/>
  <c r="H163" i="13" s="1"/>
  <c r="I163" i="13" s="1"/>
  <c r="J163" i="13" s="1"/>
  <c r="G206" i="13"/>
  <c r="H206" i="13" s="1"/>
  <c r="I206" i="13" s="1"/>
  <c r="J206" i="13" s="1"/>
  <c r="G79" i="13"/>
  <c r="H79" i="13" s="1"/>
  <c r="I79" i="13" s="1"/>
  <c r="J79" i="13" s="1"/>
  <c r="G94" i="13"/>
  <c r="H94" i="13" s="1"/>
  <c r="I94" i="13" s="1"/>
  <c r="J94" i="13" s="1"/>
  <c r="G212" i="13"/>
  <c r="H212" i="13" s="1"/>
  <c r="I212" i="13" s="1"/>
  <c r="J212" i="13" s="1"/>
  <c r="G93" i="13"/>
  <c r="H93" i="13" s="1"/>
  <c r="I93" i="13" s="1"/>
  <c r="J93" i="13" s="1"/>
  <c r="G273" i="13"/>
  <c r="H273" i="13" s="1"/>
  <c r="I273" i="13" s="1"/>
  <c r="J273" i="13" s="1"/>
  <c r="G74" i="13"/>
  <c r="H74" i="13" s="1"/>
  <c r="I74" i="13" s="1"/>
  <c r="J74" i="13" s="1"/>
  <c r="G299" i="13"/>
  <c r="H299" i="13" s="1"/>
  <c r="I299" i="13" s="1"/>
  <c r="J299" i="13" s="1"/>
  <c r="G167" i="13"/>
  <c r="H167" i="13" s="1"/>
  <c r="I167" i="13" s="1"/>
  <c r="J167" i="13" s="1"/>
  <c r="G293" i="13"/>
  <c r="H293" i="13" s="1"/>
  <c r="I293" i="13" s="1"/>
  <c r="J293" i="13" s="1"/>
  <c r="G297" i="13"/>
  <c r="H297" i="13" s="1"/>
  <c r="I297" i="13" s="1"/>
  <c r="J297" i="13" s="1"/>
  <c r="G229" i="13"/>
  <c r="H229" i="13" s="1"/>
  <c r="I229" i="13" s="1"/>
  <c r="J229" i="13" s="1"/>
  <c r="G283" i="13"/>
  <c r="H283" i="13" s="1"/>
  <c r="I283" i="13" s="1"/>
  <c r="J283" i="13" s="1"/>
  <c r="G116" i="13"/>
  <c r="H116" i="13" s="1"/>
  <c r="I116" i="13" s="1"/>
  <c r="J116" i="13" s="1"/>
  <c r="G253" i="13"/>
  <c r="H253" i="13" s="1"/>
  <c r="I253" i="13" s="1"/>
  <c r="J253" i="13" s="1"/>
  <c r="G178" i="13"/>
  <c r="H178" i="13" s="1"/>
  <c r="I178" i="13" s="1"/>
  <c r="J178" i="13" s="1"/>
  <c r="G40" i="13"/>
  <c r="H40" i="13" s="1"/>
  <c r="I40" i="13" s="1"/>
  <c r="J40" i="13" s="1"/>
  <c r="G131" i="13"/>
  <c r="H131" i="13" s="1"/>
  <c r="I131" i="13" s="1"/>
  <c r="J131" i="13" s="1"/>
  <c r="G216" i="13"/>
  <c r="H216" i="13" s="1"/>
  <c r="I216" i="13" s="1"/>
  <c r="J216" i="13" s="1"/>
  <c r="G78" i="13"/>
  <c r="H78" i="13" s="1"/>
  <c r="I78" i="13" s="1"/>
  <c r="J78" i="13" s="1"/>
  <c r="G159" i="13"/>
  <c r="H159" i="13" s="1"/>
  <c r="I159" i="13" s="1"/>
  <c r="J159" i="13" s="1"/>
  <c r="G130" i="13"/>
  <c r="H130" i="13" s="1"/>
  <c r="I130" i="13" s="1"/>
  <c r="J130" i="13" s="1"/>
  <c r="G198" i="13"/>
  <c r="H198" i="13" s="1"/>
  <c r="I198" i="13" s="1"/>
  <c r="J198" i="13" s="1"/>
  <c r="G263" i="13"/>
  <c r="H263" i="13" s="1"/>
  <c r="I263" i="13" s="1"/>
  <c r="J263" i="13" s="1"/>
  <c r="G28" i="13"/>
  <c r="H28" i="13" s="1"/>
  <c r="I28" i="13" s="1"/>
  <c r="J28" i="13" s="1"/>
  <c r="G120" i="13"/>
  <c r="H120" i="13" s="1"/>
  <c r="I120" i="13" s="1"/>
  <c r="J120" i="13" s="1"/>
  <c r="G281" i="13"/>
  <c r="H281" i="13" s="1"/>
  <c r="I281" i="13" s="1"/>
  <c r="J281" i="13" s="1"/>
  <c r="G83" i="13"/>
  <c r="H83" i="13" s="1"/>
  <c r="I83" i="13" s="1"/>
  <c r="J83" i="13" s="1"/>
  <c r="G121" i="13"/>
  <c r="H121" i="13" s="1"/>
  <c r="I121" i="13" s="1"/>
  <c r="J121" i="13" s="1"/>
  <c r="G231" i="13"/>
  <c r="H231" i="13" s="1"/>
  <c r="I231" i="13" s="1"/>
  <c r="J231" i="13" s="1"/>
  <c r="G279" i="13"/>
  <c r="H279" i="13" s="1"/>
  <c r="I279" i="13" s="1"/>
  <c r="J279" i="13" s="1"/>
  <c r="G193" i="13"/>
  <c r="H193" i="13" s="1"/>
  <c r="I193" i="13" s="1"/>
  <c r="J193" i="13" s="1"/>
  <c r="G11" i="13"/>
  <c r="H11" i="13" s="1"/>
  <c r="I11" i="13" s="1"/>
  <c r="J11" i="13" s="1"/>
  <c r="G126" i="13"/>
  <c r="H126" i="13" s="1"/>
  <c r="I126" i="13" s="1"/>
  <c r="J126" i="13" s="1"/>
  <c r="G75" i="13"/>
  <c r="H75" i="13" s="1"/>
  <c r="I75" i="13" s="1"/>
  <c r="J75" i="13" s="1"/>
  <c r="G196" i="13"/>
  <c r="H196" i="13" s="1"/>
  <c r="I196" i="13" s="1"/>
  <c r="J196" i="13" s="1"/>
  <c r="G92" i="13"/>
  <c r="H92" i="13" s="1"/>
  <c r="I92" i="13" s="1"/>
  <c r="J92" i="13" s="1"/>
  <c r="G154" i="13"/>
  <c r="H154" i="13" s="1"/>
  <c r="I154" i="13" s="1"/>
  <c r="J154" i="13" s="1"/>
  <c r="G139" i="13"/>
  <c r="H139" i="13" s="1"/>
  <c r="I139" i="13" s="1"/>
  <c r="J139" i="13" s="1"/>
  <c r="G256" i="13"/>
  <c r="H256" i="13" s="1"/>
  <c r="I256" i="13" s="1"/>
  <c r="J256" i="13" s="1"/>
  <c r="G100" i="13"/>
  <c r="H100" i="13" s="1"/>
  <c r="I100" i="13" s="1"/>
  <c r="J100" i="13" s="1"/>
  <c r="G147" i="13"/>
  <c r="H147" i="13" s="1"/>
  <c r="I147" i="13" s="1"/>
  <c r="J147" i="13" s="1"/>
  <c r="G155" i="13"/>
  <c r="H155" i="13" s="1"/>
  <c r="I155" i="13" s="1"/>
  <c r="J155" i="13" s="1"/>
  <c r="G301" i="13"/>
  <c r="H301" i="13" s="1"/>
  <c r="I301" i="13" s="1"/>
  <c r="J301" i="13" s="1"/>
  <c r="G43" i="13"/>
  <c r="H43" i="13" s="1"/>
  <c r="I43" i="13" s="1"/>
  <c r="J43" i="13" s="1"/>
  <c r="G168" i="13"/>
  <c r="H168" i="13" s="1"/>
  <c r="I168" i="13" s="1"/>
  <c r="J168" i="13" s="1"/>
  <c r="G222" i="13"/>
  <c r="H222" i="13" s="1"/>
  <c r="I222" i="13" s="1"/>
  <c r="J222" i="13" s="1"/>
  <c r="G96" i="13"/>
  <c r="H96" i="13" s="1"/>
  <c r="I96" i="13" s="1"/>
  <c r="J96" i="13" s="1"/>
  <c r="G185" i="13"/>
  <c r="H185" i="13" s="1"/>
  <c r="I185" i="13" s="1"/>
  <c r="J185" i="13" s="1"/>
  <c r="G66" i="13"/>
  <c r="H66" i="13" s="1"/>
  <c r="I66" i="13" s="1"/>
  <c r="J66" i="13" s="1"/>
  <c r="G114" i="13"/>
  <c r="H114" i="13" s="1"/>
  <c r="I114" i="13" s="1"/>
  <c r="J114" i="13" s="1"/>
  <c r="G76" i="13"/>
  <c r="H76" i="13" s="1"/>
  <c r="I76" i="13" s="1"/>
  <c r="J76" i="13" s="1"/>
  <c r="G84" i="13"/>
  <c r="H84" i="13" s="1"/>
  <c r="I84" i="13" s="1"/>
  <c r="J84" i="13" s="1"/>
  <c r="G112" i="13"/>
  <c r="H112" i="13" s="1"/>
  <c r="I112" i="13" s="1"/>
  <c r="J112" i="13" s="1"/>
  <c r="G280" i="13"/>
  <c r="H280" i="13" s="1"/>
  <c r="I280" i="13" s="1"/>
  <c r="J280" i="13" s="1"/>
  <c r="G175" i="13"/>
  <c r="H175" i="13" s="1"/>
  <c r="I175" i="13" s="1"/>
  <c r="J175" i="13" s="1"/>
  <c r="G232" i="13"/>
  <c r="H232" i="13" s="1"/>
  <c r="I232" i="13" s="1"/>
  <c r="J232" i="13" s="1"/>
  <c r="G81" i="13"/>
  <c r="H81" i="13" s="1"/>
  <c r="I81" i="13" s="1"/>
  <c r="J81" i="13" s="1"/>
  <c r="G236" i="13"/>
  <c r="H236" i="13" s="1"/>
  <c r="I236" i="13" s="1"/>
  <c r="J236" i="13" s="1"/>
  <c r="G286" i="13"/>
  <c r="H286" i="13" s="1"/>
  <c r="I286" i="13" s="1"/>
  <c r="J286" i="13" s="1"/>
  <c r="G172" i="13"/>
  <c r="H172" i="13" s="1"/>
  <c r="I172" i="13" s="1"/>
  <c r="J172" i="13" s="1"/>
  <c r="G69" i="13"/>
  <c r="H69" i="13" s="1"/>
  <c r="I69" i="13" s="1"/>
  <c r="J69" i="13" s="1"/>
  <c r="G202" i="13"/>
  <c r="H202" i="13" s="1"/>
  <c r="I202" i="13" s="1"/>
  <c r="J202" i="13" s="1"/>
  <c r="G213" i="13"/>
  <c r="H213" i="13" s="1"/>
  <c r="I213" i="13" s="1"/>
  <c r="J213" i="13" s="1"/>
  <c r="G197" i="13"/>
  <c r="H197" i="13" s="1"/>
  <c r="I197" i="13" s="1"/>
  <c r="J197" i="13" s="1"/>
  <c r="G60" i="13"/>
  <c r="H60" i="13" s="1"/>
  <c r="I60" i="13" s="1"/>
  <c r="J60" i="13" s="1"/>
  <c r="G99" i="13"/>
  <c r="H99" i="13" s="1"/>
  <c r="I99" i="13" s="1"/>
  <c r="J99" i="13" s="1"/>
  <c r="G183" i="13"/>
  <c r="H183" i="13" s="1"/>
  <c r="I183" i="13" s="1"/>
  <c r="J183" i="13" s="1"/>
  <c r="G220" i="13"/>
  <c r="H220" i="13" s="1"/>
  <c r="I220" i="13" s="1"/>
  <c r="J220" i="13" s="1"/>
  <c r="G160" i="13"/>
  <c r="H160" i="13" s="1"/>
  <c r="I160" i="13" s="1"/>
  <c r="J160" i="13" s="1"/>
  <c r="G158" i="13"/>
  <c r="H158" i="13" s="1"/>
  <c r="I158" i="13" s="1"/>
  <c r="J158" i="13" s="1"/>
  <c r="G272" i="13"/>
  <c r="H272" i="13" s="1"/>
  <c r="I272" i="13" s="1"/>
  <c r="J272" i="13" s="1"/>
  <c r="G156" i="13"/>
  <c r="H156" i="13" s="1"/>
  <c r="I156" i="13" s="1"/>
  <c r="J156" i="13" s="1"/>
  <c r="G180" i="13"/>
  <c r="H180" i="13" s="1"/>
  <c r="I180" i="13" s="1"/>
  <c r="J180" i="13" s="1"/>
  <c r="G134" i="13"/>
  <c r="H134" i="13" s="1"/>
  <c r="I134" i="13" s="1"/>
  <c r="J134" i="13" s="1"/>
  <c r="G166" i="13"/>
  <c r="H166" i="13" s="1"/>
  <c r="I166" i="13" s="1"/>
  <c r="J166" i="13" s="1"/>
  <c r="G241" i="13"/>
  <c r="H241" i="13" s="1"/>
  <c r="I241" i="13" s="1"/>
  <c r="J241" i="13" s="1"/>
  <c r="G217" i="13"/>
  <c r="H217" i="13" s="1"/>
  <c r="I217" i="13" s="1"/>
  <c r="J217" i="13" s="1"/>
  <c r="G36" i="13"/>
  <c r="H36" i="13" s="1"/>
  <c r="I36" i="13" s="1"/>
  <c r="J36" i="13" s="1"/>
  <c r="G181" i="13"/>
  <c r="H181" i="13" s="1"/>
  <c r="I181" i="13" s="1"/>
  <c r="J181" i="13" s="1"/>
  <c r="G251" i="13"/>
  <c r="H251" i="13" s="1"/>
  <c r="I251" i="13" s="1"/>
  <c r="J251" i="13" s="1"/>
  <c r="G42" i="13"/>
  <c r="H42" i="13" s="1"/>
  <c r="I42" i="13" s="1"/>
  <c r="J42" i="13" s="1"/>
  <c r="G58" i="13"/>
  <c r="H58" i="13" s="1"/>
  <c r="I58" i="13" s="1"/>
  <c r="J58" i="13" s="1"/>
  <c r="G268" i="13"/>
  <c r="H268" i="13" s="1"/>
  <c r="I268" i="13" s="1"/>
  <c r="J268" i="13" s="1"/>
  <c r="G259" i="13"/>
  <c r="H259" i="13" s="1"/>
  <c r="I259" i="13" s="1"/>
  <c r="J259" i="13" s="1"/>
  <c r="G54" i="13"/>
  <c r="H54" i="13" s="1"/>
  <c r="I54" i="13" s="1"/>
  <c r="J54" i="13" s="1"/>
  <c r="G150" i="13"/>
  <c r="H150" i="13" s="1"/>
  <c r="I150" i="13" s="1"/>
  <c r="J150" i="13" s="1"/>
  <c r="G161" i="13"/>
  <c r="H161" i="13" s="1"/>
  <c r="I161" i="13" s="1"/>
  <c r="J161" i="13" s="1"/>
  <c r="G119" i="13"/>
  <c r="H119" i="13" s="1"/>
  <c r="I119" i="13" s="1"/>
  <c r="J119" i="13" s="1"/>
  <c r="G49" i="13"/>
  <c r="H49" i="13" s="1"/>
  <c r="I49" i="13" s="1"/>
  <c r="J49" i="13" s="1"/>
  <c r="G190" i="13"/>
  <c r="H190" i="13" s="1"/>
  <c r="I190" i="13" s="1"/>
  <c r="J190" i="13" s="1"/>
  <c r="G127" i="13"/>
  <c r="H127" i="13" s="1"/>
  <c r="I127" i="13" s="1"/>
  <c r="J127" i="13" s="1"/>
  <c r="G38" i="13"/>
  <c r="H38" i="13" s="1"/>
  <c r="I38" i="13" s="1"/>
  <c r="J38" i="13" s="1"/>
  <c r="G173" i="13"/>
  <c r="H173" i="13" s="1"/>
  <c r="I173" i="13" s="1"/>
  <c r="J173" i="13" s="1"/>
  <c r="G292" i="13"/>
  <c r="H292" i="13" s="1"/>
  <c r="I292" i="13" s="1"/>
  <c r="J292" i="13" s="1"/>
  <c r="G223" i="13"/>
  <c r="H223" i="13" s="1"/>
  <c r="I223" i="13" s="1"/>
  <c r="J223" i="13" s="1"/>
  <c r="G105" i="13"/>
  <c r="H105" i="13" s="1"/>
  <c r="I105" i="13" s="1"/>
  <c r="J105" i="13" s="1"/>
  <c r="G14" i="13"/>
  <c r="H14" i="13" s="1"/>
  <c r="I14" i="13" s="1"/>
  <c r="J14" i="13" s="1"/>
  <c r="G44" i="13"/>
  <c r="H44" i="13" s="1"/>
  <c r="I44" i="13" s="1"/>
  <c r="J44" i="13" s="1"/>
  <c r="G106" i="13"/>
  <c r="H106" i="13" s="1"/>
  <c r="I106" i="13" s="1"/>
  <c r="J106" i="13" s="1"/>
  <c r="G195" i="13"/>
  <c r="H195" i="13" s="1"/>
  <c r="I195" i="13" s="1"/>
  <c r="J195" i="13" s="1"/>
  <c r="G151" i="13"/>
  <c r="H151" i="13" s="1"/>
  <c r="I151" i="13" s="1"/>
  <c r="J151" i="13" s="1"/>
  <c r="G141" i="13"/>
  <c r="H141" i="13" s="1"/>
  <c r="I141" i="13" s="1"/>
  <c r="J141" i="13" s="1"/>
  <c r="G9" i="13"/>
  <c r="H9" i="13" s="1"/>
  <c r="I9" i="13" s="1"/>
  <c r="J9" i="13" s="1"/>
  <c r="G187" i="13"/>
  <c r="H187" i="13" s="1"/>
  <c r="I187" i="13" s="1"/>
  <c r="J187" i="13" s="1"/>
  <c r="G8" i="13"/>
  <c r="H8" i="13" s="1"/>
  <c r="I8" i="13" s="1"/>
  <c r="J8" i="13" s="1"/>
  <c r="G129" i="13"/>
  <c r="H129" i="13" s="1"/>
  <c r="I129" i="13" s="1"/>
  <c r="J129" i="13" s="1"/>
  <c r="G260" i="13"/>
  <c r="H260" i="13" s="1"/>
  <c r="I260" i="13" s="1"/>
  <c r="J260" i="13" s="1"/>
  <c r="G102" i="13"/>
  <c r="H102" i="13" s="1"/>
  <c r="I102" i="13" s="1"/>
  <c r="J102" i="13" s="1"/>
  <c r="G19" i="13"/>
  <c r="H19" i="13" s="1"/>
  <c r="I19" i="13" s="1"/>
  <c r="J19" i="13" s="1"/>
  <c r="G291" i="13"/>
  <c r="H291" i="13" s="1"/>
  <c r="I291" i="13" s="1"/>
  <c r="J291" i="13" s="1"/>
  <c r="G249" i="13"/>
  <c r="H249" i="13" s="1"/>
  <c r="I249" i="13" s="1"/>
  <c r="J249" i="13" s="1"/>
  <c r="G165" i="13"/>
  <c r="H165" i="13" s="1"/>
  <c r="I165" i="13" s="1"/>
  <c r="J165" i="13" s="1"/>
  <c r="G184" i="13"/>
  <c r="H184" i="13" s="1"/>
  <c r="I184" i="13" s="1"/>
  <c r="J184" i="13" s="1"/>
  <c r="G284" i="13"/>
  <c r="H284" i="13" s="1"/>
  <c r="I284" i="13" s="1"/>
  <c r="J284" i="13" s="1"/>
  <c r="G152" i="13"/>
  <c r="H152" i="13" s="1"/>
  <c r="I152" i="13" s="1"/>
  <c r="J152" i="13" s="1"/>
  <c r="G179" i="13"/>
  <c r="H179" i="13" s="1"/>
  <c r="I179" i="13" s="1"/>
  <c r="J179" i="13" s="1"/>
  <c r="G255" i="13"/>
  <c r="H255" i="13" s="1"/>
  <c r="I255" i="13" s="1"/>
  <c r="J255" i="13" s="1"/>
  <c r="G71" i="13"/>
  <c r="H71" i="13" s="1"/>
  <c r="I71" i="13" s="1"/>
  <c r="J71" i="13" s="1"/>
  <c r="G189" i="13"/>
  <c r="H189" i="13" s="1"/>
  <c r="I189" i="13" s="1"/>
  <c r="J189" i="13" s="1"/>
  <c r="G208" i="13"/>
  <c r="H208" i="13" s="1"/>
  <c r="I208" i="13" s="1"/>
  <c r="J208" i="13" s="1"/>
  <c r="G287" i="13"/>
  <c r="H287" i="13" s="1"/>
  <c r="I287" i="13" s="1"/>
  <c r="J287" i="13" s="1"/>
  <c r="G176" i="13"/>
  <c r="H176" i="13" s="1"/>
  <c r="I176" i="13" s="1"/>
  <c r="J176" i="13" s="1"/>
  <c r="G174" i="13"/>
  <c r="H174" i="13" s="1"/>
  <c r="I174" i="13" s="1"/>
  <c r="J174" i="13" s="1"/>
  <c r="G29" i="13"/>
  <c r="G17" i="13"/>
  <c r="H17" i="13" s="1"/>
  <c r="I17" i="13" s="1"/>
  <c r="J17" i="13" s="1"/>
  <c r="G169" i="13"/>
  <c r="H169" i="13" s="1"/>
  <c r="I169" i="13" s="1"/>
  <c r="J169" i="13" s="1"/>
  <c r="G200" i="13"/>
  <c r="H200" i="13" s="1"/>
  <c r="I200" i="13" s="1"/>
  <c r="J200" i="13" s="1"/>
  <c r="G20" i="13"/>
  <c r="H20" i="13" s="1"/>
  <c r="I20" i="13" s="1"/>
  <c r="J20" i="13" s="1"/>
  <c r="G140" i="13"/>
  <c r="H140" i="13" s="1"/>
  <c r="I140" i="13" s="1"/>
  <c r="J140" i="13" s="1"/>
  <c r="G146" i="13"/>
  <c r="H146" i="13" s="1"/>
  <c r="I146" i="13" s="1"/>
  <c r="J146" i="13" s="1"/>
  <c r="G73" i="13"/>
  <c r="H73" i="13" s="1"/>
  <c r="I73" i="13" s="1"/>
  <c r="J73" i="13" s="1"/>
  <c r="G267" i="13"/>
  <c r="H267" i="13" s="1"/>
  <c r="I267" i="13" s="1"/>
  <c r="J267" i="13" s="1"/>
  <c r="G64" i="13"/>
  <c r="H64" i="13" s="1"/>
  <c r="I64" i="13" s="1"/>
  <c r="J64" i="13" s="1"/>
  <c r="G257" i="13"/>
  <c r="H257" i="13" s="1"/>
  <c r="I257" i="13" s="1"/>
  <c r="J257" i="13" s="1"/>
  <c r="G89" i="13"/>
  <c r="H89" i="13" s="1"/>
  <c r="I89" i="13" s="1"/>
  <c r="J89" i="13" s="1"/>
  <c r="G274" i="13"/>
  <c r="H274" i="13" s="1"/>
  <c r="I274" i="13" s="1"/>
  <c r="J274" i="13" s="1"/>
  <c r="G72" i="13"/>
  <c r="H72" i="13" s="1"/>
  <c r="I72" i="13" s="1"/>
  <c r="J72" i="13" s="1"/>
  <c r="G90" i="13"/>
  <c r="H90" i="13" s="1"/>
  <c r="I90" i="13" s="1"/>
  <c r="J90" i="13" s="1"/>
  <c r="G108" i="13"/>
  <c r="H108" i="13" s="1"/>
  <c r="I108" i="13" s="1"/>
  <c r="J108" i="13" s="1"/>
  <c r="G7" i="13"/>
  <c r="H7" i="13" s="1"/>
  <c r="I7" i="13" s="1"/>
  <c r="J7" i="13" s="1"/>
  <c r="G137" i="13"/>
  <c r="H137" i="13" s="1"/>
  <c r="I137" i="13" s="1"/>
  <c r="J137" i="13" s="1"/>
  <c r="G124" i="13"/>
  <c r="H124" i="13" s="1"/>
  <c r="I124" i="13" s="1"/>
  <c r="J124" i="13" s="1"/>
  <c r="G21" i="13"/>
  <c r="H21" i="13" s="1"/>
  <c r="I21" i="13" s="1"/>
  <c r="J21" i="13" s="1"/>
  <c r="G258" i="13"/>
  <c r="H258" i="13" s="1"/>
  <c r="I258" i="13" s="1"/>
  <c r="J258" i="13" s="1"/>
  <c r="G51" i="13"/>
  <c r="H51" i="13" s="1"/>
  <c r="I51" i="13" s="1"/>
  <c r="J51" i="13" s="1"/>
  <c r="G62" i="13"/>
  <c r="H62" i="13" s="1"/>
  <c r="I62" i="13" s="1"/>
  <c r="J62" i="13" s="1"/>
  <c r="G157" i="13"/>
  <c r="H157" i="13" s="1"/>
  <c r="I157" i="13" s="1"/>
  <c r="J157" i="13" s="1"/>
  <c r="G254" i="13"/>
  <c r="H254" i="13" s="1"/>
  <c r="I254" i="13" s="1"/>
  <c r="J254" i="13" s="1"/>
  <c r="G148" i="13"/>
  <c r="H148" i="13" s="1"/>
  <c r="I148" i="13" s="1"/>
  <c r="J148" i="13" s="1"/>
  <c r="G227" i="13"/>
  <c r="H227" i="13" s="1"/>
  <c r="I227" i="13" s="1"/>
  <c r="J227" i="13" s="1"/>
  <c r="G226" i="13"/>
  <c r="H226" i="13" s="1"/>
  <c r="I226" i="13" s="1"/>
  <c r="J226" i="13" s="1"/>
  <c r="G53" i="13"/>
  <c r="H53" i="13" s="1"/>
  <c r="I53" i="13" s="1"/>
  <c r="J53" i="13" s="1"/>
  <c r="G215" i="13"/>
  <c r="H215" i="13" s="1"/>
  <c r="I215" i="13" s="1"/>
  <c r="J215" i="13" s="1"/>
  <c r="G27" i="13"/>
  <c r="H27" i="13" s="1"/>
  <c r="I27" i="13" s="1"/>
  <c r="J27" i="13" s="1"/>
  <c r="G136" i="13"/>
  <c r="H136" i="13" s="1"/>
  <c r="I136" i="13" s="1"/>
  <c r="J136" i="13" s="1"/>
  <c r="G128" i="13"/>
  <c r="H128" i="13" s="1"/>
  <c r="I128" i="13" s="1"/>
  <c r="J128" i="13" s="1"/>
  <c r="G203" i="13"/>
  <c r="H203" i="13" s="1"/>
  <c r="I203" i="13" s="1"/>
  <c r="J203" i="13" s="1"/>
  <c r="G22" i="13"/>
  <c r="H22" i="13" s="1"/>
  <c r="I22" i="13" s="1"/>
  <c r="J22" i="13" s="1"/>
  <c r="G110" i="13"/>
  <c r="H110" i="13" s="1"/>
  <c r="I110" i="13" s="1"/>
  <c r="J110" i="13" s="1"/>
  <c r="G77" i="13"/>
  <c r="H77" i="13" s="1"/>
  <c r="I77" i="13" s="1"/>
  <c r="J77" i="13" s="1"/>
  <c r="G245" i="13"/>
  <c r="H245" i="13" s="1"/>
  <c r="I245" i="13" s="1"/>
  <c r="J245" i="13" s="1"/>
  <c r="G142" i="13"/>
  <c r="H142" i="13" s="1"/>
  <c r="I142" i="13" s="1"/>
  <c r="J142" i="13" s="1"/>
  <c r="G153" i="13"/>
  <c r="H153" i="13" s="1"/>
  <c r="I153" i="13" s="1"/>
  <c r="J153" i="13" s="1"/>
  <c r="G24" i="13"/>
  <c r="H24" i="13" s="1"/>
  <c r="I24" i="13" s="1"/>
  <c r="J24" i="13" s="1"/>
  <c r="G270" i="13"/>
  <c r="H270" i="13" s="1"/>
  <c r="I270" i="13" s="1"/>
  <c r="J270" i="13" s="1"/>
  <c r="G68" i="13"/>
  <c r="H68" i="13" s="1"/>
  <c r="I68" i="13" s="1"/>
  <c r="J68" i="13" s="1"/>
  <c r="G221" i="13"/>
  <c r="H221" i="13" s="1"/>
  <c r="I221" i="13" s="1"/>
  <c r="J221" i="13" s="1"/>
  <c r="G277" i="13"/>
  <c r="H277" i="13" s="1"/>
  <c r="I277" i="13" s="1"/>
  <c r="J277" i="13" s="1"/>
  <c r="G18" i="13"/>
  <c r="H18" i="13" s="1"/>
  <c r="I18" i="13" s="1"/>
  <c r="J18" i="13" s="1"/>
  <c r="G117" i="13"/>
  <c r="H117" i="13" s="1"/>
  <c r="I117" i="13" s="1"/>
  <c r="J117" i="13" s="1"/>
  <c r="G285" i="13"/>
  <c r="H285" i="13" s="1"/>
  <c r="I285" i="13" s="1"/>
  <c r="J285" i="13" s="1"/>
  <c r="G192" i="13"/>
  <c r="H192" i="13" s="1"/>
  <c r="I192" i="13" s="1"/>
  <c r="J192" i="13" s="1"/>
  <c r="G35" i="13"/>
  <c r="H35" i="13" s="1"/>
  <c r="I35" i="13" s="1"/>
  <c r="J35" i="13" s="1"/>
  <c r="G219" i="13"/>
  <c r="H219" i="13" s="1"/>
  <c r="I219" i="13" s="1"/>
  <c r="J219" i="13" s="1"/>
  <c r="G209" i="13"/>
  <c r="H209" i="13" s="1"/>
  <c r="I209" i="13" s="1"/>
  <c r="J209" i="13" s="1"/>
  <c r="G162" i="13"/>
  <c r="H162" i="13" s="1"/>
  <c r="I162" i="13" s="1"/>
  <c r="J162" i="13" s="1"/>
  <c r="G288" i="13"/>
  <c r="H288" i="13" s="1"/>
  <c r="I288" i="13" s="1"/>
  <c r="J288" i="13" s="1"/>
  <c r="G282" i="13"/>
  <c r="H282" i="13" s="1"/>
  <c r="I282" i="13" s="1"/>
  <c r="J282" i="13" s="1"/>
  <c r="G246" i="13"/>
  <c r="H246" i="13" s="1"/>
  <c r="I246" i="13" s="1"/>
  <c r="J246" i="13" s="1"/>
  <c r="G205" i="13"/>
  <c r="H205" i="13" s="1"/>
  <c r="I205" i="13" s="1"/>
  <c r="J205" i="13" s="1"/>
  <c r="G210" i="13"/>
  <c r="H210" i="13" s="1"/>
  <c r="I210" i="13" s="1"/>
  <c r="J210" i="13" s="1"/>
  <c r="G171" i="13"/>
  <c r="H171" i="13" s="1"/>
  <c r="I171" i="13" s="1"/>
  <c r="J171" i="13" s="1"/>
  <c r="G132" i="13"/>
  <c r="H132" i="13" s="1"/>
  <c r="I132" i="13" s="1"/>
  <c r="J132" i="13" s="1"/>
  <c r="G107" i="13"/>
  <c r="H107" i="13" s="1"/>
  <c r="I107" i="13" s="1"/>
  <c r="J107" i="13" s="1"/>
  <c r="G67" i="13"/>
  <c r="H67" i="13" s="1"/>
  <c r="I67" i="13" s="1"/>
  <c r="J67" i="13" s="1"/>
  <c r="G207" i="13"/>
  <c r="H207" i="13" s="1"/>
  <c r="I207" i="13" s="1"/>
  <c r="J207" i="13" s="1"/>
  <c r="G138" i="13"/>
  <c r="H138" i="13" s="1"/>
  <c r="I138" i="13" s="1"/>
  <c r="J138" i="13" s="1"/>
  <c r="G266" i="13"/>
  <c r="H266" i="13" s="1"/>
  <c r="I266" i="13" s="1"/>
  <c r="J266" i="13" s="1"/>
  <c r="G34" i="13"/>
  <c r="H34" i="13" s="1"/>
  <c r="I34" i="13" s="1"/>
  <c r="J34" i="13" s="1"/>
  <c r="G97" i="13"/>
  <c r="H97" i="13" s="1"/>
  <c r="I97" i="13" s="1"/>
  <c r="J97" i="13" s="1"/>
  <c r="G118" i="13"/>
  <c r="H118" i="13" s="1"/>
  <c r="I118" i="13" s="1"/>
  <c r="J118" i="13" s="1"/>
  <c r="G31" i="13"/>
  <c r="H31" i="13" s="1"/>
  <c r="I31" i="13" s="1"/>
  <c r="J31" i="13" s="1"/>
  <c r="G135" i="13"/>
  <c r="H135" i="13" s="1"/>
  <c r="I135" i="13" s="1"/>
  <c r="J135" i="13" s="1"/>
  <c r="G52" i="13"/>
  <c r="H52" i="13" s="1"/>
  <c r="I52" i="13" s="1"/>
  <c r="J52" i="13" s="1"/>
  <c r="G113" i="13"/>
  <c r="H113" i="13" s="1"/>
  <c r="I113" i="13" s="1"/>
  <c r="J113" i="13" s="1"/>
  <c r="G303" i="13"/>
  <c r="H303" i="13" s="1"/>
  <c r="I303" i="13" s="1"/>
  <c r="J303" i="13" s="1"/>
  <c r="G95" i="13"/>
  <c r="H95" i="13" s="1"/>
  <c r="I95" i="13" s="1"/>
  <c r="J95" i="13" s="1"/>
  <c r="G82" i="13"/>
  <c r="H82" i="13" s="1"/>
  <c r="I82" i="13" s="1"/>
  <c r="J82" i="13" s="1"/>
  <c r="G302" i="13"/>
  <c r="H302" i="13" s="1"/>
  <c r="I302" i="13" s="1"/>
  <c r="J302" i="13" s="1"/>
  <c r="G88" i="13"/>
  <c r="H88" i="13" s="1"/>
  <c r="I88" i="13" s="1"/>
  <c r="J88" i="13" s="1"/>
  <c r="G177" i="13"/>
  <c r="H177" i="13" s="1"/>
  <c r="I177" i="13" s="1"/>
  <c r="J177" i="13" s="1"/>
  <c r="G252" i="13"/>
  <c r="H252" i="13" s="1"/>
  <c r="I252" i="13" s="1"/>
  <c r="J252" i="13" s="1"/>
  <c r="G55" i="13"/>
  <c r="H55" i="13" s="1"/>
  <c r="I55" i="13" s="1"/>
  <c r="J55" i="13" s="1"/>
  <c r="G23" i="13"/>
  <c r="H23" i="13" s="1"/>
  <c r="I23" i="13" s="1"/>
  <c r="J23" i="13" s="1"/>
  <c r="G264" i="13"/>
  <c r="H264" i="13" s="1"/>
  <c r="I264" i="13" s="1"/>
  <c r="J264" i="13" s="1"/>
  <c r="G304" i="13"/>
  <c r="H304" i="13" s="1"/>
  <c r="I304" i="13" s="1"/>
  <c r="J304" i="13" s="1"/>
  <c r="G111" i="13"/>
  <c r="H111" i="13" s="1"/>
  <c r="I111" i="13" s="1"/>
  <c r="J111" i="13" s="1"/>
  <c r="G123" i="13"/>
  <c r="H123" i="13" s="1"/>
  <c r="I123" i="13" s="1"/>
  <c r="J123" i="13" s="1"/>
  <c r="G199" i="13"/>
  <c r="H199" i="13" s="1"/>
  <c r="I199" i="13" s="1"/>
  <c r="J199" i="13" s="1"/>
  <c r="G298" i="13"/>
  <c r="H298" i="13" s="1"/>
  <c r="I298" i="13" s="1"/>
  <c r="J298" i="13" s="1"/>
  <c r="G228" i="13"/>
  <c r="H228" i="13" s="1"/>
  <c r="I228" i="13" s="1"/>
  <c r="J228" i="13" s="1"/>
  <c r="G143" i="13"/>
  <c r="H143" i="13" s="1"/>
  <c r="I143" i="13" s="1"/>
  <c r="J143" i="13" s="1"/>
  <c r="G12" i="13"/>
  <c r="H12" i="13" s="1"/>
  <c r="I12" i="13" s="1"/>
  <c r="J12" i="13" s="1"/>
  <c r="G225" i="13"/>
  <c r="H225" i="13" s="1"/>
  <c r="I225" i="13" s="1"/>
  <c r="J225" i="13" s="1"/>
  <c r="G271" i="13"/>
  <c r="H271" i="13" s="1"/>
  <c r="I271" i="13" s="1"/>
  <c r="J271" i="13" s="1"/>
  <c r="G13" i="13"/>
  <c r="H13" i="13" s="1"/>
  <c r="I13" i="13" s="1"/>
  <c r="J13" i="13" s="1"/>
  <c r="G182" i="13"/>
  <c r="H182" i="13" s="1"/>
  <c r="I182" i="13" s="1"/>
  <c r="J182" i="13" s="1"/>
  <c r="G80" i="13"/>
  <c r="H80" i="13" s="1"/>
  <c r="I80" i="13" s="1"/>
  <c r="J80" i="13" s="1"/>
  <c r="G122" i="13"/>
  <c r="H122" i="13" s="1"/>
  <c r="I122" i="13" s="1"/>
  <c r="J122" i="13" s="1"/>
  <c r="G25" i="13"/>
  <c r="H25" i="13" s="1"/>
  <c r="I25" i="13" s="1"/>
  <c r="J25" i="13" s="1"/>
  <c r="G186" i="13"/>
  <c r="H186" i="13" s="1"/>
  <c r="I186" i="13" s="1"/>
  <c r="J186" i="13" s="1"/>
  <c r="G294" i="13"/>
  <c r="H294" i="13" s="1"/>
  <c r="I294" i="13" s="1"/>
  <c r="J294" i="13" s="1"/>
  <c r="G269" i="13"/>
  <c r="H269" i="13" s="1"/>
  <c r="I269" i="13" s="1"/>
  <c r="J269" i="13" s="1"/>
  <c r="G237" i="13"/>
  <c r="H237" i="13" s="1"/>
  <c r="I237" i="13" s="1"/>
  <c r="J237" i="13" s="1"/>
  <c r="G6" i="13"/>
  <c r="H6" i="13" s="1"/>
  <c r="I6" i="13" s="1"/>
  <c r="J6" i="13" s="1"/>
  <c r="I306" i="39"/>
  <c r="K306" i="12"/>
  <c r="H192" i="34" l="1"/>
  <c r="I192" i="34" s="1"/>
  <c r="K192" i="34" s="1"/>
  <c r="H270" i="34"/>
  <c r="I270" i="34" s="1"/>
  <c r="K270" i="34" s="1"/>
  <c r="F263" i="25" s="1"/>
  <c r="I263" i="25" s="1"/>
  <c r="H41" i="34"/>
  <c r="I41" i="34" s="1"/>
  <c r="K41" i="34" s="1"/>
  <c r="F34" i="25" s="1"/>
  <c r="I34" i="25" s="1"/>
  <c r="H31" i="34"/>
  <c r="I31" i="34" s="1"/>
  <c r="K31" i="34" s="1"/>
  <c r="F24" i="25" s="1"/>
  <c r="H149" i="34"/>
  <c r="I149" i="34" s="1"/>
  <c r="K149" i="34" s="1"/>
  <c r="F142" i="25" s="1"/>
  <c r="I142" i="25" s="1"/>
  <c r="H29" i="34"/>
  <c r="I29" i="34" s="1"/>
  <c r="K29" i="34" s="1"/>
  <c r="F22" i="25" s="1"/>
  <c r="H309" i="34"/>
  <c r="I309" i="34" s="1"/>
  <c r="K309" i="34" s="1"/>
  <c r="F302" i="25" s="1"/>
  <c r="I302" i="25" s="1"/>
  <c r="H272" i="34"/>
  <c r="I272" i="34" s="1"/>
  <c r="K272" i="34" s="1"/>
  <c r="F265" i="25" s="1"/>
  <c r="I265" i="25" s="1"/>
  <c r="H211" i="34"/>
  <c r="I211" i="34" s="1"/>
  <c r="K211" i="34" s="1"/>
  <c r="F204" i="25" s="1"/>
  <c r="I204" i="25" s="1"/>
  <c r="H198" i="34"/>
  <c r="I198" i="34" s="1"/>
  <c r="K198" i="34" s="1"/>
  <c r="H30" i="34"/>
  <c r="I30" i="34" s="1"/>
  <c r="K30" i="34" s="1"/>
  <c r="F23" i="25" s="1"/>
  <c r="I23" i="25" s="1"/>
  <c r="H134" i="34"/>
  <c r="I134" i="34" s="1"/>
  <c r="K134" i="34" s="1"/>
  <c r="F127" i="25" s="1"/>
  <c r="I127" i="25" s="1"/>
  <c r="H260" i="34"/>
  <c r="I260" i="34" s="1"/>
  <c r="K260" i="34" s="1"/>
  <c r="F253" i="25" s="1"/>
  <c r="I253" i="25" s="1"/>
  <c r="H13" i="34"/>
  <c r="I13" i="34" s="1"/>
  <c r="K13" i="34" s="1"/>
  <c r="F6" i="25" s="1"/>
  <c r="H273" i="34"/>
  <c r="I273" i="34" s="1"/>
  <c r="K273" i="34" s="1"/>
  <c r="F266" i="25" s="1"/>
  <c r="H185" i="34"/>
  <c r="I185" i="34" s="1"/>
  <c r="K185" i="34" s="1"/>
  <c r="F178" i="25" s="1"/>
  <c r="I178" i="25" s="1"/>
  <c r="H108" i="34"/>
  <c r="I108" i="34" s="1"/>
  <c r="K108" i="34" s="1"/>
  <c r="F101" i="25" s="1"/>
  <c r="I101" i="25" s="1"/>
  <c r="H201" i="34"/>
  <c r="I201" i="34" s="1"/>
  <c r="K201" i="34" s="1"/>
  <c r="F194" i="25" s="1"/>
  <c r="I194" i="25" s="1"/>
  <c r="H44" i="34"/>
  <c r="I44" i="34" s="1"/>
  <c r="K44" i="34" s="1"/>
  <c r="F37" i="25" s="1"/>
  <c r="I37" i="25" s="1"/>
  <c r="H265" i="34"/>
  <c r="I265" i="34" s="1"/>
  <c r="K265" i="34" s="1"/>
  <c r="F258" i="25" s="1"/>
  <c r="I258" i="25" s="1"/>
  <c r="H247" i="34"/>
  <c r="I247" i="34" s="1"/>
  <c r="K247" i="34" s="1"/>
  <c r="F240" i="25" s="1"/>
  <c r="I240" i="25" s="1"/>
  <c r="H226" i="34"/>
  <c r="I226" i="34" s="1"/>
  <c r="K226" i="34" s="1"/>
  <c r="F219" i="25" s="1"/>
  <c r="I219" i="25" s="1"/>
  <c r="H178" i="34"/>
  <c r="I178" i="34" s="1"/>
  <c r="K178" i="34" s="1"/>
  <c r="F171" i="25" s="1"/>
  <c r="I171" i="25" s="1"/>
  <c r="H90" i="34"/>
  <c r="I90" i="34" s="1"/>
  <c r="K90" i="34" s="1"/>
  <c r="F83" i="25" s="1"/>
  <c r="I83" i="25" s="1"/>
  <c r="H49" i="34"/>
  <c r="I49" i="34" s="1"/>
  <c r="K49" i="34" s="1"/>
  <c r="F42" i="25" s="1"/>
  <c r="I42" i="25" s="1"/>
  <c r="H98" i="34"/>
  <c r="I98" i="34" s="1"/>
  <c r="K98" i="34" s="1"/>
  <c r="H127" i="34"/>
  <c r="I127" i="34" s="1"/>
  <c r="K127" i="34" s="1"/>
  <c r="F120" i="25" s="1"/>
  <c r="I120" i="25" s="1"/>
  <c r="H165" i="34"/>
  <c r="I165" i="34" s="1"/>
  <c r="K165" i="34" s="1"/>
  <c r="F158" i="25" s="1"/>
  <c r="I158" i="25" s="1"/>
  <c r="H289" i="34"/>
  <c r="I289" i="34" s="1"/>
  <c r="K289" i="34" s="1"/>
  <c r="F282" i="25" s="1"/>
  <c r="I282" i="25" s="1"/>
  <c r="H99" i="34"/>
  <c r="I99" i="34" s="1"/>
  <c r="K99" i="34" s="1"/>
  <c r="F92" i="25" s="1"/>
  <c r="I92" i="25" s="1"/>
  <c r="H115" i="34"/>
  <c r="I115" i="34" s="1"/>
  <c r="K115" i="34" s="1"/>
  <c r="F108" i="25" s="1"/>
  <c r="I108" i="25" s="1"/>
  <c r="H150" i="34"/>
  <c r="I150" i="34" s="1"/>
  <c r="K150" i="34" s="1"/>
  <c r="F143" i="25" s="1"/>
  <c r="I143" i="25" s="1"/>
  <c r="H51" i="34"/>
  <c r="I51" i="34" s="1"/>
  <c r="K51" i="34" s="1"/>
  <c r="H284" i="34"/>
  <c r="I284" i="34" s="1"/>
  <c r="K284" i="34" s="1"/>
  <c r="F277" i="25" s="1"/>
  <c r="I277" i="25" s="1"/>
  <c r="H253" i="34"/>
  <c r="I253" i="34" s="1"/>
  <c r="K253" i="34" s="1"/>
  <c r="F246" i="25" s="1"/>
  <c r="I246" i="25" s="1"/>
  <c r="H71" i="34"/>
  <c r="I71" i="34" s="1"/>
  <c r="K71" i="34" s="1"/>
  <c r="F64" i="25" s="1"/>
  <c r="I64" i="25" s="1"/>
  <c r="H36" i="34"/>
  <c r="I36" i="34" s="1"/>
  <c r="K36" i="34" s="1"/>
  <c r="F29" i="25" s="1"/>
  <c r="H239" i="34"/>
  <c r="I239" i="34" s="1"/>
  <c r="K239" i="34" s="1"/>
  <c r="F232" i="25" s="1"/>
  <c r="I232" i="25" s="1"/>
  <c r="H250" i="34"/>
  <c r="I250" i="34" s="1"/>
  <c r="K250" i="34" s="1"/>
  <c r="H18" i="34"/>
  <c r="I18" i="34" s="1"/>
  <c r="K18" i="34" s="1"/>
  <c r="F11" i="25" s="1"/>
  <c r="I11" i="25" s="1"/>
  <c r="H40" i="34"/>
  <c r="I40" i="34" s="1"/>
  <c r="K40" i="34" s="1"/>
  <c r="F33" i="25" s="1"/>
  <c r="I33" i="25" s="1"/>
  <c r="H128" i="34"/>
  <c r="I128" i="34" s="1"/>
  <c r="K128" i="34" s="1"/>
  <c r="F121" i="25" s="1"/>
  <c r="I121" i="25" s="1"/>
  <c r="H234" i="34"/>
  <c r="I234" i="34" s="1"/>
  <c r="K234" i="34" s="1"/>
  <c r="F227" i="25" s="1"/>
  <c r="I227" i="25" s="1"/>
  <c r="H61" i="34"/>
  <c r="I61" i="34" s="1"/>
  <c r="K61" i="34" s="1"/>
  <c r="F54" i="25" s="1"/>
  <c r="I54" i="25" s="1"/>
  <c r="H119" i="34"/>
  <c r="I119" i="34" s="1"/>
  <c r="K119" i="34" s="1"/>
  <c r="F112" i="25" s="1"/>
  <c r="I112" i="25" s="1"/>
  <c r="H144" i="34"/>
  <c r="I144" i="34" s="1"/>
  <c r="K144" i="34" s="1"/>
  <c r="F137" i="25" s="1"/>
  <c r="I137" i="25" s="1"/>
  <c r="H252" i="34"/>
  <c r="I252" i="34" s="1"/>
  <c r="K252" i="34" s="1"/>
  <c r="F245" i="25" s="1"/>
  <c r="I245" i="25" s="1"/>
  <c r="H291" i="34"/>
  <c r="I291" i="34" s="1"/>
  <c r="K291" i="34" s="1"/>
  <c r="F284" i="25" s="1"/>
  <c r="H159" i="34"/>
  <c r="I159" i="34" s="1"/>
  <c r="K159" i="34" s="1"/>
  <c r="F152" i="25" s="1"/>
  <c r="I152" i="25" s="1"/>
  <c r="H142" i="34"/>
  <c r="I142" i="34" s="1"/>
  <c r="K142" i="34" s="1"/>
  <c r="F135" i="25" s="1"/>
  <c r="I135" i="25" s="1"/>
  <c r="H163" i="34"/>
  <c r="I163" i="34" s="1"/>
  <c r="K163" i="34" s="1"/>
  <c r="F156" i="25" s="1"/>
  <c r="I156" i="25" s="1"/>
  <c r="H114" i="34"/>
  <c r="I114" i="34" s="1"/>
  <c r="K114" i="34" s="1"/>
  <c r="F107" i="25" s="1"/>
  <c r="I107" i="25" s="1"/>
  <c r="H79" i="34"/>
  <c r="I79" i="34" s="1"/>
  <c r="K79" i="34" s="1"/>
  <c r="F72" i="25" s="1"/>
  <c r="I72" i="25" s="1"/>
  <c r="H180" i="34"/>
  <c r="I180" i="34" s="1"/>
  <c r="K180" i="34" s="1"/>
  <c r="F173" i="25" s="1"/>
  <c r="I173" i="25" s="1"/>
  <c r="H158" i="34"/>
  <c r="I158" i="34" s="1"/>
  <c r="K158" i="34" s="1"/>
  <c r="F151" i="25" s="1"/>
  <c r="I151" i="25" s="1"/>
  <c r="H266" i="34"/>
  <c r="I266" i="34" s="1"/>
  <c r="K266" i="34" s="1"/>
  <c r="F259" i="25" s="1"/>
  <c r="I259" i="25" s="1"/>
  <c r="H112" i="34"/>
  <c r="I112" i="34" s="1"/>
  <c r="K112" i="34" s="1"/>
  <c r="F105" i="25" s="1"/>
  <c r="H133" i="34"/>
  <c r="I133" i="34" s="1"/>
  <c r="K133" i="34" s="1"/>
  <c r="F126" i="25" s="1"/>
  <c r="I126" i="25" s="1"/>
  <c r="H274" i="34"/>
  <c r="I274" i="34" s="1"/>
  <c r="K274" i="34" s="1"/>
  <c r="F267" i="25" s="1"/>
  <c r="I267" i="25" s="1"/>
  <c r="H172" i="34"/>
  <c r="I172" i="34" s="1"/>
  <c r="K172" i="34" s="1"/>
  <c r="F165" i="25" s="1"/>
  <c r="I165" i="25" s="1"/>
  <c r="H189" i="34"/>
  <c r="I189" i="34" s="1"/>
  <c r="K189" i="34" s="1"/>
  <c r="F182" i="25" s="1"/>
  <c r="I182" i="25" s="1"/>
  <c r="H292" i="34"/>
  <c r="I292" i="34" s="1"/>
  <c r="K292" i="34" s="1"/>
  <c r="F285" i="25" s="1"/>
  <c r="I285" i="25" s="1"/>
  <c r="H82" i="34"/>
  <c r="I82" i="34" s="1"/>
  <c r="K82" i="34" s="1"/>
  <c r="F75" i="25" s="1"/>
  <c r="I75" i="25" s="1"/>
  <c r="H307" i="34"/>
  <c r="I307" i="34" s="1"/>
  <c r="K307" i="34" s="1"/>
  <c r="F300" i="25" s="1"/>
  <c r="I300" i="25" s="1"/>
  <c r="H202" i="34"/>
  <c r="I202" i="34" s="1"/>
  <c r="K202" i="34" s="1"/>
  <c r="H89" i="34"/>
  <c r="I89" i="34" s="1"/>
  <c r="K89" i="34" s="1"/>
  <c r="F82" i="25" s="1"/>
  <c r="H84" i="34"/>
  <c r="I84" i="34" s="1"/>
  <c r="K84" i="34" s="1"/>
  <c r="F77" i="25" s="1"/>
  <c r="I77" i="25" s="1"/>
  <c r="H235" i="34"/>
  <c r="I235" i="34" s="1"/>
  <c r="K235" i="34" s="1"/>
  <c r="F228" i="25" s="1"/>
  <c r="I228" i="25" s="1"/>
  <c r="H218" i="34"/>
  <c r="I218" i="34" s="1"/>
  <c r="K218" i="34" s="1"/>
  <c r="F211" i="25" s="1"/>
  <c r="I211" i="25" s="1"/>
  <c r="H302" i="34"/>
  <c r="I302" i="34" s="1"/>
  <c r="K302" i="34" s="1"/>
  <c r="F295" i="25" s="1"/>
  <c r="I295" i="25" s="1"/>
  <c r="H268" i="34"/>
  <c r="I268" i="34" s="1"/>
  <c r="K268" i="34" s="1"/>
  <c r="F261" i="25" s="1"/>
  <c r="I261" i="25" s="1"/>
  <c r="H110" i="34"/>
  <c r="I110" i="34" s="1"/>
  <c r="K110" i="34" s="1"/>
  <c r="F103" i="25" s="1"/>
  <c r="I103" i="25" s="1"/>
  <c r="H267" i="34"/>
  <c r="I267" i="34" s="1"/>
  <c r="K267" i="34" s="1"/>
  <c r="F260" i="25" s="1"/>
  <c r="I260" i="25" s="1"/>
  <c r="H139" i="34"/>
  <c r="I139" i="34" s="1"/>
  <c r="K139" i="34" s="1"/>
  <c r="F132" i="25" s="1"/>
  <c r="I132" i="25" s="1"/>
  <c r="H62" i="34"/>
  <c r="I62" i="34" s="1"/>
  <c r="K62" i="34" s="1"/>
  <c r="F55" i="25" s="1"/>
  <c r="I55" i="25" s="1"/>
  <c r="H121" i="34"/>
  <c r="I121" i="34" s="1"/>
  <c r="K121" i="34" s="1"/>
  <c r="F114" i="25" s="1"/>
  <c r="I114" i="25" s="1"/>
  <c r="H39" i="34"/>
  <c r="I39" i="34" s="1"/>
  <c r="K39" i="34" s="1"/>
  <c r="F32" i="25" s="1"/>
  <c r="I32" i="25" s="1"/>
  <c r="H170" i="34"/>
  <c r="I170" i="34" s="1"/>
  <c r="K170" i="34" s="1"/>
  <c r="F163" i="25" s="1"/>
  <c r="I163" i="25" s="1"/>
  <c r="H258" i="34"/>
  <c r="I258" i="34" s="1"/>
  <c r="K258" i="34" s="1"/>
  <c r="F251" i="25" s="1"/>
  <c r="I251" i="25" s="1"/>
  <c r="H288" i="34"/>
  <c r="I288" i="34" s="1"/>
  <c r="K288" i="34" s="1"/>
  <c r="F281" i="25" s="1"/>
  <c r="H123" i="34"/>
  <c r="I123" i="34" s="1"/>
  <c r="K123" i="34" s="1"/>
  <c r="F116" i="25" s="1"/>
  <c r="I116" i="25" s="1"/>
  <c r="H148" i="34"/>
  <c r="I148" i="34" s="1"/>
  <c r="K148" i="34" s="1"/>
  <c r="F141" i="25" s="1"/>
  <c r="I141" i="25" s="1"/>
  <c r="H33" i="34"/>
  <c r="I33" i="34" s="1"/>
  <c r="K33" i="34" s="1"/>
  <c r="F26" i="25" s="1"/>
  <c r="H68" i="34"/>
  <c r="I68" i="34" s="1"/>
  <c r="K68" i="34" s="1"/>
  <c r="F61" i="25" s="1"/>
  <c r="I61" i="25" s="1"/>
  <c r="H96" i="34"/>
  <c r="I96" i="34" s="1"/>
  <c r="K96" i="34" s="1"/>
  <c r="F89" i="25" s="1"/>
  <c r="I89" i="25" s="1"/>
  <c r="H152" i="34"/>
  <c r="I152" i="34" s="1"/>
  <c r="K152" i="34" s="1"/>
  <c r="F145" i="25" s="1"/>
  <c r="I145" i="25" s="1"/>
  <c r="H182" i="34"/>
  <c r="I182" i="34" s="1"/>
  <c r="K182" i="34" s="1"/>
  <c r="F175" i="25" s="1"/>
  <c r="I175" i="25" s="1"/>
  <c r="H290" i="34"/>
  <c r="I290" i="34" s="1"/>
  <c r="K290" i="34" s="1"/>
  <c r="F283" i="25" s="1"/>
  <c r="I283" i="25" s="1"/>
  <c r="H135" i="34"/>
  <c r="I135" i="34" s="1"/>
  <c r="K135" i="34" s="1"/>
  <c r="F128" i="25" s="1"/>
  <c r="I128" i="25" s="1"/>
  <c r="H50" i="34"/>
  <c r="I50" i="34" s="1"/>
  <c r="K50" i="34" s="1"/>
  <c r="H196" i="34"/>
  <c r="I196" i="34" s="1"/>
  <c r="K196" i="34" s="1"/>
  <c r="F189" i="25" s="1"/>
  <c r="I189" i="25" s="1"/>
  <c r="H64" i="34"/>
  <c r="I64" i="34" s="1"/>
  <c r="K64" i="34" s="1"/>
  <c r="F57" i="25" s="1"/>
  <c r="I57" i="25" s="1"/>
  <c r="H140" i="34"/>
  <c r="I140" i="34" s="1"/>
  <c r="K140" i="34" s="1"/>
  <c r="F133" i="25" s="1"/>
  <c r="I133" i="25" s="1"/>
  <c r="H105" i="34"/>
  <c r="I105" i="34" s="1"/>
  <c r="K105" i="34" s="1"/>
  <c r="F98" i="25" s="1"/>
  <c r="I98" i="25" s="1"/>
  <c r="H242" i="34"/>
  <c r="I242" i="34" s="1"/>
  <c r="K242" i="34" s="1"/>
  <c r="F235" i="25" s="1"/>
  <c r="I235" i="25" s="1"/>
  <c r="H120" i="34"/>
  <c r="I120" i="34" s="1"/>
  <c r="K120" i="34" s="1"/>
  <c r="F113" i="25" s="1"/>
  <c r="I113" i="25" s="1"/>
  <c r="H161" i="34"/>
  <c r="I161" i="34" s="1"/>
  <c r="K161" i="34" s="1"/>
  <c r="H81" i="34"/>
  <c r="I81" i="34" s="1"/>
  <c r="K81" i="34" s="1"/>
  <c r="F74" i="25" s="1"/>
  <c r="I74" i="25" s="1"/>
  <c r="H287" i="34"/>
  <c r="I287" i="34" s="1"/>
  <c r="K287" i="34" s="1"/>
  <c r="F280" i="25" s="1"/>
  <c r="I280" i="25" s="1"/>
  <c r="H222" i="34"/>
  <c r="I222" i="34" s="1"/>
  <c r="K222" i="34" s="1"/>
  <c r="F215" i="25" s="1"/>
  <c r="I215" i="25" s="1"/>
  <c r="H303" i="34"/>
  <c r="I303" i="34" s="1"/>
  <c r="K303" i="34" s="1"/>
  <c r="F296" i="25" s="1"/>
  <c r="I296" i="25" s="1"/>
  <c r="H100" i="34"/>
  <c r="I100" i="34" s="1"/>
  <c r="K100" i="34" s="1"/>
  <c r="F93" i="25" s="1"/>
  <c r="I93" i="25" s="1"/>
  <c r="H296" i="34"/>
  <c r="I296" i="34" s="1"/>
  <c r="K296" i="34" s="1"/>
  <c r="F289" i="25" s="1"/>
  <c r="I289" i="25" s="1"/>
  <c r="H16" i="34"/>
  <c r="I16" i="34" s="1"/>
  <c r="K16" i="34" s="1"/>
  <c r="F9" i="25" s="1"/>
  <c r="I9" i="25" s="1"/>
  <c r="H45" i="34"/>
  <c r="I45" i="34" s="1"/>
  <c r="K45" i="34" s="1"/>
  <c r="F38" i="25" s="1"/>
  <c r="I38" i="25" s="1"/>
  <c r="H220" i="34"/>
  <c r="I220" i="34" s="1"/>
  <c r="K220" i="34" s="1"/>
  <c r="H194" i="34"/>
  <c r="I194" i="34" s="1"/>
  <c r="K194" i="34" s="1"/>
  <c r="F187" i="25" s="1"/>
  <c r="I187" i="25" s="1"/>
  <c r="H246" i="34"/>
  <c r="I246" i="34" s="1"/>
  <c r="K246" i="34" s="1"/>
  <c r="F239" i="25" s="1"/>
  <c r="I239" i="25" s="1"/>
  <c r="H43" i="34"/>
  <c r="I43" i="34" s="1"/>
  <c r="K43" i="34" s="1"/>
  <c r="F36" i="25" s="1"/>
  <c r="I36" i="25" s="1"/>
  <c r="H301" i="34"/>
  <c r="I301" i="34" s="1"/>
  <c r="K301" i="34" s="1"/>
  <c r="F294" i="25" s="1"/>
  <c r="I294" i="25" s="1"/>
  <c r="H304" i="34"/>
  <c r="I304" i="34" s="1"/>
  <c r="K304" i="34" s="1"/>
  <c r="F297" i="25" s="1"/>
  <c r="I297" i="25" s="1"/>
  <c r="H213" i="34"/>
  <c r="I213" i="34" s="1"/>
  <c r="K213" i="34" s="1"/>
  <c r="F206" i="25" s="1"/>
  <c r="H12" i="34"/>
  <c r="I12" i="34" s="1"/>
  <c r="K12" i="34" s="1"/>
  <c r="H188" i="34"/>
  <c r="I188" i="34" s="1"/>
  <c r="K188" i="34" s="1"/>
  <c r="H205" i="34"/>
  <c r="I205" i="34" s="1"/>
  <c r="K205" i="34" s="1"/>
  <c r="F198" i="25" s="1"/>
  <c r="H183" i="34"/>
  <c r="I183" i="34" s="1"/>
  <c r="K183" i="34" s="1"/>
  <c r="F176" i="25" s="1"/>
  <c r="I176" i="25" s="1"/>
  <c r="H141" i="34"/>
  <c r="I141" i="34" s="1"/>
  <c r="K141" i="34" s="1"/>
  <c r="F134" i="25" s="1"/>
  <c r="I134" i="25" s="1"/>
  <c r="H73" i="34"/>
  <c r="I73" i="34" s="1"/>
  <c r="K73" i="34" s="1"/>
  <c r="F66" i="25" s="1"/>
  <c r="I66" i="25" s="1"/>
  <c r="H294" i="34"/>
  <c r="I294" i="34" s="1"/>
  <c r="K294" i="34" s="1"/>
  <c r="F287" i="25" s="1"/>
  <c r="H24" i="34"/>
  <c r="I24" i="34" s="1"/>
  <c r="K24" i="34" s="1"/>
  <c r="F17" i="25" s="1"/>
  <c r="I17" i="25" s="1"/>
  <c r="H251" i="34"/>
  <c r="I251" i="34" s="1"/>
  <c r="K251" i="34" s="1"/>
  <c r="F244" i="25" s="1"/>
  <c r="I244" i="25" s="1"/>
  <c r="H221" i="34"/>
  <c r="I221" i="34" s="1"/>
  <c r="K221" i="34" s="1"/>
  <c r="F214" i="25" s="1"/>
  <c r="I214" i="25" s="1"/>
  <c r="H57" i="34"/>
  <c r="I57" i="34" s="1"/>
  <c r="K57" i="34" s="1"/>
  <c r="F50" i="25" s="1"/>
  <c r="I50" i="25" s="1"/>
  <c r="H78" i="34"/>
  <c r="I78" i="34" s="1"/>
  <c r="K78" i="34" s="1"/>
  <c r="F71" i="25" s="1"/>
  <c r="I71" i="25" s="1"/>
  <c r="H146" i="34"/>
  <c r="I146" i="34" s="1"/>
  <c r="K146" i="34" s="1"/>
  <c r="F139" i="25" s="1"/>
  <c r="I139" i="25" s="1"/>
  <c r="H293" i="34"/>
  <c r="I293" i="34" s="1"/>
  <c r="K293" i="34" s="1"/>
  <c r="F286" i="25" s="1"/>
  <c r="I286" i="25" s="1"/>
  <c r="H190" i="34"/>
  <c r="I190" i="34" s="1"/>
  <c r="K190" i="34" s="1"/>
  <c r="F183" i="25" s="1"/>
  <c r="I183" i="25" s="1"/>
  <c r="H14" i="34"/>
  <c r="I14" i="34" s="1"/>
  <c r="K14" i="34" s="1"/>
  <c r="F7" i="25" s="1"/>
  <c r="I7" i="25" s="1"/>
  <c r="H20" i="34"/>
  <c r="I20" i="34" s="1"/>
  <c r="K20" i="34" s="1"/>
  <c r="F13" i="25" s="1"/>
  <c r="H55" i="34"/>
  <c r="I55" i="34" s="1"/>
  <c r="K55" i="34" s="1"/>
  <c r="H48" i="34"/>
  <c r="I48" i="34" s="1"/>
  <c r="K48" i="34" s="1"/>
  <c r="F41" i="25" s="1"/>
  <c r="I41" i="25" s="1"/>
  <c r="H186" i="34"/>
  <c r="I186" i="34" s="1"/>
  <c r="K186" i="34" s="1"/>
  <c r="F179" i="25" s="1"/>
  <c r="I179" i="25" s="1"/>
  <c r="H66" i="34"/>
  <c r="I66" i="34" s="1"/>
  <c r="K66" i="34" s="1"/>
  <c r="F59" i="25" s="1"/>
  <c r="I59" i="25" s="1"/>
  <c r="H87" i="34"/>
  <c r="I87" i="34" s="1"/>
  <c r="K87" i="34" s="1"/>
  <c r="F80" i="25" s="1"/>
  <c r="H72" i="34"/>
  <c r="I72" i="34" s="1"/>
  <c r="K72" i="34" s="1"/>
  <c r="F65" i="25" s="1"/>
  <c r="I65" i="25" s="1"/>
  <c r="H153" i="34"/>
  <c r="I153" i="34" s="1"/>
  <c r="K153" i="34" s="1"/>
  <c r="F146" i="25" s="1"/>
  <c r="H132" i="34"/>
  <c r="I132" i="34" s="1"/>
  <c r="K132" i="34" s="1"/>
  <c r="F125" i="25" s="1"/>
  <c r="H126" i="34"/>
  <c r="I126" i="34" s="1"/>
  <c r="K126" i="34" s="1"/>
  <c r="F119" i="25" s="1"/>
  <c r="I119" i="25" s="1"/>
  <c r="H137" i="34"/>
  <c r="I137" i="34" s="1"/>
  <c r="K137" i="34" s="1"/>
  <c r="F130" i="25" s="1"/>
  <c r="I130" i="25" s="1"/>
  <c r="H299" i="34"/>
  <c r="I299" i="34" s="1"/>
  <c r="K299" i="34" s="1"/>
  <c r="F292" i="25" s="1"/>
  <c r="I292" i="25" s="1"/>
  <c r="H85" i="34"/>
  <c r="I85" i="34" s="1"/>
  <c r="K85" i="34" s="1"/>
  <c r="F78" i="25" s="1"/>
  <c r="I78" i="25" s="1"/>
  <c r="H155" i="34"/>
  <c r="I155" i="34" s="1"/>
  <c r="K155" i="34" s="1"/>
  <c r="F148" i="25" s="1"/>
  <c r="I148" i="25" s="1"/>
  <c r="H104" i="34"/>
  <c r="I104" i="34" s="1"/>
  <c r="K104" i="34" s="1"/>
  <c r="F97" i="25" s="1"/>
  <c r="I97" i="25" s="1"/>
  <c r="H200" i="34"/>
  <c r="I200" i="34" s="1"/>
  <c r="K200" i="34" s="1"/>
  <c r="F193" i="25" s="1"/>
  <c r="I193" i="25" s="1"/>
  <c r="H151" i="34"/>
  <c r="I151" i="34" s="1"/>
  <c r="K151" i="34" s="1"/>
  <c r="F144" i="25" s="1"/>
  <c r="I144" i="25" s="1"/>
  <c r="H131" i="34"/>
  <c r="I131" i="34" s="1"/>
  <c r="K131" i="34" s="1"/>
  <c r="H244" i="34"/>
  <c r="I244" i="34" s="1"/>
  <c r="K244" i="34" s="1"/>
  <c r="F237" i="25" s="1"/>
  <c r="I237" i="25" s="1"/>
  <c r="H109" i="34"/>
  <c r="I109" i="34" s="1"/>
  <c r="K109" i="34" s="1"/>
  <c r="F102" i="25" s="1"/>
  <c r="I102" i="25" s="1"/>
  <c r="H47" i="34"/>
  <c r="I47" i="34" s="1"/>
  <c r="K47" i="34" s="1"/>
  <c r="F40" i="25" s="1"/>
  <c r="I40" i="25" s="1"/>
  <c r="H236" i="34"/>
  <c r="I236" i="34" s="1"/>
  <c r="K236" i="34" s="1"/>
  <c r="F229" i="25" s="1"/>
  <c r="I229" i="25" s="1"/>
  <c r="H86" i="34"/>
  <c r="I86" i="34" s="1"/>
  <c r="K86" i="34" s="1"/>
  <c r="F79" i="25" s="1"/>
  <c r="I79" i="25" s="1"/>
  <c r="H58" i="34"/>
  <c r="I58" i="34" s="1"/>
  <c r="K58" i="34" s="1"/>
  <c r="F51" i="25" s="1"/>
  <c r="H243" i="34"/>
  <c r="I243" i="34" s="1"/>
  <c r="K243" i="34" s="1"/>
  <c r="F236" i="25" s="1"/>
  <c r="I236" i="25" s="1"/>
  <c r="H19" i="34"/>
  <c r="I19" i="34" s="1"/>
  <c r="K19" i="34" s="1"/>
  <c r="F12" i="25" s="1"/>
  <c r="H129" i="34"/>
  <c r="I129" i="34" s="1"/>
  <c r="K129" i="34" s="1"/>
  <c r="F122" i="25" s="1"/>
  <c r="H94" i="34"/>
  <c r="I94" i="34" s="1"/>
  <c r="K94" i="34" s="1"/>
  <c r="F87" i="25" s="1"/>
  <c r="I87" i="25" s="1"/>
  <c r="H37" i="34"/>
  <c r="I37" i="34" s="1"/>
  <c r="K37" i="34" s="1"/>
  <c r="F30" i="25" s="1"/>
  <c r="I30" i="25" s="1"/>
  <c r="H113" i="34"/>
  <c r="I113" i="34" s="1"/>
  <c r="K113" i="34" s="1"/>
  <c r="F106" i="25" s="1"/>
  <c r="I106" i="25" s="1"/>
  <c r="H168" i="34"/>
  <c r="I168" i="34" s="1"/>
  <c r="K168" i="34" s="1"/>
  <c r="F161" i="25" s="1"/>
  <c r="I161" i="25" s="1"/>
  <c r="H283" i="34"/>
  <c r="I283" i="34" s="1"/>
  <c r="K283" i="34" s="1"/>
  <c r="F276" i="25" s="1"/>
  <c r="I276" i="25" s="1"/>
  <c r="H83" i="34"/>
  <c r="I83" i="34" s="1"/>
  <c r="K83" i="34" s="1"/>
  <c r="F76" i="25" s="1"/>
  <c r="H59" i="34"/>
  <c r="I59" i="34" s="1"/>
  <c r="K59" i="34" s="1"/>
  <c r="H264" i="34"/>
  <c r="I264" i="34" s="1"/>
  <c r="K264" i="34" s="1"/>
  <c r="F257" i="25" s="1"/>
  <c r="I257" i="25" s="1"/>
  <c r="H280" i="34"/>
  <c r="I280" i="34" s="1"/>
  <c r="K280" i="34" s="1"/>
  <c r="F273" i="25" s="1"/>
  <c r="I273" i="25" s="1"/>
  <c r="H26" i="34"/>
  <c r="I26" i="34" s="1"/>
  <c r="K26" i="34" s="1"/>
  <c r="F19" i="25" s="1"/>
  <c r="I19" i="25" s="1"/>
  <c r="H214" i="34"/>
  <c r="I214" i="34" s="1"/>
  <c r="K214" i="34" s="1"/>
  <c r="F207" i="25" s="1"/>
  <c r="H171" i="34"/>
  <c r="I171" i="34" s="1"/>
  <c r="K171" i="34" s="1"/>
  <c r="F164" i="25" s="1"/>
  <c r="I164" i="25" s="1"/>
  <c r="H193" i="34"/>
  <c r="I193" i="34" s="1"/>
  <c r="K193" i="34" s="1"/>
  <c r="F186" i="25" s="1"/>
  <c r="I186" i="25" s="1"/>
  <c r="H111" i="34"/>
  <c r="I111" i="34" s="1"/>
  <c r="K111" i="34" s="1"/>
  <c r="H125" i="34"/>
  <c r="I125" i="34" s="1"/>
  <c r="K125" i="34" s="1"/>
  <c r="F118" i="25" s="1"/>
  <c r="I118" i="25" s="1"/>
  <c r="H257" i="34"/>
  <c r="I257" i="34" s="1"/>
  <c r="K257" i="34" s="1"/>
  <c r="F250" i="25" s="1"/>
  <c r="I250" i="25" s="1"/>
  <c r="H162" i="34"/>
  <c r="I162" i="34" s="1"/>
  <c r="K162" i="34" s="1"/>
  <c r="F155" i="25" s="1"/>
  <c r="I155" i="25" s="1"/>
  <c r="H203" i="34"/>
  <c r="I203" i="34" s="1"/>
  <c r="K203" i="34" s="1"/>
  <c r="F196" i="25" s="1"/>
  <c r="I196" i="25" s="1"/>
  <c r="H238" i="34"/>
  <c r="I238" i="34" s="1"/>
  <c r="K238" i="34" s="1"/>
  <c r="F231" i="25" s="1"/>
  <c r="I231" i="25" s="1"/>
  <c r="H191" i="34"/>
  <c r="I191" i="34" s="1"/>
  <c r="K191" i="34" s="1"/>
  <c r="F184" i="25" s="1"/>
  <c r="H106" i="34"/>
  <c r="I106" i="34" s="1"/>
  <c r="K106" i="34" s="1"/>
  <c r="F99" i="25" s="1"/>
  <c r="I99" i="25" s="1"/>
  <c r="H17" i="34"/>
  <c r="I17" i="34" s="1"/>
  <c r="K17" i="34" s="1"/>
  <c r="F10" i="25" s="1"/>
  <c r="I10" i="25" s="1"/>
  <c r="H34" i="34"/>
  <c r="I34" i="34" s="1"/>
  <c r="K34" i="34" s="1"/>
  <c r="F27" i="25" s="1"/>
  <c r="I27" i="25" s="1"/>
  <c r="H46" i="34"/>
  <c r="I46" i="34" s="1"/>
  <c r="K46" i="34" s="1"/>
  <c r="F39" i="25" s="1"/>
  <c r="I39" i="25" s="1"/>
  <c r="H173" i="34"/>
  <c r="I173" i="34" s="1"/>
  <c r="K173" i="34" s="1"/>
  <c r="F166" i="25" s="1"/>
  <c r="I166" i="25" s="1"/>
  <c r="H212" i="34"/>
  <c r="I212" i="34" s="1"/>
  <c r="K212" i="34" s="1"/>
  <c r="F205" i="25" s="1"/>
  <c r="I205" i="25" s="1"/>
  <c r="H56" i="34"/>
  <c r="I56" i="34" s="1"/>
  <c r="K56" i="34" s="1"/>
  <c r="F49" i="25" s="1"/>
  <c r="I49" i="25" s="1"/>
  <c r="H176" i="34"/>
  <c r="I176" i="34" s="1"/>
  <c r="K176" i="34" s="1"/>
  <c r="F169" i="25" s="1"/>
  <c r="I169" i="25" s="1"/>
  <c r="H76" i="34"/>
  <c r="I76" i="34" s="1"/>
  <c r="K76" i="34" s="1"/>
  <c r="F69" i="25" s="1"/>
  <c r="I69" i="25" s="1"/>
  <c r="H69" i="34"/>
  <c r="I69" i="34" s="1"/>
  <c r="K69" i="34" s="1"/>
  <c r="F62" i="25" s="1"/>
  <c r="I62" i="25" s="1"/>
  <c r="H32" i="34"/>
  <c r="I32" i="34" s="1"/>
  <c r="K32" i="34" s="1"/>
  <c r="F25" i="25" s="1"/>
  <c r="I25" i="25" s="1"/>
  <c r="H92" i="34"/>
  <c r="I92" i="34" s="1"/>
  <c r="K92" i="34" s="1"/>
  <c r="F85" i="25" s="1"/>
  <c r="I85" i="25" s="1"/>
  <c r="H67" i="34"/>
  <c r="I67" i="34" s="1"/>
  <c r="K67" i="34" s="1"/>
  <c r="F60" i="25" s="1"/>
  <c r="I60" i="25" s="1"/>
  <c r="H53" i="34"/>
  <c r="I53" i="34" s="1"/>
  <c r="K53" i="34" s="1"/>
  <c r="F46" i="25" s="1"/>
  <c r="I46" i="25" s="1"/>
  <c r="H207" i="34"/>
  <c r="I207" i="34" s="1"/>
  <c r="K207" i="34" s="1"/>
  <c r="F200" i="25" s="1"/>
  <c r="I200" i="25" s="1"/>
  <c r="H277" i="34"/>
  <c r="I277" i="34" s="1"/>
  <c r="K277" i="34" s="1"/>
  <c r="F270" i="25" s="1"/>
  <c r="I270" i="25" s="1"/>
  <c r="H117" i="34"/>
  <c r="I117" i="34" s="1"/>
  <c r="K117" i="34" s="1"/>
  <c r="F110" i="25" s="1"/>
  <c r="I110" i="25" s="1"/>
  <c r="H124" i="34"/>
  <c r="I124" i="34" s="1"/>
  <c r="K124" i="34" s="1"/>
  <c r="F117" i="25" s="1"/>
  <c r="I117" i="25" s="1"/>
  <c r="H138" i="34"/>
  <c r="I138" i="34" s="1"/>
  <c r="K138" i="34" s="1"/>
  <c r="F131" i="25" s="1"/>
  <c r="I131" i="25" s="1"/>
  <c r="H215" i="34"/>
  <c r="I215" i="34" s="1"/>
  <c r="K215" i="34" s="1"/>
  <c r="F208" i="25" s="1"/>
  <c r="I208" i="25" s="1"/>
  <c r="H227" i="34"/>
  <c r="I227" i="34" s="1"/>
  <c r="K227" i="34" s="1"/>
  <c r="F220" i="25" s="1"/>
  <c r="I220" i="25" s="1"/>
  <c r="H116" i="34"/>
  <c r="I116" i="34" s="1"/>
  <c r="K116" i="34" s="1"/>
  <c r="F109" i="25" s="1"/>
  <c r="I109" i="25" s="1"/>
  <c r="H232" i="34"/>
  <c r="I232" i="34" s="1"/>
  <c r="K232" i="34" s="1"/>
  <c r="F225" i="25" s="1"/>
  <c r="H27" i="34"/>
  <c r="I27" i="34" s="1"/>
  <c r="K27" i="34" s="1"/>
  <c r="F20" i="25" s="1"/>
  <c r="I20" i="25" s="1"/>
  <c r="H95" i="34"/>
  <c r="I95" i="34" s="1"/>
  <c r="K95" i="34" s="1"/>
  <c r="F88" i="25" s="1"/>
  <c r="I88" i="25" s="1"/>
  <c r="H206" i="34"/>
  <c r="I206" i="34" s="1"/>
  <c r="K206" i="34" s="1"/>
  <c r="F199" i="25" s="1"/>
  <c r="H195" i="34"/>
  <c r="I195" i="34" s="1"/>
  <c r="K195" i="34" s="1"/>
  <c r="F188" i="25" s="1"/>
  <c r="I188" i="25" s="1"/>
  <c r="H255" i="34"/>
  <c r="I255" i="34" s="1"/>
  <c r="K255" i="34" s="1"/>
  <c r="F248" i="25" s="1"/>
  <c r="I248" i="25" s="1"/>
  <c r="H15" i="34"/>
  <c r="I15" i="34" s="1"/>
  <c r="K15" i="34" s="1"/>
  <c r="F8" i="25" s="1"/>
  <c r="I8" i="25" s="1"/>
  <c r="H229" i="34"/>
  <c r="I229" i="34" s="1"/>
  <c r="K229" i="34" s="1"/>
  <c r="F222" i="25" s="1"/>
  <c r="I222" i="25" s="1"/>
  <c r="H167" i="34"/>
  <c r="I167" i="34" s="1"/>
  <c r="K167" i="34" s="1"/>
  <c r="F160" i="25" s="1"/>
  <c r="I160" i="25" s="1"/>
  <c r="H187" i="34"/>
  <c r="I187" i="34" s="1"/>
  <c r="K187" i="34" s="1"/>
  <c r="F180" i="25" s="1"/>
  <c r="H278" i="34"/>
  <c r="I278" i="34" s="1"/>
  <c r="K278" i="34" s="1"/>
  <c r="F271" i="25" s="1"/>
  <c r="I271" i="25" s="1"/>
  <c r="H219" i="34"/>
  <c r="I219" i="34" s="1"/>
  <c r="K219" i="34" s="1"/>
  <c r="F212" i="25" s="1"/>
  <c r="H181" i="34"/>
  <c r="I181" i="34" s="1"/>
  <c r="K181" i="34" s="1"/>
  <c r="F174" i="25" s="1"/>
  <c r="H102" i="34"/>
  <c r="I102" i="34" s="1"/>
  <c r="K102" i="34" s="1"/>
  <c r="F95" i="25" s="1"/>
  <c r="I95" i="25" s="1"/>
  <c r="H262" i="34"/>
  <c r="I262" i="34" s="1"/>
  <c r="K262" i="34" s="1"/>
  <c r="F255" i="25" s="1"/>
  <c r="I255" i="25" s="1"/>
  <c r="H199" i="34"/>
  <c r="I199" i="34" s="1"/>
  <c r="K199" i="34" s="1"/>
  <c r="F192" i="25" s="1"/>
  <c r="H269" i="34"/>
  <c r="I269" i="34" s="1"/>
  <c r="K269" i="34" s="1"/>
  <c r="F262" i="25" s="1"/>
  <c r="I262" i="25" s="1"/>
  <c r="H184" i="34"/>
  <c r="I184" i="34" s="1"/>
  <c r="K184" i="34" s="1"/>
  <c r="F177" i="25" s="1"/>
  <c r="I177" i="25" s="1"/>
  <c r="H305" i="34"/>
  <c r="I305" i="34" s="1"/>
  <c r="K305" i="34" s="1"/>
  <c r="F298" i="25" s="1"/>
  <c r="I298" i="25" s="1"/>
  <c r="H169" i="34"/>
  <c r="I169" i="34" s="1"/>
  <c r="K169" i="34" s="1"/>
  <c r="F162" i="25" s="1"/>
  <c r="I162" i="25" s="1"/>
  <c r="H306" i="34"/>
  <c r="I306" i="34" s="1"/>
  <c r="K306" i="34" s="1"/>
  <c r="F299" i="25" s="1"/>
  <c r="I299" i="25" s="1"/>
  <c r="H281" i="34"/>
  <c r="I281" i="34" s="1"/>
  <c r="K281" i="34" s="1"/>
  <c r="F274" i="25" s="1"/>
  <c r="I274" i="25" s="1"/>
  <c r="H63" i="34"/>
  <c r="I63" i="34" s="1"/>
  <c r="K63" i="34" s="1"/>
  <c r="F56" i="25" s="1"/>
  <c r="I56" i="25" s="1"/>
  <c r="H91" i="34"/>
  <c r="I91" i="34" s="1"/>
  <c r="K91" i="34" s="1"/>
  <c r="F84" i="25" s="1"/>
  <c r="I84" i="25" s="1"/>
  <c r="H217" i="34"/>
  <c r="I217" i="34" s="1"/>
  <c r="K217" i="34" s="1"/>
  <c r="F210" i="25" s="1"/>
  <c r="I210" i="25" s="1"/>
  <c r="H230" i="34"/>
  <c r="I230" i="34" s="1"/>
  <c r="K230" i="34" s="1"/>
  <c r="F223" i="25" s="1"/>
  <c r="I223" i="25" s="1"/>
  <c r="H38" i="34"/>
  <c r="I38" i="34" s="1"/>
  <c r="K38" i="34" s="1"/>
  <c r="F31" i="25" s="1"/>
  <c r="I31" i="25" s="1"/>
  <c r="H249" i="34"/>
  <c r="I249" i="34" s="1"/>
  <c r="K249" i="34" s="1"/>
  <c r="F242" i="25" s="1"/>
  <c r="H275" i="34"/>
  <c r="I275" i="34" s="1"/>
  <c r="K275" i="34" s="1"/>
  <c r="F268" i="25" s="1"/>
  <c r="H308" i="34"/>
  <c r="I308" i="34" s="1"/>
  <c r="K308" i="34" s="1"/>
  <c r="H300" i="34"/>
  <c r="I300" i="34" s="1"/>
  <c r="K300" i="34" s="1"/>
  <c r="F293" i="25" s="1"/>
  <c r="I293" i="25" s="1"/>
  <c r="H231" i="34"/>
  <c r="I231" i="34" s="1"/>
  <c r="K231" i="34" s="1"/>
  <c r="F224" i="25" s="1"/>
  <c r="I224" i="25" s="1"/>
  <c r="H310" i="34"/>
  <c r="I310" i="34" s="1"/>
  <c r="K310" i="34" s="1"/>
  <c r="F303" i="25" s="1"/>
  <c r="I303" i="25" s="1"/>
  <c r="H88" i="34"/>
  <c r="I88" i="34" s="1"/>
  <c r="K88" i="34" s="1"/>
  <c r="F81" i="25" s="1"/>
  <c r="I81" i="25" s="1"/>
  <c r="H103" i="34"/>
  <c r="I103" i="34" s="1"/>
  <c r="K103" i="34" s="1"/>
  <c r="F96" i="25" s="1"/>
  <c r="H177" i="34"/>
  <c r="I177" i="34" s="1"/>
  <c r="K177" i="34" s="1"/>
  <c r="F170" i="25" s="1"/>
  <c r="I170" i="25" s="1"/>
  <c r="H225" i="34"/>
  <c r="I225" i="34" s="1"/>
  <c r="K225" i="34" s="1"/>
  <c r="F218" i="25" s="1"/>
  <c r="I218" i="25" s="1"/>
  <c r="H74" i="34"/>
  <c r="I74" i="34" s="1"/>
  <c r="K74" i="34" s="1"/>
  <c r="F67" i="25" s="1"/>
  <c r="I67" i="25" s="1"/>
  <c r="H28" i="34"/>
  <c r="I28" i="34" s="1"/>
  <c r="K28" i="34" s="1"/>
  <c r="F21" i="25" s="1"/>
  <c r="I21" i="25" s="1"/>
  <c r="H233" i="34"/>
  <c r="I233" i="34" s="1"/>
  <c r="K233" i="34" s="1"/>
  <c r="F226" i="25" s="1"/>
  <c r="I226" i="25" s="1"/>
  <c r="H130" i="34"/>
  <c r="I130" i="34" s="1"/>
  <c r="K130" i="34" s="1"/>
  <c r="F123" i="25" s="1"/>
  <c r="I123" i="25" s="1"/>
  <c r="H263" i="34"/>
  <c r="I263" i="34" s="1"/>
  <c r="K263" i="34" s="1"/>
  <c r="F256" i="25" s="1"/>
  <c r="I256" i="25" s="1"/>
  <c r="H175" i="34"/>
  <c r="I175" i="34" s="1"/>
  <c r="K175" i="34" s="1"/>
  <c r="F168" i="25" s="1"/>
  <c r="I168" i="25" s="1"/>
  <c r="H77" i="34"/>
  <c r="I77" i="34" s="1"/>
  <c r="K77" i="34" s="1"/>
  <c r="F70" i="25" s="1"/>
  <c r="I70" i="25" s="1"/>
  <c r="H297" i="34"/>
  <c r="I297" i="34" s="1"/>
  <c r="K297" i="34" s="1"/>
  <c r="F290" i="25" s="1"/>
  <c r="I290" i="25" s="1"/>
  <c r="H147" i="34"/>
  <c r="I147" i="34" s="1"/>
  <c r="K147" i="34" s="1"/>
  <c r="F140" i="25" s="1"/>
  <c r="H298" i="34"/>
  <c r="I298" i="34" s="1"/>
  <c r="K298" i="34" s="1"/>
  <c r="F291" i="25" s="1"/>
  <c r="I291" i="25" s="1"/>
  <c r="H156" i="34"/>
  <c r="I156" i="34" s="1"/>
  <c r="K156" i="34" s="1"/>
  <c r="F149" i="25" s="1"/>
  <c r="I149" i="25" s="1"/>
  <c r="H42" i="34"/>
  <c r="I42" i="34" s="1"/>
  <c r="K42" i="34" s="1"/>
  <c r="F35" i="25" s="1"/>
  <c r="I35" i="25" s="1"/>
  <c r="H164" i="34"/>
  <c r="I164" i="34" s="1"/>
  <c r="K164" i="34" s="1"/>
  <c r="F157" i="25" s="1"/>
  <c r="I157" i="25" s="1"/>
  <c r="H208" i="34"/>
  <c r="I208" i="34" s="1"/>
  <c r="K208" i="34" s="1"/>
  <c r="F201" i="25" s="1"/>
  <c r="I201" i="25" s="1"/>
  <c r="H286" i="34"/>
  <c r="I286" i="34" s="1"/>
  <c r="K286" i="34" s="1"/>
  <c r="F279" i="25" s="1"/>
  <c r="I279" i="25" s="1"/>
  <c r="H228" i="34"/>
  <c r="I228" i="34" s="1"/>
  <c r="K228" i="34" s="1"/>
  <c r="F221" i="25" s="1"/>
  <c r="H145" i="34"/>
  <c r="I145" i="34" s="1"/>
  <c r="K145" i="34" s="1"/>
  <c r="F138" i="25" s="1"/>
  <c r="I138" i="25" s="1"/>
  <c r="H285" i="34"/>
  <c r="I285" i="34" s="1"/>
  <c r="K285" i="34" s="1"/>
  <c r="F278" i="25" s="1"/>
  <c r="I278" i="25" s="1"/>
  <c r="H204" i="34"/>
  <c r="I204" i="34" s="1"/>
  <c r="K204" i="34" s="1"/>
  <c r="F197" i="25" s="1"/>
  <c r="I197" i="25" s="1"/>
  <c r="H259" i="34"/>
  <c r="I259" i="34" s="1"/>
  <c r="K259" i="34" s="1"/>
  <c r="F252" i="25" s="1"/>
  <c r="I252" i="25" s="1"/>
  <c r="H80" i="34"/>
  <c r="I80" i="34" s="1"/>
  <c r="K80" i="34" s="1"/>
  <c r="F73" i="25" s="1"/>
  <c r="I73" i="25" s="1"/>
  <c r="H271" i="34"/>
  <c r="I271" i="34" s="1"/>
  <c r="K271" i="34" s="1"/>
  <c r="F264" i="25" s="1"/>
  <c r="I264" i="25" s="1"/>
  <c r="H311" i="34"/>
  <c r="I311" i="34" s="1"/>
  <c r="K311" i="34" s="1"/>
  <c r="F304" i="25" s="1"/>
  <c r="I304" i="25" s="1"/>
  <c r="H210" i="34"/>
  <c r="I210" i="34" s="1"/>
  <c r="K210" i="34" s="1"/>
  <c r="F203" i="25" s="1"/>
  <c r="I203" i="25" s="1"/>
  <c r="H282" i="34"/>
  <c r="I282" i="34" s="1"/>
  <c r="K282" i="34" s="1"/>
  <c r="F275" i="25" s="1"/>
  <c r="H21" i="34"/>
  <c r="I21" i="34" s="1"/>
  <c r="K21" i="34" s="1"/>
  <c r="F14" i="25" s="1"/>
  <c r="I14" i="25" s="1"/>
  <c r="H248" i="34"/>
  <c r="I248" i="34" s="1"/>
  <c r="K248" i="34" s="1"/>
  <c r="F241" i="25" s="1"/>
  <c r="I241" i="25" s="1"/>
  <c r="H224" i="34"/>
  <c r="I224" i="34" s="1"/>
  <c r="K224" i="34" s="1"/>
  <c r="F217" i="25" s="1"/>
  <c r="I217" i="25" s="1"/>
  <c r="H52" i="34"/>
  <c r="I52" i="34" s="1"/>
  <c r="K52" i="34" s="1"/>
  <c r="F45" i="25" s="1"/>
  <c r="I45" i="25" s="1"/>
  <c r="H254" i="34"/>
  <c r="I254" i="34" s="1"/>
  <c r="K254" i="34" s="1"/>
  <c r="F247" i="25" s="1"/>
  <c r="H22" i="34"/>
  <c r="I22" i="34" s="1"/>
  <c r="K22" i="34" s="1"/>
  <c r="F15" i="25" s="1"/>
  <c r="H101" i="34"/>
  <c r="I101" i="34" s="1"/>
  <c r="K101" i="34" s="1"/>
  <c r="F94" i="25" s="1"/>
  <c r="I94" i="25" s="1"/>
  <c r="H216" i="34"/>
  <c r="I216" i="34" s="1"/>
  <c r="K216" i="34" s="1"/>
  <c r="F209" i="25" s="1"/>
  <c r="H276" i="34"/>
  <c r="I276" i="34" s="1"/>
  <c r="K276" i="34" s="1"/>
  <c r="F269" i="25" s="1"/>
  <c r="H209" i="34"/>
  <c r="I209" i="34" s="1"/>
  <c r="K209" i="34" s="1"/>
  <c r="F202" i="25" s="1"/>
  <c r="I202" i="25" s="1"/>
  <c r="H154" i="34"/>
  <c r="I154" i="34" s="1"/>
  <c r="K154" i="34" s="1"/>
  <c r="F147" i="25" s="1"/>
  <c r="I147" i="25" s="1"/>
  <c r="H143" i="34"/>
  <c r="I143" i="34" s="1"/>
  <c r="K143" i="34" s="1"/>
  <c r="F136" i="25" s="1"/>
  <c r="I136" i="25" s="1"/>
  <c r="H70" i="34"/>
  <c r="I70" i="34" s="1"/>
  <c r="K70" i="34" s="1"/>
  <c r="F63" i="25" s="1"/>
  <c r="I63" i="25" s="1"/>
  <c r="H23" i="34"/>
  <c r="I23" i="34" s="1"/>
  <c r="K23" i="34" s="1"/>
  <c r="F16" i="25" s="1"/>
  <c r="I16" i="25" s="1"/>
  <c r="H261" i="34"/>
  <c r="I261" i="34" s="1"/>
  <c r="K261" i="34" s="1"/>
  <c r="F254" i="25" s="1"/>
  <c r="I254" i="25" s="1"/>
  <c r="H25" i="34"/>
  <c r="I25" i="34" s="1"/>
  <c r="K25" i="34" s="1"/>
  <c r="F18" i="25" s="1"/>
  <c r="I18" i="25" s="1"/>
  <c r="H157" i="34"/>
  <c r="I157" i="34" s="1"/>
  <c r="K157" i="34" s="1"/>
  <c r="F150" i="25" s="1"/>
  <c r="I150" i="25" s="1"/>
  <c r="H179" i="34"/>
  <c r="I179" i="34" s="1"/>
  <c r="K179" i="34" s="1"/>
  <c r="F172" i="25" s="1"/>
  <c r="H60" i="34"/>
  <c r="I60" i="34" s="1"/>
  <c r="K60" i="34" s="1"/>
  <c r="F53" i="25" s="1"/>
  <c r="H223" i="34"/>
  <c r="I223" i="34" s="1"/>
  <c r="K223" i="34" s="1"/>
  <c r="F216" i="25" s="1"/>
  <c r="I216" i="25" s="1"/>
  <c r="H166" i="34"/>
  <c r="I166" i="34" s="1"/>
  <c r="K166" i="34" s="1"/>
  <c r="F159" i="25" s="1"/>
  <c r="H75" i="34"/>
  <c r="I75" i="34" s="1"/>
  <c r="K75" i="34" s="1"/>
  <c r="F68" i="25" s="1"/>
  <c r="I68" i="25" s="1"/>
  <c r="H118" i="34"/>
  <c r="I118" i="34" s="1"/>
  <c r="K118" i="34" s="1"/>
  <c r="F111" i="25" s="1"/>
  <c r="I111" i="25" s="1"/>
  <c r="H174" i="34"/>
  <c r="I174" i="34" s="1"/>
  <c r="K174" i="34" s="1"/>
  <c r="F167" i="25" s="1"/>
  <c r="I167" i="25" s="1"/>
  <c r="H160" i="34"/>
  <c r="I160" i="34" s="1"/>
  <c r="K160" i="34" s="1"/>
  <c r="F153" i="25" s="1"/>
  <c r="I153" i="25" s="1"/>
  <c r="H237" i="34"/>
  <c r="I237" i="34" s="1"/>
  <c r="K237" i="34" s="1"/>
  <c r="F230" i="25" s="1"/>
  <c r="I230" i="25" s="1"/>
  <c r="H136" i="34"/>
  <c r="I136" i="34" s="1"/>
  <c r="K136" i="34" s="1"/>
  <c r="F129" i="25" s="1"/>
  <c r="I129" i="25" s="1"/>
  <c r="H122" i="34"/>
  <c r="I122" i="34" s="1"/>
  <c r="K122" i="34" s="1"/>
  <c r="F115" i="25" s="1"/>
  <c r="I115" i="25" s="1"/>
  <c r="H279" i="34"/>
  <c r="I279" i="34" s="1"/>
  <c r="K279" i="34" s="1"/>
  <c r="F272" i="25" s="1"/>
  <c r="I272" i="25" s="1"/>
  <c r="H65" i="34"/>
  <c r="I65" i="34" s="1"/>
  <c r="K65" i="34" s="1"/>
  <c r="F58" i="25" s="1"/>
  <c r="I58" i="25" s="1"/>
  <c r="H54" i="34"/>
  <c r="I54" i="34" s="1"/>
  <c r="K54" i="34" s="1"/>
  <c r="F47" i="25" s="1"/>
  <c r="I47" i="25" s="1"/>
  <c r="H241" i="34"/>
  <c r="I241" i="34" s="1"/>
  <c r="K241" i="34" s="1"/>
  <c r="F234" i="25" s="1"/>
  <c r="H107" i="34"/>
  <c r="I107" i="34" s="1"/>
  <c r="K107" i="34" s="1"/>
  <c r="F100" i="25" s="1"/>
  <c r="I100" i="25" s="1"/>
  <c r="H245" i="34"/>
  <c r="I245" i="34" s="1"/>
  <c r="K245" i="34" s="1"/>
  <c r="F238" i="25" s="1"/>
  <c r="I238" i="25" s="1"/>
  <c r="H197" i="34"/>
  <c r="I197" i="34" s="1"/>
  <c r="K197" i="34" s="1"/>
  <c r="F190" i="25" s="1"/>
  <c r="I190" i="25" s="1"/>
  <c r="H93" i="34"/>
  <c r="I93" i="34" s="1"/>
  <c r="K93" i="34" s="1"/>
  <c r="F86" i="25" s="1"/>
  <c r="I86" i="25" s="1"/>
  <c r="H240" i="34"/>
  <c r="I240" i="34" s="1"/>
  <c r="K240" i="34" s="1"/>
  <c r="F233" i="25" s="1"/>
  <c r="I233" i="25" s="1"/>
  <c r="H29" i="13"/>
  <c r="I29" i="13" s="1"/>
  <c r="J29" i="13" s="1"/>
  <c r="I289" i="13"/>
  <c r="H256" i="34"/>
  <c r="I256" i="34" s="1"/>
  <c r="K256" i="34" s="1"/>
  <c r="F249" i="25" s="1"/>
  <c r="I249" i="25" s="1"/>
  <c r="H97" i="34"/>
  <c r="I97" i="34" s="1"/>
  <c r="K97" i="34" s="1"/>
  <c r="F90" i="25" s="1"/>
  <c r="F52" i="25"/>
  <c r="I52" i="25" s="1"/>
  <c r="F191" i="25"/>
  <c r="I191" i="25" s="1"/>
  <c r="F91" i="25"/>
  <c r="I91" i="25" s="1"/>
  <c r="F44" i="25"/>
  <c r="I44" i="25" s="1"/>
  <c r="F181" i="25"/>
  <c r="F124" i="25"/>
  <c r="I124" i="25" s="1"/>
  <c r="F104" i="25"/>
  <c r="I104" i="25" s="1"/>
  <c r="F195" i="25"/>
  <c r="I195" i="25" s="1"/>
  <c r="F43" i="25"/>
  <c r="I43" i="25" s="1"/>
  <c r="F154" i="25"/>
  <c r="I154" i="25" s="1"/>
  <c r="F213" i="25"/>
  <c r="I213" i="25" s="1"/>
  <c r="F185" i="25"/>
  <c r="I185" i="25" s="1"/>
  <c r="F48" i="25"/>
  <c r="I48" i="25" s="1"/>
  <c r="F39" i="48"/>
  <c r="F43" i="48" s="1"/>
  <c r="F54" i="48" s="1"/>
  <c r="G306" i="13"/>
  <c r="H306" i="13" s="1"/>
  <c r="J289" i="13" l="1"/>
  <c r="H295" i="34" s="1"/>
  <c r="I295" i="34" s="1"/>
  <c r="K295" i="34" s="1"/>
  <c r="F288" i="25" s="1"/>
  <c r="I288" i="25" s="1"/>
  <c r="J306" i="13"/>
  <c r="G155" i="54"/>
  <c r="H155" i="54" s="1"/>
  <c r="I209" i="25"/>
  <c r="G210" i="54"/>
  <c r="H210" i="54" s="1"/>
  <c r="I275" i="25"/>
  <c r="G276" i="54"/>
  <c r="H276" i="54" s="1"/>
  <c r="I82" i="25"/>
  <c r="G83" i="54"/>
  <c r="H83" i="54" s="1"/>
  <c r="G18" i="54"/>
  <c r="H18" i="54" s="1"/>
  <c r="I269" i="25"/>
  <c r="G270" i="54"/>
  <c r="H270" i="54" s="1"/>
  <c r="I53" i="25"/>
  <c r="G54" i="54"/>
  <c r="H54" i="54" s="1"/>
  <c r="I172" i="25"/>
  <c r="G173" i="54"/>
  <c r="H173" i="54" s="1"/>
  <c r="I15" i="25"/>
  <c r="G16" i="54"/>
  <c r="H16" i="54" s="1"/>
  <c r="G129" i="54"/>
  <c r="H129" i="54" s="1"/>
  <c r="G260" i="54"/>
  <c r="H260" i="54" s="1"/>
  <c r="G45" i="54"/>
  <c r="H45" i="54" s="1"/>
  <c r="G64" i="54"/>
  <c r="H64" i="54" s="1"/>
  <c r="G11" i="54"/>
  <c r="H11" i="54" s="1"/>
  <c r="G58" i="54"/>
  <c r="H58" i="54" s="1"/>
  <c r="G132" i="54"/>
  <c r="H132" i="54" s="1"/>
  <c r="G211" i="54"/>
  <c r="H211" i="54" s="1"/>
  <c r="G168" i="54"/>
  <c r="H168" i="54" s="1"/>
  <c r="G216" i="54"/>
  <c r="H216" i="54" s="1"/>
  <c r="G8" i="54"/>
  <c r="H8" i="54" s="1"/>
  <c r="G154" i="54"/>
  <c r="H154" i="54" s="1"/>
  <c r="G72" i="54"/>
  <c r="H72" i="54" s="1"/>
  <c r="G111" i="54"/>
  <c r="H111" i="54" s="1"/>
  <c r="E61" i="48" s="1"/>
  <c r="C61" i="48" s="1"/>
  <c r="G79" i="54"/>
  <c r="H79" i="54" s="1"/>
  <c r="G234" i="54"/>
  <c r="H234" i="54" s="1"/>
  <c r="G172" i="54"/>
  <c r="H172" i="54" s="1"/>
  <c r="G190" i="54"/>
  <c r="H190" i="54" s="1"/>
  <c r="G127" i="54"/>
  <c r="H127" i="54" s="1"/>
  <c r="G238" i="54"/>
  <c r="H238" i="54" s="1"/>
  <c r="G51" i="54"/>
  <c r="H51" i="54" s="1"/>
  <c r="G15" i="54"/>
  <c r="H15" i="54" s="1"/>
  <c r="G229" i="54"/>
  <c r="H229" i="54" s="1"/>
  <c r="G44" i="54"/>
  <c r="H44" i="54" s="1"/>
  <c r="G188" i="54"/>
  <c r="H188" i="54" s="1"/>
  <c r="G86" i="54"/>
  <c r="H86" i="54" s="1"/>
  <c r="G119" i="54"/>
  <c r="H119" i="54" s="1"/>
  <c r="G180" i="54"/>
  <c r="H180" i="54" s="1"/>
  <c r="G301" i="54"/>
  <c r="H301" i="54" s="1"/>
  <c r="G249" i="54"/>
  <c r="H249" i="54" s="1"/>
  <c r="G48" i="54"/>
  <c r="H48" i="54" s="1"/>
  <c r="G151" i="54"/>
  <c r="H151" i="54" s="1"/>
  <c r="G143" i="54"/>
  <c r="H143" i="54" s="1"/>
  <c r="G28" i="54"/>
  <c r="H28" i="54" s="1"/>
  <c r="G94" i="54"/>
  <c r="H94" i="54" s="1"/>
  <c r="G40" i="54"/>
  <c r="H40" i="54" s="1"/>
  <c r="G236" i="54"/>
  <c r="H236" i="54" s="1"/>
  <c r="G228" i="54"/>
  <c r="H228" i="54" s="1"/>
  <c r="G280" i="54"/>
  <c r="H280" i="54" s="1"/>
  <c r="G158" i="54"/>
  <c r="H158" i="54" s="1"/>
  <c r="G56" i="54"/>
  <c r="H56" i="54" s="1"/>
  <c r="G174" i="54"/>
  <c r="H174" i="54" s="1"/>
  <c r="G122" i="54"/>
  <c r="H122" i="54" s="1"/>
  <c r="G93" i="54"/>
  <c r="H93" i="54" s="1"/>
  <c r="G195" i="54"/>
  <c r="H195" i="54" s="1"/>
  <c r="G73" i="54"/>
  <c r="H73" i="54" s="1"/>
  <c r="G19" i="54"/>
  <c r="H19" i="54" s="1"/>
  <c r="G152" i="54"/>
  <c r="H152" i="54" s="1"/>
  <c r="G239" i="54"/>
  <c r="H239" i="54" s="1"/>
  <c r="G38" i="54"/>
  <c r="H38" i="54" s="1"/>
  <c r="G139" i="54"/>
  <c r="H139" i="54" s="1"/>
  <c r="I90" i="25"/>
  <c r="G91" i="54"/>
  <c r="H91" i="54" s="1"/>
  <c r="G116" i="54"/>
  <c r="H116" i="54" s="1"/>
  <c r="G124" i="54"/>
  <c r="H124" i="54" s="1"/>
  <c r="G46" i="54"/>
  <c r="H46" i="54" s="1"/>
  <c r="G42" i="54"/>
  <c r="H42" i="54" s="1"/>
  <c r="G187" i="54"/>
  <c r="H187" i="54" s="1"/>
  <c r="I22" i="25"/>
  <c r="G23" i="54"/>
  <c r="H23" i="54" s="1"/>
  <c r="I207" i="25"/>
  <c r="G208" i="54"/>
  <c r="H208" i="54" s="1"/>
  <c r="I174" i="25"/>
  <c r="G175" i="54"/>
  <c r="H175" i="54" s="1"/>
  <c r="I234" i="25"/>
  <c r="G235" i="54"/>
  <c r="H235" i="54" s="1"/>
  <c r="I221" i="25"/>
  <c r="G222" i="54"/>
  <c r="H222" i="54" s="1"/>
  <c r="I268" i="25"/>
  <c r="G269" i="54"/>
  <c r="H269" i="54" s="1"/>
  <c r="I51" i="25"/>
  <c r="G52" i="54"/>
  <c r="H52" i="54" s="1"/>
  <c r="I80" i="25"/>
  <c r="G81" i="54"/>
  <c r="H81" i="54" s="1"/>
  <c r="I225" i="25"/>
  <c r="G226" i="54"/>
  <c r="H226" i="54" s="1"/>
  <c r="I206" i="25"/>
  <c r="G207" i="54"/>
  <c r="H207" i="54" s="1"/>
  <c r="I6" i="25"/>
  <c r="G7" i="54"/>
  <c r="H7" i="54" s="1"/>
  <c r="I284" i="25"/>
  <c r="G285" i="54"/>
  <c r="H285" i="54" s="1"/>
  <c r="I198" i="25"/>
  <c r="G199" i="54"/>
  <c r="H199" i="54" s="1"/>
  <c r="I12" i="25"/>
  <c r="G13" i="54"/>
  <c r="H13" i="54" s="1"/>
  <c r="I125" i="25"/>
  <c r="G126" i="54"/>
  <c r="H126" i="54" s="1"/>
  <c r="I76" i="25"/>
  <c r="G77" i="54"/>
  <c r="H77" i="54" s="1"/>
  <c r="I105" i="25"/>
  <c r="G106" i="54"/>
  <c r="H106" i="54" s="1"/>
  <c r="I29" i="25"/>
  <c r="G30" i="54"/>
  <c r="H30" i="54" s="1"/>
  <c r="I96" i="25"/>
  <c r="G97" i="54"/>
  <c r="H97" i="54" s="1"/>
  <c r="I26" i="25"/>
  <c r="G27" i="54"/>
  <c r="H27" i="54" s="1"/>
  <c r="I266" i="25"/>
  <c r="G267" i="54"/>
  <c r="H267" i="54" s="1"/>
  <c r="I180" i="25"/>
  <c r="G181" i="54"/>
  <c r="H181" i="54" s="1"/>
  <c r="I281" i="25"/>
  <c r="G282" i="54"/>
  <c r="H282" i="54" s="1"/>
  <c r="I192" i="25"/>
  <c r="G193" i="54"/>
  <c r="H193" i="54" s="1"/>
  <c r="I212" i="25"/>
  <c r="G213" i="54"/>
  <c r="H213" i="54" s="1"/>
  <c r="I13" i="25"/>
  <c r="G14" i="54"/>
  <c r="H14" i="54" s="1"/>
  <c r="I247" i="25"/>
  <c r="G248" i="54"/>
  <c r="H248" i="54" s="1"/>
  <c r="I146" i="25"/>
  <c r="G147" i="54"/>
  <c r="H147" i="54" s="1"/>
  <c r="I122" i="25"/>
  <c r="G123" i="54"/>
  <c r="H123" i="54" s="1"/>
  <c r="I24" i="25"/>
  <c r="G25" i="54"/>
  <c r="H25" i="54" s="1"/>
  <c r="I181" i="25"/>
  <c r="G182" i="54"/>
  <c r="H182" i="54" s="1"/>
  <c r="I242" i="25"/>
  <c r="G243" i="54"/>
  <c r="H243" i="54" s="1"/>
  <c r="I184" i="25"/>
  <c r="G185" i="54"/>
  <c r="H185" i="54" s="1"/>
  <c r="I140" i="25"/>
  <c r="G141" i="54"/>
  <c r="H141" i="54" s="1"/>
  <c r="I199" i="25"/>
  <c r="G200" i="54"/>
  <c r="H200" i="54" s="1"/>
  <c r="I159" i="25"/>
  <c r="G160" i="54"/>
  <c r="H160" i="54" s="1"/>
  <c r="I287" i="25"/>
  <c r="G288" i="54"/>
  <c r="H288" i="54" s="1"/>
  <c r="G291" i="54"/>
  <c r="H291" i="54" s="1"/>
  <c r="G87" i="54"/>
  <c r="H87" i="54" s="1"/>
  <c r="G34" i="54"/>
  <c r="H34" i="54" s="1"/>
  <c r="G108" i="54"/>
  <c r="H108" i="54" s="1"/>
  <c r="G284" i="54"/>
  <c r="H284" i="54" s="1"/>
  <c r="G102" i="54"/>
  <c r="H102" i="54" s="1"/>
  <c r="G53" i="54"/>
  <c r="H53" i="54" s="1"/>
  <c r="G255" i="54"/>
  <c r="H255" i="54" s="1"/>
  <c r="F301" i="25"/>
  <c r="I301" i="25" s="1"/>
  <c r="F243" i="25"/>
  <c r="I243" i="25" s="1"/>
  <c r="G128" i="54"/>
  <c r="H128" i="54" s="1"/>
  <c r="G61" i="54"/>
  <c r="H61" i="54" s="1"/>
  <c r="G114" i="54"/>
  <c r="H114" i="54" s="1"/>
  <c r="G138" i="54"/>
  <c r="H138" i="54" s="1"/>
  <c r="G277" i="54"/>
  <c r="H277" i="54" s="1"/>
  <c r="G121" i="54"/>
  <c r="H121" i="54" s="1"/>
  <c r="G286" i="54"/>
  <c r="H286" i="54" s="1"/>
  <c r="G305" i="54"/>
  <c r="H305" i="54" s="1"/>
  <c r="G78" i="54"/>
  <c r="H78" i="54" s="1"/>
  <c r="G220" i="54"/>
  <c r="H220" i="54" s="1"/>
  <c r="G196" i="54"/>
  <c r="H196" i="54" s="1"/>
  <c r="G9" i="54"/>
  <c r="H9" i="54" s="1"/>
  <c r="G24" i="54"/>
  <c r="H24" i="54" s="1"/>
  <c r="G164" i="54"/>
  <c r="H164" i="54" s="1"/>
  <c r="G258" i="54"/>
  <c r="H258" i="54" s="1"/>
  <c r="G292" i="54"/>
  <c r="H292" i="54" s="1"/>
  <c r="G169" i="54"/>
  <c r="H169" i="54" s="1"/>
  <c r="G105" i="54"/>
  <c r="H105" i="54" s="1"/>
  <c r="G179" i="54"/>
  <c r="H179" i="54" s="1"/>
  <c r="G162" i="54"/>
  <c r="H162" i="54" s="1"/>
  <c r="G206" i="54"/>
  <c r="H206" i="54" s="1"/>
  <c r="G257" i="54"/>
  <c r="H257" i="54" s="1"/>
  <c r="G251" i="54"/>
  <c r="H251" i="54" s="1"/>
  <c r="G101" i="54"/>
  <c r="H101" i="54" s="1"/>
  <c r="G26" i="54"/>
  <c r="H26" i="54" s="1"/>
  <c r="G134" i="54"/>
  <c r="H134" i="54" s="1"/>
  <c r="G178" i="54"/>
  <c r="H178" i="54" s="1"/>
  <c r="G177" i="54"/>
  <c r="H177" i="54" s="1"/>
  <c r="G252" i="54"/>
  <c r="H252" i="54" s="1"/>
  <c r="G198" i="54"/>
  <c r="H198" i="54" s="1"/>
  <c r="G189" i="54"/>
  <c r="H189" i="54" s="1"/>
  <c r="G274" i="54"/>
  <c r="H274" i="54" s="1"/>
  <c r="G103" i="54"/>
  <c r="H103" i="54" s="1"/>
  <c r="G273" i="54"/>
  <c r="H273" i="54" s="1"/>
  <c r="G95" i="54"/>
  <c r="H95" i="54" s="1"/>
  <c r="G224" i="54"/>
  <c r="H224" i="54" s="1"/>
  <c r="G275" i="54"/>
  <c r="H275" i="54" s="1"/>
  <c r="G221" i="54"/>
  <c r="H221" i="54" s="1"/>
  <c r="G303" i="54"/>
  <c r="H303" i="54" s="1"/>
  <c r="G149" i="54"/>
  <c r="H149" i="54" s="1"/>
  <c r="G125" i="54"/>
  <c r="H125" i="54" s="1"/>
  <c r="G183" i="54"/>
  <c r="H183" i="54" s="1"/>
  <c r="G250" i="54"/>
  <c r="H250" i="54" s="1"/>
  <c r="G82" i="54"/>
  <c r="H82" i="54" s="1"/>
  <c r="G60" i="54"/>
  <c r="H60" i="54" s="1"/>
  <c r="G21" i="54"/>
  <c r="H21" i="54" s="1"/>
  <c r="G290" i="54"/>
  <c r="H290" i="54" s="1"/>
  <c r="G130" i="54"/>
  <c r="H130" i="54" s="1"/>
  <c r="G145" i="54"/>
  <c r="H145" i="54" s="1"/>
  <c r="G59" i="54"/>
  <c r="H59" i="54" s="1"/>
  <c r="G69" i="54"/>
  <c r="H69" i="54" s="1"/>
  <c r="G253" i="54"/>
  <c r="H253" i="54" s="1"/>
  <c r="G47" i="54"/>
  <c r="H47" i="54" s="1"/>
  <c r="G135" i="54"/>
  <c r="H135" i="54" s="1"/>
  <c r="G32" i="54"/>
  <c r="H32" i="54" s="1"/>
  <c r="G55" i="54"/>
  <c r="H55" i="54" s="1"/>
  <c r="G241" i="54"/>
  <c r="H241" i="54" s="1"/>
  <c r="G68" i="54"/>
  <c r="H68" i="54" s="1"/>
  <c r="G254" i="54"/>
  <c r="H254" i="54" s="1"/>
  <c r="G170" i="54"/>
  <c r="H170" i="54" s="1"/>
  <c r="G268" i="54"/>
  <c r="H268" i="54" s="1"/>
  <c r="G191" i="54"/>
  <c r="H191" i="54" s="1"/>
  <c r="G88" i="54"/>
  <c r="H88" i="54" s="1"/>
  <c r="G96" i="54"/>
  <c r="H96" i="54" s="1"/>
  <c r="G142" i="54"/>
  <c r="H142" i="54" s="1"/>
  <c r="G205" i="54"/>
  <c r="H205" i="54" s="1"/>
  <c r="G148" i="54"/>
  <c r="H148" i="54" s="1"/>
  <c r="G219" i="54"/>
  <c r="H219" i="54" s="1"/>
  <c r="G279" i="54"/>
  <c r="H279" i="54" s="1"/>
  <c r="G120" i="54"/>
  <c r="H120" i="54" s="1"/>
  <c r="G107" i="54"/>
  <c r="H107" i="54" s="1"/>
  <c r="G35" i="54"/>
  <c r="H35" i="54" s="1"/>
  <c r="G247" i="54"/>
  <c r="H247" i="54" s="1"/>
  <c r="G50" i="54"/>
  <c r="H50" i="54" s="1"/>
  <c r="G283" i="54"/>
  <c r="H283" i="54" s="1"/>
  <c r="G166" i="54"/>
  <c r="H166" i="54" s="1"/>
  <c r="G300" i="54"/>
  <c r="H300" i="54" s="1"/>
  <c r="G264" i="54"/>
  <c r="H264" i="54" s="1"/>
  <c r="G218" i="54"/>
  <c r="H218" i="54" s="1"/>
  <c r="G137" i="54"/>
  <c r="H137" i="54" s="1"/>
  <c r="G112" i="54"/>
  <c r="H112" i="54" s="1"/>
  <c r="G71" i="54"/>
  <c r="H71" i="54" s="1"/>
  <c r="G10" i="54"/>
  <c r="H10" i="54" s="1"/>
  <c r="G76" i="54"/>
  <c r="H76" i="54" s="1"/>
  <c r="G63" i="54"/>
  <c r="H63" i="54" s="1"/>
  <c r="G176" i="54"/>
  <c r="H176" i="54" s="1"/>
  <c r="G65" i="54"/>
  <c r="H65" i="54" s="1"/>
  <c r="G281" i="54"/>
  <c r="H281" i="54" s="1"/>
  <c r="G67" i="54"/>
  <c r="H67" i="54" s="1"/>
  <c r="G272" i="54"/>
  <c r="H272" i="54" s="1"/>
  <c r="G227" i="54"/>
  <c r="H227" i="54" s="1"/>
  <c r="G184" i="54"/>
  <c r="H184" i="54" s="1"/>
  <c r="G113" i="54"/>
  <c r="H113" i="54" s="1"/>
  <c r="G304" i="54"/>
  <c r="H304" i="54" s="1"/>
  <c r="G201" i="54"/>
  <c r="H201" i="54" s="1"/>
  <c r="G92" i="54"/>
  <c r="H92" i="54" s="1"/>
  <c r="G214" i="54"/>
  <c r="H214" i="54" s="1"/>
  <c r="G204" i="54"/>
  <c r="H204" i="54" s="1"/>
  <c r="G299" i="54"/>
  <c r="H299" i="54" s="1"/>
  <c r="G296" i="54"/>
  <c r="H296" i="54" s="1"/>
  <c r="G287" i="54"/>
  <c r="H287" i="54" s="1"/>
  <c r="G62" i="54"/>
  <c r="H62" i="54" s="1"/>
  <c r="G70" i="54"/>
  <c r="H70" i="54" s="1"/>
  <c r="G232" i="54"/>
  <c r="H232" i="54" s="1"/>
  <c r="G278" i="54"/>
  <c r="H278" i="54" s="1"/>
  <c r="G104" i="54"/>
  <c r="H104" i="54" s="1"/>
  <c r="G294" i="54"/>
  <c r="H294" i="54" s="1"/>
  <c r="G230" i="54"/>
  <c r="H230" i="54" s="1"/>
  <c r="G240" i="54"/>
  <c r="H240" i="54" s="1"/>
  <c r="G49" i="54"/>
  <c r="H49" i="54" s="1"/>
  <c r="G297" i="54"/>
  <c r="H297" i="54" s="1"/>
  <c r="G66" i="54"/>
  <c r="H66" i="54" s="1"/>
  <c r="G161" i="54"/>
  <c r="H161" i="54" s="1"/>
  <c r="G261" i="54"/>
  <c r="H261" i="54" s="1"/>
  <c r="G256" i="54"/>
  <c r="H256" i="54" s="1"/>
  <c r="G39" i="54"/>
  <c r="H39" i="54" s="1"/>
  <c r="G289" i="54"/>
  <c r="H289" i="54" s="1"/>
  <c r="G295" i="54"/>
  <c r="H295" i="54" s="1"/>
  <c r="G202" i="54"/>
  <c r="H202" i="54" s="1"/>
  <c r="G131" i="54"/>
  <c r="H131" i="54" s="1"/>
  <c r="G237" i="54"/>
  <c r="H237" i="54" s="1"/>
  <c r="G245" i="54"/>
  <c r="H245" i="54" s="1"/>
  <c r="G209" i="54"/>
  <c r="H209" i="54" s="1"/>
  <c r="G43" i="54"/>
  <c r="H43" i="54" s="1"/>
  <c r="G90" i="54"/>
  <c r="H90" i="54" s="1"/>
  <c r="G246" i="54"/>
  <c r="H246" i="54" s="1"/>
  <c r="G99" i="54"/>
  <c r="H99" i="54" s="1"/>
  <c r="G225" i="54"/>
  <c r="H225" i="54" s="1"/>
  <c r="G223" i="54"/>
  <c r="H223" i="54" s="1"/>
  <c r="G84" i="54"/>
  <c r="H84" i="54" s="1"/>
  <c r="G89" i="54"/>
  <c r="H89" i="54" s="1"/>
  <c r="G33" i="54"/>
  <c r="H33" i="54" s="1"/>
  <c r="G163" i="54"/>
  <c r="H163" i="54" s="1"/>
  <c r="G136" i="54"/>
  <c r="H136" i="54" s="1"/>
  <c r="G146" i="54"/>
  <c r="H146" i="54" s="1"/>
  <c r="G171" i="54"/>
  <c r="H171" i="54" s="1"/>
  <c r="G57" i="54"/>
  <c r="H57" i="54" s="1"/>
  <c r="G215" i="54"/>
  <c r="H215" i="54" s="1"/>
  <c r="G37" i="54"/>
  <c r="H37" i="54" s="1"/>
  <c r="G298" i="54"/>
  <c r="H298" i="54" s="1"/>
  <c r="G117" i="54"/>
  <c r="H117" i="54" s="1"/>
  <c r="G20" i="54"/>
  <c r="H20" i="54" s="1"/>
  <c r="G242" i="54"/>
  <c r="H242" i="54" s="1"/>
  <c r="G266" i="54"/>
  <c r="H266" i="54" s="1"/>
  <c r="G133" i="54"/>
  <c r="H133" i="54" s="1"/>
  <c r="G17" i="54"/>
  <c r="H17" i="54" s="1"/>
  <c r="G100" i="54"/>
  <c r="H100" i="54" s="1"/>
  <c r="G192" i="54"/>
  <c r="H192" i="54" s="1"/>
  <c r="G271" i="54"/>
  <c r="H271" i="54" s="1"/>
  <c r="G212" i="54"/>
  <c r="H212" i="54" s="1"/>
  <c r="G265" i="54"/>
  <c r="H265" i="54" s="1"/>
  <c r="G110" i="54"/>
  <c r="H110" i="54" s="1"/>
  <c r="G233" i="54"/>
  <c r="H233" i="54" s="1"/>
  <c r="G197" i="54"/>
  <c r="H197" i="54" s="1"/>
  <c r="G41" i="54"/>
  <c r="H41" i="54" s="1"/>
  <c r="G150" i="54"/>
  <c r="H150" i="54" s="1"/>
  <c r="G203" i="54"/>
  <c r="H203" i="54" s="1"/>
  <c r="G293" i="54"/>
  <c r="H293" i="54" s="1"/>
  <c r="G85" i="54"/>
  <c r="H85" i="54" s="1"/>
  <c r="G262" i="54"/>
  <c r="H262" i="54" s="1"/>
  <c r="G165" i="54"/>
  <c r="H165" i="54" s="1"/>
  <c r="G12" i="54"/>
  <c r="H12" i="54" s="1"/>
  <c r="G118" i="54"/>
  <c r="H118" i="54" s="1"/>
  <c r="G157" i="54"/>
  <c r="H157" i="54" s="1"/>
  <c r="G36" i="54"/>
  <c r="H36" i="54" s="1"/>
  <c r="G156" i="54"/>
  <c r="H156" i="54" s="1"/>
  <c r="G167" i="54"/>
  <c r="H167" i="54" s="1"/>
  <c r="G80" i="54"/>
  <c r="H80" i="54" s="1"/>
  <c r="G186" i="54"/>
  <c r="H186" i="54" s="1"/>
  <c r="G140" i="54"/>
  <c r="H140" i="54" s="1"/>
  <c r="G259" i="54"/>
  <c r="H259" i="54" s="1"/>
  <c r="G159" i="54"/>
  <c r="H159" i="54" s="1"/>
  <c r="G22" i="54"/>
  <c r="H22" i="54" s="1"/>
  <c r="G153" i="54"/>
  <c r="H153" i="54" s="1"/>
  <c r="G98" i="54"/>
  <c r="H98" i="54" s="1"/>
  <c r="G144" i="54"/>
  <c r="H144" i="54" s="1"/>
  <c r="G217" i="54"/>
  <c r="H217" i="54" s="1"/>
  <c r="G109" i="54"/>
  <c r="H109" i="54" s="1"/>
  <c r="G115" i="54"/>
  <c r="H115" i="54" s="1"/>
  <c r="G231" i="54"/>
  <c r="H231" i="54" s="1"/>
  <c r="G74" i="54"/>
  <c r="H74" i="54" s="1"/>
  <c r="G75" i="54"/>
  <c r="H75" i="54" s="1"/>
  <c r="G31" i="54"/>
  <c r="H31" i="54" s="1"/>
  <c r="G263" i="54"/>
  <c r="H263" i="54" s="1"/>
  <c r="G194" i="54"/>
  <c r="H194" i="54" s="1"/>
  <c r="E60" i="48"/>
  <c r="C60" i="48" s="1"/>
  <c r="F5" i="25"/>
  <c r="H35" i="34" l="1"/>
  <c r="G244" i="54"/>
  <c r="H244" i="54" s="1"/>
  <c r="G302" i="54"/>
  <c r="H302" i="54" s="1"/>
  <c r="G6" i="54"/>
  <c r="I5" i="25"/>
  <c r="I35" i="34" l="1"/>
  <c r="K35" i="34" s="1"/>
  <c r="H312" i="34"/>
  <c r="H6" i="54"/>
  <c r="H11" i="34" l="1"/>
  <c r="I312" i="34"/>
  <c r="I11" i="34" s="1"/>
  <c r="D50" i="40"/>
  <c r="C50" i="40" s="1"/>
  <c r="F28" i="25"/>
  <c r="K312" i="34"/>
  <c r="I28" i="25" l="1"/>
  <c r="I305" i="25" s="1"/>
  <c r="G29" i="54"/>
  <c r="F305" i="25"/>
  <c r="H29" i="54" l="1"/>
  <c r="H306" i="54" s="1"/>
  <c r="G306"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Brochet Antoine</author>
  </authors>
  <commentList>
    <comment ref="C3" authorId="0" shapeId="0" xr:uid="{55CDA886-B582-406A-8FE9-6E2C56110B9C}">
      <text>
        <r>
          <rPr>
            <sz val="9"/>
            <color indexed="81"/>
            <rFont val="Tahoma"/>
            <family val="2"/>
          </rPr>
          <t>Veuillez indiquer le nom de la commune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Cappelletti Fabio</author>
  </authors>
  <commentList>
    <comment ref="D4" authorId="0" shapeId="0" xr:uid="{3466735A-A832-4970-A628-0FD0BA8C5F9E}">
      <text>
        <r>
          <rPr>
            <sz val="9"/>
            <color indexed="81"/>
            <rFont val="Tahoma"/>
            <family val="2"/>
          </rPr>
          <t>Aux fins du plafond de l'aide, si une commune affiche une PCS totale inférieure à 0 (rare), la PCS sans prélèvements conjoncturels en pts d'impôt est déduite de la colonne D et la colonne E est mise à zéro.</t>
        </r>
      </text>
    </comment>
    <comment ref="H4" authorId="0" shapeId="0" xr:uid="{667F0BDB-6735-4DE4-A442-93ABA8391CEA}">
      <text>
        <r>
          <rPr>
            <sz val="9"/>
            <color indexed="81"/>
            <rFont val="Tahoma"/>
            <family val="2"/>
          </rPr>
          <t xml:space="preserve">Si l'aide péréquatif en faveur d'une commune (total des montants reçus et donnés, sauf montants reçus des dépénses thématiques et les plafonds) dépasse la valeur de 8 de ses points impôt, le </t>
        </r>
        <r>
          <rPr>
            <b/>
            <sz val="9"/>
            <color indexed="81"/>
            <rFont val="Tahoma"/>
            <family val="2"/>
          </rPr>
          <t>plafond de l'aide</t>
        </r>
        <r>
          <rPr>
            <sz val="9"/>
            <color indexed="81"/>
            <rFont val="Tahoma"/>
            <family val="2"/>
          </rPr>
          <t xml:space="preserve"> lui retient un montant égal au dépassement constaté. Les montants ainsi retenus sont utilisé pour réduire les montants nécessaires à l'alimentation du système (voir onglet "vue d'ensemble"). </t>
        </r>
        <r>
          <rPr>
            <u/>
            <sz val="9"/>
            <color indexed="81"/>
            <rFont val="Tahoma"/>
            <family val="2"/>
          </rPr>
          <t>Nota bene</t>
        </r>
        <r>
          <rPr>
            <sz val="9"/>
            <color indexed="81"/>
            <rFont val="Tahoma"/>
            <family val="2"/>
          </rPr>
          <t>: à différence du plafonde l'effort, le plafond de l'aide tient compte des montants payés par les communes au titre du prélèvement sur les impôts conjoncturels en faveur du financement de la PCS.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Cappelletti Fabio</author>
  </authors>
  <commentList>
    <comment ref="I4" authorId="0" shapeId="0" xr:uid="{91AA6013-E2E1-4EFC-BDF8-97B63E2221EB}">
      <text>
        <r>
          <rPr>
            <sz val="9"/>
            <color indexed="81"/>
            <rFont val="Tahoma"/>
            <family val="2"/>
          </rPr>
          <t xml:space="preserve">L'effort péréquatif net de l'année précédente (hors montants reçus des dépenses thématiques et avec tous les plafonds) est déduit du taux d'imposition de la commune. Ensuite, le nouveau effort péréquatif net, cette fois tenant compte des dépenses thématiques, est ajouté au taux après déduction. Si le taux ainsi obtenu (taux projeté) dépasse le taux maximal indiqué, </t>
        </r>
        <r>
          <rPr>
            <b/>
            <sz val="9"/>
            <color indexed="81"/>
            <rFont val="Tahoma"/>
            <family val="2"/>
          </rPr>
          <t>le plafond du taux</t>
        </r>
        <r>
          <rPr>
            <sz val="9"/>
            <color indexed="81"/>
            <rFont val="Tahoma"/>
            <family val="2"/>
          </rPr>
          <t xml:space="preserve"> restitue à la commune un montant égal à l'écart constaté, pour autant que ce montant soit nécessaire pour maintenir le taux de la commune au-dessous du taux maximal. Les montants restitués sont financés par l'ensemble des communes, via l'alimentation du système (voir onglet "Péréquation directe").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Cappelletti Fabio</author>
  </authors>
  <commentList>
    <comment ref="G4" authorId="0" shapeId="0" xr:uid="{742AA191-2F26-422D-A99A-8CDC59E21F1D}">
      <text>
        <r>
          <rPr>
            <sz val="9"/>
            <color indexed="81"/>
            <rFont val="Tahoma"/>
            <family val="2"/>
          </rPr>
          <t xml:space="preserve">Dans le cadre de la </t>
        </r>
        <r>
          <rPr>
            <b/>
            <sz val="9"/>
            <color indexed="81"/>
            <rFont val="Tahoma"/>
            <family val="2"/>
          </rPr>
          <t>réforme de l'organisation policière de 2012</t>
        </r>
        <r>
          <rPr>
            <sz val="9"/>
            <color indexed="81"/>
            <rFont val="Tahoma"/>
            <family val="2"/>
          </rPr>
          <t>, le canton a basculé 2 points d'impôt aux communes. La valeur de ces points d'impôt communaux est différente de celle des points d'impôt péréquatifs, car elle est calculée uniquement sur la base des impôts suivant le taux communal (par exemple, l'impôt foncier est exclu).</t>
        </r>
      </text>
    </comment>
    <comment ref="I4" authorId="0" shapeId="0" xr:uid="{49A94A71-7E1D-4006-ACF6-1BE60A3C5587}">
      <text>
        <r>
          <rPr>
            <sz val="9"/>
            <color indexed="81"/>
            <rFont val="Tahoma"/>
            <family val="2"/>
          </rPr>
          <t xml:space="preserve">Dans une </t>
        </r>
        <r>
          <rPr>
            <b/>
            <sz val="9"/>
            <color indexed="81"/>
            <rFont val="Tahoma"/>
            <family val="2"/>
          </rPr>
          <t>première étape</t>
        </r>
        <r>
          <rPr>
            <sz val="9"/>
            <color indexed="81"/>
            <rFont val="Tahoma"/>
            <family val="2"/>
          </rPr>
          <t xml:space="preserve">, la facture policière est répartie entre les communes par tête d'habitant. Les montants ainsi obtenus sont facturés exclusivement aux communes délégatrices (c'est-à-dire aux communes qui ne sont pas affiliées à un corps de police intercommunal). Chaque commune délégatrice ne peut néanmoins se voir facturer plus que l'équivalent de 2 de ses points d'impôt </t>
        </r>
        <r>
          <rPr>
            <u/>
            <sz val="9"/>
            <color indexed="81"/>
            <rFont val="Tahoma"/>
            <family val="2"/>
          </rPr>
          <t>communaux</t>
        </r>
        <r>
          <rPr>
            <sz val="9"/>
            <color indexed="81"/>
            <rFont val="Tahoma"/>
            <family val="2"/>
          </rPr>
          <t xml:space="preserve">. 
</t>
        </r>
      </text>
    </comment>
    <comment ref="K4" authorId="0" shapeId="0" xr:uid="{EDE8ACAD-0276-4407-B1D5-8178A6F66632}">
      <text>
        <r>
          <rPr>
            <sz val="9"/>
            <color indexed="81"/>
            <rFont val="Tahoma"/>
            <family val="2"/>
          </rPr>
          <t xml:space="preserve">Dans une </t>
        </r>
        <r>
          <rPr>
            <b/>
            <sz val="9"/>
            <color indexed="81"/>
            <rFont val="Tahoma"/>
            <family val="2"/>
          </rPr>
          <t>deuxième étape</t>
        </r>
        <r>
          <rPr>
            <sz val="9"/>
            <color indexed="81"/>
            <rFont val="Tahoma"/>
            <family val="2"/>
          </rPr>
          <t>, chaque commune verse un nombre de points d'impôt égal au solde restant de la facture policière divisé par la valeur du point d'impôt</t>
        </r>
        <r>
          <rPr>
            <u/>
            <sz val="9"/>
            <color indexed="81"/>
            <rFont val="Tahoma"/>
            <family val="2"/>
          </rPr>
          <t xml:space="preserve"> péréquatif</t>
        </r>
        <r>
          <rPr>
            <sz val="9"/>
            <color indexed="81"/>
            <rFont val="Tahoma"/>
            <family val="2"/>
          </rPr>
          <t xml:space="preserve"> de l'ensemble des communes.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Cappelletti Fabio</author>
  </authors>
  <commentList>
    <comment ref="I4" authorId="0" shapeId="0" xr:uid="{BD2FC531-A035-40DA-BDB5-BA1485ACE662}">
      <text>
        <r>
          <rPr>
            <sz val="9"/>
            <color indexed="81"/>
            <rFont val="Tahoma"/>
            <family val="2"/>
          </rPr>
          <t>Les chiffres en négatif expriment un montant net à recevoir tandis que les chiffres en positif expriment un montant net à verser.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Cappelletti Fabio</author>
  </authors>
  <commentList>
    <comment ref="R4" authorId="0" shapeId="0" xr:uid="{FDA799F9-7651-4CD7-97E0-E6DE2160AC48}">
      <text>
        <r>
          <rPr>
            <sz val="9"/>
            <color indexed="81"/>
            <rFont val="Tahoma"/>
            <family val="2"/>
          </rPr>
          <t xml:space="preserve">La </t>
        </r>
        <r>
          <rPr>
            <b/>
            <sz val="9"/>
            <color indexed="81"/>
            <rFont val="Tahoma"/>
            <family val="2"/>
          </rPr>
          <t>valeur du point d'impôt péréquatif</t>
        </r>
        <r>
          <rPr>
            <sz val="9"/>
            <color indexed="81"/>
            <rFont val="Tahoma"/>
            <family val="2"/>
          </rPr>
          <t xml:space="preserve"> est définie par les art. 2 et 5 LPIC. Pour une commune donnée, elle est obtenue en divisant par le taux communal les éléments suivants: la somme des rendements de ses impôts qui dépendent du taux communal, le rendement de son impôt personnel fixe, le rendement de son impôt sur les immeubles des sociétés et le rendement de son impôt foncier (ce dernier normalisé au taux de 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Cappelletti Fabio</author>
  </authors>
  <commentList>
    <comment ref="F10" authorId="0" shapeId="0" xr:uid="{270426BD-07C5-44A7-8A53-ABF443EE0A45}">
      <text>
        <r>
          <rPr>
            <sz val="9"/>
            <color indexed="81"/>
            <rFont val="Tahoma"/>
            <family val="2"/>
          </rPr>
          <t>La PCS est financée en</t>
        </r>
        <r>
          <rPr>
            <b/>
            <sz val="9"/>
            <color indexed="81"/>
            <rFont val="Tahoma"/>
            <family val="2"/>
          </rPr>
          <t xml:space="preserve"> trois étapes</t>
        </r>
        <r>
          <rPr>
            <sz val="9"/>
            <color indexed="81"/>
            <rFont val="Tahoma"/>
            <family val="2"/>
          </rPr>
          <t>. La</t>
        </r>
        <r>
          <rPr>
            <b/>
            <sz val="9"/>
            <color indexed="81"/>
            <rFont val="Tahoma"/>
            <family val="2"/>
          </rPr>
          <t xml:space="preserve"> première étape </t>
        </r>
        <r>
          <rPr>
            <sz val="9"/>
            <color indexed="81"/>
            <rFont val="Tahoma"/>
            <family val="2"/>
          </rPr>
          <t>prévoit le versement par toutes les communes de 50% des leurs recettes conjoncturelles et de 30% de l'impôt des frontaliers.</t>
        </r>
      </text>
    </comment>
    <comment ref="G10" authorId="0" shapeId="0" xr:uid="{8288FAF0-46A4-49D5-9BC8-6E8DEB0263E9}">
      <text>
        <r>
          <rPr>
            <sz val="9"/>
            <color indexed="81"/>
            <rFont val="Tahoma"/>
            <family val="2"/>
          </rPr>
          <t xml:space="preserve">La </t>
        </r>
        <r>
          <rPr>
            <b/>
            <sz val="9"/>
            <color indexed="81"/>
            <rFont val="Tahoma"/>
            <family val="2"/>
          </rPr>
          <t>deuxième étape de financement</t>
        </r>
        <r>
          <rPr>
            <sz val="9"/>
            <color indexed="81"/>
            <rFont val="Tahoma"/>
            <family val="2"/>
          </rPr>
          <t xml:space="preserve"> prévoit une contribution de la part des communes avec une valeur du point d'impôt péréquatif par habitant (VPIH) supérieur à la moyenne. Le détail du calcul de cette deuxième contribution est dans l'onglet "Ecrêtage".</t>
        </r>
      </text>
    </comment>
    <comment ref="H10" authorId="0" shapeId="0" xr:uid="{8CB4ED49-AE30-4C5E-AA9F-866EDF37CA6B}">
      <text>
        <r>
          <rPr>
            <sz val="9"/>
            <color indexed="81"/>
            <rFont val="Tahoma"/>
            <family val="2"/>
          </rPr>
          <t xml:space="preserve">Dans la </t>
        </r>
        <r>
          <rPr>
            <b/>
            <sz val="9"/>
            <color indexed="81"/>
            <rFont val="Tahoma"/>
            <family val="2"/>
          </rPr>
          <t>dernière étape de financement</t>
        </r>
        <r>
          <rPr>
            <sz val="9"/>
            <color indexed="81"/>
            <rFont val="Tahoma"/>
            <family val="2"/>
          </rPr>
          <t>, le montant de la PCS qui reste à financer (</t>
        </r>
        <r>
          <rPr>
            <b/>
            <sz val="9"/>
            <color indexed="81"/>
            <rFont val="Tahoma"/>
            <family val="2"/>
          </rPr>
          <t>solde</t>
        </r>
        <r>
          <rPr>
            <sz val="9"/>
            <color indexed="81"/>
            <rFont val="Tahoma"/>
            <family val="2"/>
          </rPr>
          <t>) est divisé par la valeur du point d'impôt péréquatif total des communes. Chaque commune verse au système le nombre de points ainsi détérminé.</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Cappelletti Fabio</author>
  </authors>
  <commentList>
    <comment ref="M4" authorId="0" shapeId="0" xr:uid="{ED0F811D-0F7C-44EA-B462-F5E01D3443D1}">
      <text>
        <r>
          <rPr>
            <sz val="9"/>
            <color indexed="81"/>
            <rFont val="Tahoma"/>
            <family val="2"/>
          </rPr>
          <t>Pour détérminer le montant de l'écrêtage, la VPIH de la commune est</t>
        </r>
        <r>
          <rPr>
            <b/>
            <sz val="9"/>
            <color indexed="81"/>
            <rFont val="Tahoma"/>
            <family val="2"/>
          </rPr>
          <t xml:space="preserve"> initialement</t>
        </r>
        <r>
          <rPr>
            <sz val="9"/>
            <color indexed="81"/>
            <rFont val="Tahoma"/>
            <family val="2"/>
          </rPr>
          <t xml:space="preserve"> comparée avec cinq seuils exprimés en pourcent de la VPIH moyenne des communes. </t>
        </r>
        <r>
          <rPr>
            <b/>
            <sz val="9"/>
            <color indexed="81"/>
            <rFont val="Tahoma"/>
            <family val="2"/>
          </rPr>
          <t>Ensuite</t>
        </r>
        <r>
          <rPr>
            <sz val="9"/>
            <color indexed="81"/>
            <rFont val="Tahoma"/>
            <family val="2"/>
          </rPr>
          <t xml:space="preserve">, les éventuels  écarts constatés sont multipliés par les pourcentages de prélèvement spécifiques à chaque seuil et additionnés. </t>
        </r>
        <r>
          <rPr>
            <b/>
            <sz val="9"/>
            <color indexed="81"/>
            <rFont val="Tahoma"/>
            <family val="2"/>
          </rPr>
          <t>Enfin</t>
        </r>
        <r>
          <rPr>
            <sz val="9"/>
            <color indexed="81"/>
            <rFont val="Tahoma"/>
            <family val="2"/>
          </rPr>
          <t>, cette somme d'écarts pondérés est multipliée par le taux d'imposition de la commune et sa population pour obtenir son montant à verser.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Cappelletti Fabio</author>
  </authors>
  <commentList>
    <comment ref="D4" authorId="0" shapeId="0" xr:uid="{3C24E69B-AE57-49AE-9420-1A4BAD449CBC}">
      <text>
        <r>
          <rPr>
            <sz val="9"/>
            <color indexed="81"/>
            <rFont val="Tahoma"/>
            <family val="2"/>
          </rPr>
          <t>Le fonds de péréquation intercommunal (</t>
        </r>
        <r>
          <rPr>
            <b/>
            <sz val="9"/>
            <color indexed="81"/>
            <rFont val="Tahoma"/>
            <family val="2"/>
          </rPr>
          <t>péréquation directe</t>
        </r>
        <r>
          <rPr>
            <sz val="9"/>
            <color indexed="81"/>
            <rFont val="Tahoma"/>
            <family val="2"/>
          </rPr>
          <t xml:space="preserve">) comprend </t>
        </r>
        <r>
          <rPr>
            <b/>
            <sz val="9"/>
            <color indexed="81"/>
            <rFont val="Tahoma"/>
            <family val="2"/>
          </rPr>
          <t>trois couches de subventionnement</t>
        </r>
        <r>
          <rPr>
            <sz val="9"/>
            <color indexed="81"/>
            <rFont val="Tahoma"/>
            <family val="2"/>
          </rPr>
          <t xml:space="preserve"> (population, solidarité et dépenses thématiques) et </t>
        </r>
        <r>
          <rPr>
            <b/>
            <sz val="9"/>
            <color indexed="81"/>
            <rFont val="Tahoma"/>
            <family val="2"/>
          </rPr>
          <t>trois plafonds</t>
        </r>
        <r>
          <rPr>
            <sz val="9"/>
            <color indexed="81"/>
            <rFont val="Tahoma"/>
            <family val="2"/>
          </rPr>
          <t xml:space="preserve"> (effort, aide et taux). Le détail du calcul des montants versés par chaque couche et par chaque plafond est proposé dans les prochains onglets. Le tableau à gauche résume le total des montants versés par les trois couches et par les trois plafonds, ainsi que le </t>
        </r>
        <r>
          <rPr>
            <b/>
            <sz val="9"/>
            <color indexed="81"/>
            <rFont val="Tahoma"/>
            <family val="2"/>
          </rPr>
          <t>forfait pour la gestion du système</t>
        </r>
        <r>
          <rPr>
            <sz val="9"/>
            <color indexed="81"/>
            <rFont val="Tahoma"/>
            <family val="2"/>
          </rPr>
          <t xml:space="preserve"> (CHF 450'000.-). 
</t>
        </r>
        <r>
          <rPr>
            <b/>
            <sz val="9"/>
            <color indexed="81"/>
            <rFont val="Tahoma"/>
            <family val="2"/>
          </rPr>
          <t>Pour financer la péréquation directe</t>
        </r>
        <r>
          <rPr>
            <sz val="9"/>
            <color indexed="81"/>
            <rFont val="Tahoma"/>
            <family val="2"/>
          </rPr>
          <t>, chaque commune verse un nombre de points d'impôt égal au total à financer divisé par la valeur du point d'impôt de l'ensemble des communes.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Cappelletti Fabio</author>
  </authors>
  <commentList>
    <comment ref="K7" authorId="0" shapeId="0" xr:uid="{A248159E-0366-49ED-ABDF-E41AA811D6AA}">
      <text>
        <r>
          <rPr>
            <sz val="9"/>
            <color indexed="81"/>
            <rFont val="Tahoma"/>
            <family val="2"/>
          </rPr>
          <t>La</t>
        </r>
        <r>
          <rPr>
            <b/>
            <sz val="9"/>
            <color indexed="81"/>
            <rFont val="Tahoma"/>
            <family val="2"/>
          </rPr>
          <t xml:space="preserve"> couche population</t>
        </r>
        <r>
          <rPr>
            <sz val="9"/>
            <color indexed="81"/>
            <rFont val="Tahoma"/>
            <family val="2"/>
          </rPr>
          <t xml:space="preserve"> verse à chaque commune 125 francs (indexés) par habitant pour ses premiers 1'000 habitants, 350 francs (indexés) par habitant pour les 2'000 habitants suivants et ainsi de suite jusqu'à 1'050 francs (indexés) pour tous les habitants au-délà des premiers 15'000.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Cappelletti Fabio</author>
  </authors>
  <commentList>
    <comment ref="G4" authorId="0" shapeId="0" xr:uid="{54CAD977-3398-46E4-9C38-2E741D99B23F}">
      <text>
        <r>
          <rPr>
            <sz val="9"/>
            <color indexed="81"/>
            <rFont val="Tahoma"/>
            <family val="2"/>
          </rPr>
          <t xml:space="preserve">La </t>
        </r>
        <r>
          <rPr>
            <b/>
            <sz val="9"/>
            <color indexed="81"/>
            <rFont val="Tahoma"/>
            <family val="2"/>
          </rPr>
          <t>couche solidarité</t>
        </r>
        <r>
          <rPr>
            <sz val="9"/>
            <color indexed="81"/>
            <rFont val="Tahoma"/>
            <family val="2"/>
          </rPr>
          <t xml:space="preserve"> attribue aux communes avec une valeur du point d'impôt par habitant (VPIH) inférieure à la moyenne une compensation de base égale à 27% de l'écart entre leur VPIH et cette même moyenne multipliée par sa population et son taux. </t>
        </r>
      </text>
    </comment>
    <comment ref="I4" authorId="0" shapeId="0" xr:uid="{EECF3395-3B44-42A6-96C5-8AAFF7ADEA22}">
      <text>
        <r>
          <rPr>
            <sz val="9"/>
            <color indexed="81"/>
            <rFont val="Tahoma"/>
            <family val="2"/>
          </rPr>
          <t xml:space="preserve">La compensation de base est ensuite </t>
        </r>
        <r>
          <rPr>
            <b/>
            <sz val="9"/>
            <color indexed="81"/>
            <rFont val="Tahoma"/>
            <family val="2"/>
          </rPr>
          <t>pondérée</t>
        </r>
        <r>
          <rPr>
            <sz val="9"/>
            <color indexed="81"/>
            <rFont val="Tahoma"/>
            <family val="2"/>
          </rPr>
          <t xml:space="preserve"> par le rapport entre le taux de la commune et le taux moyen.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Cappelletti Fabio</author>
  </authors>
  <commentList>
    <comment ref="E4" authorId="0" shapeId="0" xr:uid="{BAE74BEC-7C7D-40D4-B664-191255A68EA3}">
      <text>
        <r>
          <rPr>
            <sz val="9"/>
            <color indexed="81"/>
            <rFont val="Tahoma"/>
            <family val="2"/>
          </rPr>
          <t xml:space="preserve">Les </t>
        </r>
        <r>
          <rPr>
            <b/>
            <sz val="9"/>
            <color indexed="81"/>
            <rFont val="Tahoma"/>
            <family val="2"/>
          </rPr>
          <t>dépenses effectives en transports</t>
        </r>
        <r>
          <rPr>
            <sz val="9"/>
            <color indexed="81"/>
            <rFont val="Tahoma"/>
            <family val="2"/>
          </rPr>
          <t xml:space="preserve"> déclarées par la commune sont comparées avec l'équivalent de 8 de ses points d'impôt.</t>
        </r>
      </text>
    </comment>
    <comment ref="H4" authorId="0" shapeId="0" xr:uid="{BF62F18C-F207-473C-871E-EBF7229851AD}">
      <text>
        <r>
          <rPr>
            <sz val="9"/>
            <color indexed="81"/>
            <rFont val="Tahoma"/>
            <family val="2"/>
          </rPr>
          <t xml:space="preserve">Les </t>
        </r>
        <r>
          <rPr>
            <b/>
            <sz val="9"/>
            <color indexed="81"/>
            <rFont val="Tahoma"/>
            <family val="2"/>
          </rPr>
          <t>éventuels dépassements sont compensés</t>
        </r>
        <r>
          <rPr>
            <sz val="9"/>
            <color indexed="81"/>
            <rFont val="Tahoma"/>
            <family val="2"/>
          </rPr>
          <t xml:space="preserve"> à hauteur de 75%. Ce taux peut être revu à la baisse si le total des prises en charges (transports + forêts) excède 4,5 points d'impôt de l'ensemble des communes.
</t>
        </r>
      </text>
    </comment>
    <comment ref="L4" authorId="0" shapeId="0" xr:uid="{F683021F-A324-4C56-9374-0E7F671FBDA9}">
      <text>
        <r>
          <rPr>
            <sz val="9"/>
            <color indexed="81"/>
            <rFont val="Tahoma"/>
            <family val="2"/>
          </rPr>
          <t xml:space="preserve">Pour les </t>
        </r>
        <r>
          <rPr>
            <b/>
            <sz val="9"/>
            <color indexed="81"/>
            <rFont val="Tahoma"/>
            <family val="2"/>
          </rPr>
          <t>dépenses effectives en</t>
        </r>
        <r>
          <rPr>
            <b/>
            <sz val="9"/>
            <color indexed="81"/>
            <rFont val="Tahoma"/>
            <family val="2"/>
          </rPr>
          <t xml:space="preserve"> forêts</t>
        </r>
        <r>
          <rPr>
            <sz val="9"/>
            <color indexed="81"/>
            <rFont val="Tahoma"/>
            <family val="2"/>
          </rPr>
          <t xml:space="preserve"> la logique est identique, mais avec un plafond égal à l'équivalent de 1 point d'impôt de la commune.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Cappelletti Fabio</author>
  </authors>
  <commentList>
    <comment ref="I4" authorId="0" shapeId="0" xr:uid="{656BD7C7-68AF-4D04-8DF9-470D7B173C07}">
      <text>
        <r>
          <rPr>
            <sz val="9"/>
            <color indexed="81"/>
            <rFont val="Tahoma"/>
            <family val="2"/>
          </rPr>
          <t>Si l'</t>
        </r>
        <r>
          <rPr>
            <b/>
            <sz val="9"/>
            <color indexed="81"/>
            <rFont val="Tahoma"/>
            <family val="2"/>
          </rPr>
          <t>effort péréquatif net</t>
        </r>
        <r>
          <rPr>
            <sz val="9"/>
            <color indexed="81"/>
            <rFont val="Tahoma"/>
            <family val="2"/>
          </rPr>
          <t xml:space="preserve"> d'une commune (total des montants reçus et versés, sauf prélèvements conjoncturels et plafonds) dépasse la valeur de 48 de ses points d'impôt, le </t>
        </r>
        <r>
          <rPr>
            <b/>
            <sz val="9"/>
            <color indexed="81"/>
            <rFont val="Tahoma"/>
            <family val="2"/>
          </rPr>
          <t xml:space="preserve">plafond de l'effort </t>
        </r>
        <r>
          <rPr>
            <sz val="9"/>
            <color indexed="81"/>
            <rFont val="Tahoma"/>
            <family val="2"/>
          </rPr>
          <t>lui réstitue un montant égal au dépassement constaté. Les montants restitués sont ensuite financés par l'ensemble des communes, via l'alimentation du système (voir onglet "vue d'ensemble").</t>
        </r>
      </text>
    </comment>
  </commentList>
</comments>
</file>

<file path=xl/sharedStrings.xml><?xml version="1.0" encoding="utf-8"?>
<sst xmlns="http://schemas.openxmlformats.org/spreadsheetml/2006/main" count="1053" uniqueCount="598">
  <si>
    <t>L'Isle</t>
  </si>
  <si>
    <t>Lussery-Villars</t>
  </si>
  <si>
    <t>Mauraz</t>
  </si>
  <si>
    <t>Mex</t>
  </si>
  <si>
    <t>Moiry</t>
  </si>
  <si>
    <t>Corcelles-près-Payerne</t>
  </si>
  <si>
    <t>Grandcour</t>
  </si>
  <si>
    <t>Henniez</t>
  </si>
  <si>
    <t>Missy</t>
  </si>
  <si>
    <t>Payerne</t>
  </si>
  <si>
    <t>Trey</t>
  </si>
  <si>
    <t>Villarzel</t>
  </si>
  <si>
    <t>Château-d'Oex</t>
  </si>
  <si>
    <t>Rossinière</t>
  </si>
  <si>
    <t>Rougemont</t>
  </si>
  <si>
    <t>Allaman</t>
  </si>
  <si>
    <t>Bursinel</t>
  </si>
  <si>
    <t>Bursins</t>
  </si>
  <si>
    <t>Burtigny</t>
  </si>
  <si>
    <t>Dully</t>
  </si>
  <si>
    <t>Essertines-sur-Rolle</t>
  </si>
  <si>
    <t>Gilly</t>
  </si>
  <si>
    <t>Luins</t>
  </si>
  <si>
    <t>Mont-sur-Rolle</t>
  </si>
  <si>
    <t>Perroy</t>
  </si>
  <si>
    <t>Rolle</t>
  </si>
  <si>
    <t>Tartegnin</t>
  </si>
  <si>
    <t>Vinzel</t>
  </si>
  <si>
    <t>L'Abbaye</t>
  </si>
  <si>
    <t>Saint-Barthélemy</t>
  </si>
  <si>
    <t>Villars-le-Terroir</t>
  </si>
  <si>
    <t>Vuarrens</t>
  </si>
  <si>
    <t>Bonvillars</t>
  </si>
  <si>
    <t>Bullet</t>
  </si>
  <si>
    <t>Champagne</t>
  </si>
  <si>
    <t>Concise</t>
  </si>
  <si>
    <t>Corcelles-près-Concise</t>
  </si>
  <si>
    <t>Fiez</t>
  </si>
  <si>
    <t>Fontaines-sur-Grandson</t>
  </si>
  <si>
    <t>Giez</t>
  </si>
  <si>
    <t>Grandevent</t>
  </si>
  <si>
    <t>Grandson</t>
  </si>
  <si>
    <t>Mauborget</t>
  </si>
  <si>
    <t>Plafond transports</t>
  </si>
  <si>
    <t>No OFS</t>
  </si>
  <si>
    <t>Corsier-sur-Vevey</t>
  </si>
  <si>
    <t>Jongny</t>
  </si>
  <si>
    <t>Montreux</t>
  </si>
  <si>
    <t>La Tour-de-Peilz</t>
  </si>
  <si>
    <t>Vevey</t>
  </si>
  <si>
    <t>Veytaux</t>
  </si>
  <si>
    <t>Belmont-sur-Yverdon</t>
  </si>
  <si>
    <t>Bioley-Magnoux</t>
  </si>
  <si>
    <t>Chamblon</t>
  </si>
  <si>
    <t>Champvent</t>
  </si>
  <si>
    <t>Chavannes-le-Chêne</t>
  </si>
  <si>
    <t>Chêne-Pâquier</t>
  </si>
  <si>
    <t>Cheseaux-Noréaz</t>
  </si>
  <si>
    <t>Cronay</t>
  </si>
  <si>
    <t>Cuarny</t>
  </si>
  <si>
    <t>Démoret</t>
  </si>
  <si>
    <t>Donneloye</t>
  </si>
  <si>
    <t>Ependes</t>
  </si>
  <si>
    <t>Nyon</t>
  </si>
  <si>
    <t>Prangins</t>
  </si>
  <si>
    <t>Bougy-Villars</t>
  </si>
  <si>
    <t>Yvorne</t>
  </si>
  <si>
    <t>Aubonne</t>
  </si>
  <si>
    <t>Ballens</t>
  </si>
  <si>
    <t>Berolle</t>
  </si>
  <si>
    <t>Bière</t>
  </si>
  <si>
    <t>Taux communal</t>
  </si>
  <si>
    <t>ISP</t>
  </si>
  <si>
    <t>IPE</t>
  </si>
  <si>
    <t>IET</t>
  </si>
  <si>
    <t>ISO</t>
  </si>
  <si>
    <t>IMM</t>
  </si>
  <si>
    <t>IFO</t>
  </si>
  <si>
    <t>STO</t>
  </si>
  <si>
    <t>IFR</t>
  </si>
  <si>
    <t>ISD</t>
  </si>
  <si>
    <t>DMU</t>
  </si>
  <si>
    <t>IGI</t>
  </si>
  <si>
    <t>TOT</t>
  </si>
  <si>
    <t>Commune</t>
  </si>
  <si>
    <t>Chavannes-sur-Moudon</t>
  </si>
  <si>
    <t>Curtilles</t>
  </si>
  <si>
    <t>Dompierre</t>
  </si>
  <si>
    <t>Hermenches</t>
  </si>
  <si>
    <t>Lovatens</t>
  </si>
  <si>
    <t>Lucens</t>
  </si>
  <si>
    <t>Moudon</t>
  </si>
  <si>
    <t>Ogens</t>
  </si>
  <si>
    <t>Prévonloup</t>
  </si>
  <si>
    <t>Rossenges</t>
  </si>
  <si>
    <t>Syens</t>
  </si>
  <si>
    <t>Villars-le-Comte</t>
  </si>
  <si>
    <t>Vucherens</t>
  </si>
  <si>
    <t>Arnex-sur-Nyon</t>
  </si>
  <si>
    <t>Bassins</t>
  </si>
  <si>
    <t>Chessel</t>
  </si>
  <si>
    <t>Corbeyrier</t>
  </si>
  <si>
    <t>Gryon</t>
  </si>
  <si>
    <t>Lavey-Morcles</t>
  </si>
  <si>
    <t>Leysin</t>
  </si>
  <si>
    <t>Noville</t>
  </si>
  <si>
    <t>Ollon</t>
  </si>
  <si>
    <t>Sainte-Croix</t>
  </si>
  <si>
    <t>Lausanne</t>
  </si>
  <si>
    <t>Le Mont-sur-Lausanne</t>
  </si>
  <si>
    <t>Paudex</t>
  </si>
  <si>
    <t>Prilly</t>
  </si>
  <si>
    <t>Pully</t>
  </si>
  <si>
    <t>Plafonnement du taux</t>
  </si>
  <si>
    <t>Rivaz</t>
  </si>
  <si>
    <t>St-Saphorin (Lavaux)</t>
  </si>
  <si>
    <t>Ormont-Dessous</t>
  </si>
  <si>
    <t>Ormont-Dessus</t>
  </si>
  <si>
    <t>Rennaz</t>
  </si>
  <si>
    <t>Roche</t>
  </si>
  <si>
    <t>Villeneuve</t>
  </si>
  <si>
    <t>Romainmôtier-Envy</t>
  </si>
  <si>
    <t>Sergey</t>
  </si>
  <si>
    <t>Valeyres-sous-Rances</t>
  </si>
  <si>
    <t>Total</t>
  </si>
  <si>
    <t>Ferreyres</t>
  </si>
  <si>
    <t>Gollion</t>
  </si>
  <si>
    <t>Grancy</t>
  </si>
  <si>
    <t>Forel (Lavaux)</t>
  </si>
  <si>
    <t>Lutry</t>
  </si>
  <si>
    <t>Bremblens</t>
  </si>
  <si>
    <t>Buchillon</t>
  </si>
  <si>
    <t>Yvonand</t>
  </si>
  <si>
    <t>Yverdon-les-Bains</t>
  </si>
  <si>
    <t>Clarmont</t>
  </si>
  <si>
    <t>Denens</t>
  </si>
  <si>
    <t>Denges</t>
  </si>
  <si>
    <t>Echandens</t>
  </si>
  <si>
    <t>Echichens</t>
  </si>
  <si>
    <t>Ecublens</t>
  </si>
  <si>
    <t>Etoy</t>
  </si>
  <si>
    <t>Lavigny</t>
  </si>
  <si>
    <t>Lonay</t>
  </si>
  <si>
    <t>Lully</t>
  </si>
  <si>
    <t>Lussy-sur-Morges</t>
  </si>
  <si>
    <t>Morges</t>
  </si>
  <si>
    <t>Préverenges</t>
  </si>
  <si>
    <t>Mont-la-Ville</t>
  </si>
  <si>
    <t>Montricher</t>
  </si>
  <si>
    <t>Orny</t>
  </si>
  <si>
    <t>Penthalaz</t>
  </si>
  <si>
    <t>Penthaz</t>
  </si>
  <si>
    <t>Pompaples</t>
  </si>
  <si>
    <t>La Sarraz</t>
  </si>
  <si>
    <t>Senarclens</t>
  </si>
  <si>
    <t>Sullens</t>
  </si>
  <si>
    <t>Vufflens-la-Ville</t>
  </si>
  <si>
    <t>Assens</t>
  </si>
  <si>
    <t>Bercher</t>
  </si>
  <si>
    <t>Bottens</t>
  </si>
  <si>
    <t>Bretigny-sur-Morrens</t>
  </si>
  <si>
    <t>Cugy</t>
  </si>
  <si>
    <t>Echallens</t>
  </si>
  <si>
    <t>Essertines-sur-Yverdon</t>
  </si>
  <si>
    <t>Etagnières</t>
  </si>
  <si>
    <t>Fey</t>
  </si>
  <si>
    <t>Froideville</t>
  </si>
  <si>
    <t>Morrens</t>
  </si>
  <si>
    <t>Oulens-sous-Echallens</t>
  </si>
  <si>
    <t>Pailly</t>
  </si>
  <si>
    <t>Penthéréaz</t>
  </si>
  <si>
    <t>Poliez-Pittet</t>
  </si>
  <si>
    <t>Rueyres</t>
  </si>
  <si>
    <t>Sous-total</t>
  </si>
  <si>
    <t>Frontaliers</t>
  </si>
  <si>
    <t>Successions et donations</t>
  </si>
  <si>
    <t>Droits de mutation</t>
  </si>
  <si>
    <t>Gains immobiliers</t>
  </si>
  <si>
    <t>Villars-sous-Yens</t>
  </si>
  <si>
    <t>Vufflens-le-Château</t>
  </si>
  <si>
    <t>Vullierens</t>
  </si>
  <si>
    <t>Yens</t>
  </si>
  <si>
    <t>Boulens</t>
  </si>
  <si>
    <t>Bussy-sur-Moudon</t>
  </si>
  <si>
    <t>Le Chenit</t>
  </si>
  <si>
    <t>Le Lieu</t>
  </si>
  <si>
    <t>Chardonne</t>
  </si>
  <si>
    <t>Corseaux</t>
  </si>
  <si>
    <t>Boussens</t>
  </si>
  <si>
    <t>La Chaux (Cossonay)</t>
  </si>
  <si>
    <t>Dépassement forêts</t>
  </si>
  <si>
    <t>Romanel-sur-Lausanne</t>
  </si>
  <si>
    <t>La Praz</t>
  </si>
  <si>
    <t>Premier</t>
  </si>
  <si>
    <t>Rances</t>
  </si>
  <si>
    <t>Begnins</t>
  </si>
  <si>
    <t>Bogis-Bossey</t>
  </si>
  <si>
    <t>Borex</t>
  </si>
  <si>
    <t>Chavannes-de-Bogis</t>
  </si>
  <si>
    <t>Chavannes-des-Bois</t>
  </si>
  <si>
    <t>Chéserex</t>
  </si>
  <si>
    <t>Coinsins</t>
  </si>
  <si>
    <t>Commugny</t>
  </si>
  <si>
    <t>Coppet</t>
  </si>
  <si>
    <t>Crassier</t>
  </si>
  <si>
    <t>Duillier</t>
  </si>
  <si>
    <t>Eysins</t>
  </si>
  <si>
    <t>Founex</t>
  </si>
  <si>
    <t>Genolier</t>
  </si>
  <si>
    <t>Gingins</t>
  </si>
  <si>
    <t>Givrins</t>
  </si>
  <si>
    <t>Gland</t>
  </si>
  <si>
    <t>Grens</t>
  </si>
  <si>
    <t>Mies</t>
  </si>
  <si>
    <t>Cuarnens</t>
  </si>
  <si>
    <t>Daillens</t>
  </si>
  <si>
    <t>Dizy</t>
  </si>
  <si>
    <t>Eclépens</t>
  </si>
  <si>
    <t>Pertes débiteurs</t>
  </si>
  <si>
    <t>Imputation forfaitaire</t>
  </si>
  <si>
    <t>Chavannes-près-Renens</t>
  </si>
  <si>
    <t>Chigny</t>
  </si>
  <si>
    <t>Impôt spécial affecté</t>
  </si>
  <si>
    <t>Impôt personnel</t>
  </si>
  <si>
    <t>Aigle</t>
  </si>
  <si>
    <t>Bex</t>
  </si>
  <si>
    <t>Arnex-sur-Orbe</t>
  </si>
  <si>
    <t>Ballaigues</t>
  </si>
  <si>
    <t>Baulmes</t>
  </si>
  <si>
    <t>Bavois</t>
  </si>
  <si>
    <t>Bofflens</t>
  </si>
  <si>
    <t>Bretonnières</t>
  </si>
  <si>
    <t>Chavornay</t>
  </si>
  <si>
    <t>Les Clées</t>
  </si>
  <si>
    <t>Montagny-près-Yverdon</t>
  </si>
  <si>
    <t>Oppens</t>
  </si>
  <si>
    <t>Orges</t>
  </si>
  <si>
    <t>Ursins</t>
  </si>
  <si>
    <t>Vugelles-La Mothe</t>
  </si>
  <si>
    <t>Corcelles-le-Jorat</t>
  </si>
  <si>
    <t>Maracon</t>
  </si>
  <si>
    <t>Montpreveyres</t>
  </si>
  <si>
    <t>Ropraz</t>
  </si>
  <si>
    <t>Servion</t>
  </si>
  <si>
    <t>Mutrux</t>
  </si>
  <si>
    <t>Novalles</t>
  </si>
  <si>
    <t>Onnens</t>
  </si>
  <si>
    <t>Provence</t>
  </si>
  <si>
    <t>en % de la moyenne</t>
  </si>
  <si>
    <t>Seuil 1</t>
  </si>
  <si>
    <t>Seuil 2</t>
  </si>
  <si>
    <t>Total écrêtage</t>
  </si>
  <si>
    <t>Savigny</t>
  </si>
  <si>
    <t>Chexbres</t>
  </si>
  <si>
    <t>Villars-Epeney</t>
  </si>
  <si>
    <t>Puidoux</t>
  </si>
  <si>
    <t>Dépassement transports</t>
  </si>
  <si>
    <t>Population</t>
  </si>
  <si>
    <t>Bas</t>
  </si>
  <si>
    <t>Seuils de population</t>
  </si>
  <si>
    <t>Haut</t>
  </si>
  <si>
    <t>Montants</t>
  </si>
  <si>
    <t>Romanel-sur-Morges</t>
  </si>
  <si>
    <t>Saint-Prex</t>
  </si>
  <si>
    <t>Saint-Sulpice</t>
  </si>
  <si>
    <t>Tolochenaz</t>
  </si>
  <si>
    <t>Vaux-sur-Morges</t>
  </si>
  <si>
    <t>Villars-Sainte-Croix</t>
  </si>
  <si>
    <t>La Rippe</t>
  </si>
  <si>
    <t>Saint-Cergue</t>
  </si>
  <si>
    <t>Signy-Avenex</t>
  </si>
  <si>
    <t>Tannay</t>
  </si>
  <si>
    <t>Trélex</t>
  </si>
  <si>
    <t>Le Vaud</t>
  </si>
  <si>
    <t>Vich</t>
  </si>
  <si>
    <t>L'Abergement</t>
  </si>
  <si>
    <t>Agiez</t>
  </si>
  <si>
    <t>Péréquation directe</t>
  </si>
  <si>
    <t>Transports publics</t>
  </si>
  <si>
    <t>Transports scolaires</t>
  </si>
  <si>
    <t>Croy</t>
  </si>
  <si>
    <t>Juriens</t>
  </si>
  <si>
    <t>Lignerolle</t>
  </si>
  <si>
    <t>Montcherand</t>
  </si>
  <si>
    <t>Orbe</t>
  </si>
  <si>
    <t>Vallorbe</t>
  </si>
  <si>
    <t>Vaulion</t>
  </si>
  <si>
    <t>Vuiteboeuf</t>
  </si>
  <si>
    <t>Impôts suivant le taux</t>
  </si>
  <si>
    <t>Féchy</t>
  </si>
  <si>
    <t>Gimel</t>
  </si>
  <si>
    <t>Saint-Livres</t>
  </si>
  <si>
    <t>Saint-Oyens</t>
  </si>
  <si>
    <t>Saubraz</t>
  </si>
  <si>
    <t>Avenches</t>
  </si>
  <si>
    <t>Cudrefin</t>
  </si>
  <si>
    <t>Faoug</t>
  </si>
  <si>
    <t>Bettens</t>
  </si>
  <si>
    <t>Bournens</t>
  </si>
  <si>
    <t>Différence à compenser</t>
  </si>
  <si>
    <t xml:space="preserve">Taux actuel </t>
  </si>
  <si>
    <t>Longirod</t>
  </si>
  <si>
    <t>Marchissy</t>
  </si>
  <si>
    <t>Mollens</t>
  </si>
  <si>
    <t>Saint-George</t>
  </si>
  <si>
    <t>Chavannes-le-Veyron</t>
  </si>
  <si>
    <t>Chevilly</t>
  </si>
  <si>
    <t>Cossonay</t>
  </si>
  <si>
    <t>./. Conjoncturelles</t>
  </si>
  <si>
    <t>./. Ecrêtage</t>
  </si>
  <si>
    <t>Seuil max (pts)</t>
  </si>
  <si>
    <t>Impôt à la source</t>
  </si>
  <si>
    <t>Impôt foncier</t>
  </si>
  <si>
    <t>Vulliens</t>
  </si>
  <si>
    <t>Champtauroz</t>
  </si>
  <si>
    <t>Chevroux</t>
  </si>
  <si>
    <t>Belmont-sur-Lausanne</t>
  </si>
  <si>
    <t>Cheseaux-sur-Lausanne</t>
  </si>
  <si>
    <t>Crissier</t>
  </si>
  <si>
    <t>Epalinges</t>
  </si>
  <si>
    <t>Jouxtens-Mézery</t>
  </si>
  <si>
    <t>Mathod</t>
  </si>
  <si>
    <t>Molondin</t>
  </si>
  <si>
    <t>Renens</t>
  </si>
  <si>
    <t>Valeyres-sous-Montagny</t>
  </si>
  <si>
    <t>Valeyres-sous-Ursins</t>
  </si>
  <si>
    <t>Orzens</t>
  </si>
  <si>
    <t>Pomy</t>
  </si>
  <si>
    <t>Rovray</t>
  </si>
  <si>
    <t>Suchy</t>
  </si>
  <si>
    <t>Suscévaz</t>
  </si>
  <si>
    <t>Treycovagnes</t>
  </si>
  <si>
    <t>Aclens</t>
  </si>
  <si>
    <t>Total part communale</t>
  </si>
  <si>
    <t>Points</t>
  </si>
  <si>
    <t>Seuil 3</t>
  </si>
  <si>
    <t>Impôt récupéré après défalcation</t>
  </si>
  <si>
    <t>PPR</t>
  </si>
  <si>
    <t>PPF</t>
  </si>
  <si>
    <t>PMB</t>
  </si>
  <si>
    <t>PMC</t>
  </si>
  <si>
    <t>Bourg-en-Lavaux</t>
  </si>
  <si>
    <t>Tévenon</t>
  </si>
  <si>
    <t>Vully-les-Lacs</t>
  </si>
  <si>
    <t>Goumoëns</t>
  </si>
  <si>
    <t>Montilliez</t>
  </si>
  <si>
    <t>Jorat-Menthue</t>
  </si>
  <si>
    <t>Valbroye</t>
  </si>
  <si>
    <t>Oron</t>
  </si>
  <si>
    <t>Prélèvements conjoncturels</t>
  </si>
  <si>
    <t>Bussigny</t>
  </si>
  <si>
    <t>Arzier-Le Muids</t>
  </si>
  <si>
    <t>Montanaire</t>
  </si>
  <si>
    <t>Indice IPC au 1er janvier 2010</t>
  </si>
  <si>
    <t>Montant à affecter ajusté à l'IPC</t>
  </si>
  <si>
    <t>Population selon FAO</t>
  </si>
  <si>
    <t>CHF</t>
  </si>
  <si>
    <t>Pts</t>
  </si>
  <si>
    <t>pour une capacité dépassant</t>
  </si>
  <si>
    <t>Montant à affecter par habitant</t>
  </si>
  <si>
    <t>Prise en charge maximale</t>
  </si>
  <si>
    <t>Impôts théoriques</t>
  </si>
  <si>
    <t>Ecrêtage</t>
  </si>
  <si>
    <t xml:space="preserve">J) Liste des communes A--&gt;Z </t>
  </si>
  <si>
    <t>Aide</t>
  </si>
  <si>
    <t>Taux</t>
  </si>
  <si>
    <t>Montant à charge de la commune</t>
  </si>
  <si>
    <t>Total à charge des communes</t>
  </si>
  <si>
    <t>Taux IFO</t>
  </si>
  <si>
    <t>P é r é q u a t i o n   d i r e c t e</t>
  </si>
  <si>
    <t>Treytorrens (Payerne)</t>
  </si>
  <si>
    <t>Jorat-Mézières</t>
  </si>
  <si>
    <t>Effort</t>
  </si>
  <si>
    <t>Total net</t>
  </si>
  <si>
    <t>S y n t h è s e   e n   C H F</t>
  </si>
  <si>
    <t>Taux maximum plafonné. Art. 6 DLPIC</t>
  </si>
  <si>
    <t>Seuil 4</t>
  </si>
  <si>
    <t>Seuil 5</t>
  </si>
  <si>
    <t>Point impôt</t>
  </si>
  <si>
    <t>Total de la participation à la cohésion sociale</t>
  </si>
  <si>
    <t xml:space="preserve">Charges de fonctionnement </t>
  </si>
  <si>
    <t xml:space="preserve">Investissements </t>
  </si>
  <si>
    <t>Investissements</t>
  </si>
  <si>
    <t>Transports</t>
  </si>
  <si>
    <t>Forêts</t>
  </si>
  <si>
    <t>Totaux</t>
  </si>
  <si>
    <t>Acomptes*</t>
  </si>
  <si>
    <t>(+ à payer / - à recevoir)</t>
  </si>
  <si>
    <t>Communes</t>
  </si>
  <si>
    <t>Péréquation horizontale</t>
  </si>
  <si>
    <t>Décompte</t>
  </si>
  <si>
    <t>Participation à la cohésion sociale</t>
  </si>
  <si>
    <t>Communes 
LDecTer</t>
  </si>
  <si>
    <t>Hautemorges</t>
  </si>
  <si>
    <t>Table des matières</t>
  </si>
  <si>
    <t>Cette couche alloue des montants à toutes les communes en fonction de leur population. Son but est de tenir compte du fait que certaines charges d’une commune tendent à augmenter avec l’augmentation de sa taille.</t>
  </si>
  <si>
    <t>Les dépenses thématique allouent des montants aux communes qui doivent faire face à des dépenses jugées excessives dans les domaines des transports (routes, transports publics et transports scolaires) et des forêts.</t>
  </si>
  <si>
    <t>Données saisies</t>
  </si>
  <si>
    <t>Plafond de l'effort</t>
  </si>
  <si>
    <t>Plafond de l'aide</t>
  </si>
  <si>
    <t>Plafond du taux</t>
  </si>
  <si>
    <t>Décompte vs acomptes</t>
  </si>
  <si>
    <t>← Précédent</t>
  </si>
  <si>
    <t>Suivant →</t>
  </si>
  <si>
    <t>Paramétrage du système</t>
  </si>
  <si>
    <t>Période de calcul</t>
  </si>
  <si>
    <t>Facture policière</t>
  </si>
  <si>
    <t>Valeur du point d'impôt péréquatif (VPI)</t>
  </si>
  <si>
    <t>Paramètrage de la feuille de calcul et références aux bases légales.</t>
  </si>
  <si>
    <t>Valeur du point d'impôt péréquatif</t>
  </si>
  <si>
    <t>Participation à charge des communes</t>
  </si>
  <si>
    <t>P a r t i c i p a t i o n   à   l a    c o h é s i o n    s o c i a l e</t>
  </si>
  <si>
    <t>T o t a l   p é r é q u a t i o n    e t    f a c t u r e s    c a n t o n a l e s</t>
  </si>
  <si>
    <t>Impôt à la
 source</t>
  </si>
  <si>
    <t>Compensation RFFA</t>
  </si>
  <si>
    <t>Impôt spécial
 affecté</t>
  </si>
  <si>
    <t>Impôt foncier
normalisé</t>
  </si>
  <si>
    <t>Impôt des frontaliers</t>
  </si>
  <si>
    <t>Montant de la PCS à répartir</t>
  </si>
  <si>
    <t>À répartir en points d'impôt</t>
  </si>
  <si>
    <t>Calcul de la capacité fiscale relative</t>
  </si>
  <si>
    <t>% du taux moyen</t>
  </si>
  <si>
    <t>Participation à la cohésion sociale (PCS)</t>
  </si>
  <si>
    <t>Prélèvement sur les impôts conjoncturels</t>
  </si>
  <si>
    <t>Synthèse</t>
  </si>
  <si>
    <t>Plafond
forêts</t>
  </si>
  <si>
    <t>Total
forêts</t>
  </si>
  <si>
    <t>Total
transports</t>
  </si>
  <si>
    <t>Plafonds</t>
  </si>
  <si>
    <t>Plafond en points</t>
  </si>
  <si>
    <t>Alimentation péréquation directe</t>
  </si>
  <si>
    <t>Effort péréquatif net</t>
  </si>
  <si>
    <t>Taux après déduction de l'ancien effort</t>
  </si>
  <si>
    <t>Restitution en CHF</t>
  </si>
  <si>
    <t>Total routes et infrastructures</t>
  </si>
  <si>
    <t>Avec police communale</t>
  </si>
  <si>
    <t>Communes avec police</t>
  </si>
  <si>
    <t>Cette couche alloue des montants aux communes avec une valeur du point d’impôt péréquatif par habitant inférieure à la moyenne. Elle cible de manière directe les disparités de capacité financière entre les communes.</t>
  </si>
  <si>
    <t xml:space="preserve"> Extraction synthétique des montants à recevoir ou à payer pour une commune au choix.</t>
  </si>
  <si>
    <t>Calcul de la valeur du point d'impôt péréquatif selon les dispositions légales en vigueur.</t>
  </si>
  <si>
    <t>Acomptes/décompte et année</t>
  </si>
  <si>
    <t>Impôt sur le revenu</t>
  </si>
  <si>
    <t>Impôt sur la fortune</t>
  </si>
  <si>
    <t>Impôt sur le bénéfice</t>
  </si>
  <si>
    <t>Impôt sur le capital</t>
  </si>
  <si>
    <t>Impôt sur les immeubles des sociétés</t>
  </si>
  <si>
    <t>Prélèvement sur les impôts conjoncturels (art. 3 LPIC)</t>
  </si>
  <si>
    <t>Droits de mutation, gains immobiliers, successions et donations</t>
  </si>
  <si>
    <t>Pourcentage prélevé</t>
  </si>
  <si>
    <t>Ecrêtage (art. 4 LPIC)</t>
  </si>
  <si>
    <t>Couche population (art. 8 LPIC et art. 2 DLPIC)</t>
  </si>
  <si>
    <t>Seuil de population (habitants)</t>
  </si>
  <si>
    <t>Couche solidarité (art. 8 LPIC et art. 3 DLPIC)</t>
  </si>
  <si>
    <t>Taux de compensation pour les communes à faible capacité financière</t>
  </si>
  <si>
    <t>Gestion du fond (art. 8 DLPIC)</t>
  </si>
  <si>
    <t>Montants affectés aux plafonnements et gestion du fond</t>
  </si>
  <si>
    <t>Dépenses thématiques (art. 8 LPIC et art. 4 DLPIC)</t>
  </si>
  <si>
    <t>Entretien des forêts</t>
  </si>
  <si>
    <t>Transports publics, transports routiers et transports scolaires</t>
  </si>
  <si>
    <t>Total des dépassements</t>
  </si>
  <si>
    <t>Compensation théorique</t>
  </si>
  <si>
    <t>Plafond global (art. 4 al. 2)</t>
  </si>
  <si>
    <t>Aide péréquatif maximal en points d'impôt (art. 5 DLPIC)</t>
  </si>
  <si>
    <t>Effort péréquatif maximal en points d'impôt (art. 9d DLPIC)</t>
  </si>
  <si>
    <t>Paramètres des plafonds</t>
  </si>
  <si>
    <t>Total plafonds</t>
  </si>
  <si>
    <t>Financement</t>
  </si>
  <si>
    <t>Indexation du taux maximum</t>
  </si>
  <si>
    <t>Taux plafonné de l'année précédente</t>
  </si>
  <si>
    <t>Valeur du point (année précédente)</t>
  </si>
  <si>
    <t>PCS (année précédente)</t>
  </si>
  <si>
    <t>Montant de la facture 2013</t>
  </si>
  <si>
    <t>Augmentation forfaitaire annuelle</t>
  </si>
  <si>
    <t>Année de la facture policière</t>
  </si>
  <si>
    <t>Budget/comptes et année pour la PCS</t>
  </si>
  <si>
    <t>Date de la population</t>
  </si>
  <si>
    <t>Année des données de référence (rendements, taux, DT, etc.)</t>
  </si>
  <si>
    <t>Table des
matières</t>
  </si>
  <si>
    <t>Solde en points d'impôt</t>
  </si>
  <si>
    <t>Valeur du point par habitant</t>
  </si>
  <si>
    <t>Compensation de base</t>
  </si>
  <si>
    <t>Total à financer (alimentation)</t>
  </si>
  <si>
    <t>Différence = 0</t>
  </si>
  <si>
    <t>Données concernant toutes les communes saisies pour être utilisées dans les calculs du système de péréquation.</t>
  </si>
  <si>
    <t>Déduction complémentaire au montant de la PCS selon art. 17b al. 3 LOF</t>
  </si>
  <si>
    <t>à ajouter</t>
  </si>
  <si>
    <t>à déduire</t>
  </si>
  <si>
    <t>Effort  péréquatif net avec plafonds</t>
  </si>
  <si>
    <t>Effort péréquatif net sans dép. thém. et avec plafonds</t>
  </si>
  <si>
    <t>Répartition par habitant de la facture policière</t>
  </si>
  <si>
    <t>Valeur du
point d'impôt péréquatif</t>
  </si>
  <si>
    <t>Valeur du point d'impôt péréquatif par habitant</t>
  </si>
  <si>
    <t>Financement du solde en points</t>
  </si>
  <si>
    <t>Alimentation de la péréquation directe</t>
  </si>
  <si>
    <t>Compensation</t>
  </si>
  <si>
    <t>Compensation pondérée</t>
  </si>
  <si>
    <t>Compensation population</t>
  </si>
  <si>
    <t>Compensation solidarité</t>
  </si>
  <si>
    <t>Compensation dépenses thématiques</t>
  </si>
  <si>
    <t>Montants à financer</t>
  </si>
  <si>
    <t>Couches péréquatives</t>
  </si>
  <si>
    <t>Compensation plafonds</t>
  </si>
  <si>
    <t>Effet net de la péréquation directe</t>
  </si>
  <si>
    <t>Compensation transports</t>
  </si>
  <si>
    <t>Compensation forêts</t>
  </si>
  <si>
    <t>Total des compensations</t>
  </si>
  <si>
    <t>Total du financement</t>
  </si>
  <si>
    <t>Forfait pour la gestion du système</t>
  </si>
  <si>
    <t>Taux projeté</t>
  </si>
  <si>
    <t>Impôts sur le revenu et la fortune</t>
  </si>
  <si>
    <t>Impôts sur le bénéfice et le capital, y compris compensation RFFA</t>
  </si>
  <si>
    <t>Prise en charge</t>
  </si>
  <si>
    <t>Répartition solde après prélèvements conjoncturels et écrêtage</t>
  </si>
  <si>
    <t>Facturation aux communes délégatrices</t>
  </si>
  <si>
    <t>F a c t u r e   p o l i c i è r e</t>
  </si>
  <si>
    <t>Répartition du solde de la facture</t>
  </si>
  <si>
    <t>Total de la facture policière</t>
  </si>
  <si>
    <t>Recherche par commune</t>
  </si>
  <si>
    <t>Total net de la péréquation directe</t>
  </si>
  <si>
    <t>Facture
policière</t>
  </si>
  <si>
    <t>Solde</t>
  </si>
  <si>
    <t>Droits de mutation, gains immobiliers et successions</t>
  </si>
  <si>
    <t>Modifications de taxations antérieures</t>
  </si>
  <si>
    <t>Impôt sur la dépense</t>
  </si>
  <si>
    <t>PPR + PPF</t>
  </si>
  <si>
    <t>PMB + PMC</t>
  </si>
  <si>
    <t>PCS sans prélèvements conjoncturels</t>
  </si>
  <si>
    <t>Effort net sans dépenses thématiques et avec prélévements conjoncturels</t>
  </si>
  <si>
    <r>
      <t xml:space="preserve">Financement reçu pour les nouvelles tâches
</t>
    </r>
    <r>
      <rPr>
        <i/>
        <sz val="9"/>
        <color theme="0"/>
        <rFont val="Calibri"/>
        <family val="2"/>
        <scheme val="minor"/>
      </rPr>
      <t>(équivalent de 2 points d'impôt communaux)</t>
    </r>
  </si>
  <si>
    <r>
      <t xml:space="preserve">Facturation aux communes délégatrices 
</t>
    </r>
    <r>
      <rPr>
        <i/>
        <sz val="9"/>
        <color theme="0"/>
        <rFont val="Calibri"/>
        <family val="2"/>
        <scheme val="minor"/>
      </rPr>
      <t>(au maximum l'équivalent de 2 points d'impôt communaux)</t>
    </r>
  </si>
  <si>
    <t>Routes et infrastructures</t>
  </si>
  <si>
    <t>PCS - Détail écrêtage</t>
  </si>
  <si>
    <t>Détail écrêtage</t>
  </si>
  <si>
    <t>La participation à la cohésion sociale (PCS) est une facture cantonale faisant participer les communes au financement des dépenses engagées par le canton en faveur des couches les plus fragiles de la population. Elle est financée en trois étapes (prélèvements conjoncturels, écrêtage et répartition du solde en fonction de la valeur du point d'impôt).</t>
  </si>
  <si>
    <t>La méthode de calcul de l'écrêtage étant particulièrement élaborée, elle fait l'objet d'un onglet de calcul à part.</t>
  </si>
  <si>
    <t>Le fonds de péréquation intercommunal comprend trois couches de subventionnement et trois plafonds. Les montants versés sont financés par les communes proportionnellement à la valeur des leurs points d'impôt péréquatifs.</t>
  </si>
  <si>
    <t>Dépenses thématiques (DT)</t>
  </si>
  <si>
    <t>Solidarité</t>
  </si>
  <si>
    <t>Répartition entre les communes du coût des missions générales de police (MGP) accomplies par la police cantonale.</t>
  </si>
  <si>
    <t>Synthèse des transferts générés par chaque composante du système de péréquation.</t>
  </si>
  <si>
    <t>Compensation 
dépenses thématiques</t>
  </si>
  <si>
    <t>Fonds de péréquation intercommunal
(ou péréquation directe)</t>
  </si>
  <si>
    <t>Paramètres</t>
  </si>
  <si>
    <t>Différences entre le décompte et les acomptes déjà versés (pertinent uniquement dans le fichier avec le décompte).</t>
  </si>
  <si>
    <t>Plafonds (effort, aide et taux)</t>
  </si>
  <si>
    <t>Montant nécessaire pour financer le total des plafonnements</t>
  </si>
  <si>
    <t>Crans</t>
  </si>
  <si>
    <t>Régimes repris intégralement par le Canton dès 2022 selon art. 17b al. 2 let a LOF</t>
  </si>
  <si>
    <t>Coût des agences d'assurances sociales reprise par l'Etat (hors PCS)</t>
  </si>
  <si>
    <t>Montant net de la PCS à la charge des communes communiqué par DSAS
Montant tenant compte de  :</t>
  </si>
  <si>
    <t>Montant prélevé</t>
  </si>
  <si>
    <t>Retenue en CHF</t>
  </si>
  <si>
    <t>Acomptes PCS</t>
  </si>
  <si>
    <t>Décompte PCS</t>
  </si>
  <si>
    <t>D-A PCS</t>
  </si>
  <si>
    <t>Acomptes PH</t>
  </si>
  <si>
    <t>Décompte PH</t>
  </si>
  <si>
    <t>D-A PH</t>
  </si>
  <si>
    <t>Acomptes FP</t>
  </si>
  <si>
    <t>Décompte FP</t>
  </si>
  <si>
    <t>D-A FP</t>
  </si>
  <si>
    <t>Péréquation directe - Dépenses thématiques</t>
  </si>
  <si>
    <t>Péréquation directe - Couche solidarité</t>
  </si>
  <si>
    <t>Péréquation directe - Couche population</t>
  </si>
  <si>
    <t>Solde à déduire de la PCS selon convention</t>
  </si>
  <si>
    <t>Résumé par commune</t>
  </si>
  <si>
    <t xml:space="preserve">  I m p ô t s   c o m m u n a u x</t>
  </si>
  <si>
    <t>Impôt sur la fortune PP</t>
  </si>
  <si>
    <t>Impôt personnel fixe</t>
  </si>
  <si>
    <t>Impôt sur le bénéfice PM</t>
  </si>
  <si>
    <t>Impôt sur le capital PM</t>
  </si>
  <si>
    <t>Impôt sur la dépense (anc. Spécial étranger)</t>
  </si>
  <si>
    <t>Impôt complémentaire sur immeubles PM</t>
  </si>
  <si>
    <t>Impôt foncier (non normalisé)</t>
  </si>
  <si>
    <t>Sous-total impôts</t>
  </si>
  <si>
    <r>
      <t>4411</t>
    </r>
    <r>
      <rPr>
        <sz val="10"/>
        <color indexed="9"/>
        <rFont val="Calibri"/>
        <family val="2"/>
        <scheme val="minor"/>
      </rPr>
      <t xml:space="preserve"> (a)</t>
    </r>
  </si>
  <si>
    <t>Impôt sur les frontaliers</t>
  </si>
  <si>
    <t>Impôt sur les successions et donations</t>
  </si>
  <si>
    <t>Impôt sur les gains immobiliers</t>
  </si>
  <si>
    <t>Total des impôts</t>
  </si>
  <si>
    <t>3301/319</t>
  </si>
  <si>
    <t>Pertes sur débiteurs (défalcations/remises)</t>
  </si>
  <si>
    <t xml:space="preserve">  A u t r e s   i n f o r m a t i o n s</t>
  </si>
  <si>
    <t>Blonay - Saint-Légier</t>
  </si>
  <si>
    <t>Données -&gt; Analyse de scenario -&gt; Valeur cible. Définir C50, cibler 0, modifier B50.</t>
  </si>
  <si>
    <t>Comptes 2024</t>
  </si>
  <si>
    <r>
      <t xml:space="preserve">Total accord
d'août 2020
</t>
    </r>
    <r>
      <rPr>
        <u/>
        <sz val="9"/>
        <rFont val="Calibri"/>
        <family val="2"/>
        <scheme val="minor"/>
      </rPr>
      <t xml:space="preserve">CHF 80 mios </t>
    </r>
  </si>
  <si>
    <t>Impôt sur le revenu PP</t>
  </si>
  <si>
    <t>Taux d'imposition 2024</t>
  </si>
  <si>
    <t>Taux impôt foncier 2024 en 0/00</t>
  </si>
  <si>
    <t>Population au 31.12.2024 selon FAO</t>
  </si>
  <si>
    <t>Montant brut de la PCS avant accord et déduction complémentaire</t>
  </si>
  <si>
    <r>
      <rPr>
        <b/>
        <sz val="8"/>
        <rFont val="Calibri"/>
        <family val="2"/>
        <scheme val="minor"/>
      </rPr>
      <t xml:space="preserve">Suivi des modifications législatives depuis 2017
</t>
    </r>
    <r>
      <rPr>
        <sz val="8"/>
        <rFont val="Calibri"/>
        <family val="2"/>
        <scheme val="minor"/>
      </rPr>
      <t xml:space="preserve">
</t>
    </r>
    <r>
      <rPr>
        <b/>
        <sz val="8"/>
        <rFont val="Calibri"/>
        <family val="2"/>
        <scheme val="minor"/>
      </rPr>
      <t>2017</t>
    </r>
    <r>
      <rPr>
        <sz val="8"/>
        <rFont val="Calibri"/>
        <family val="2"/>
        <scheme val="minor"/>
      </rPr>
      <t xml:space="preserve">: point d'impôt écrêté à 65% et plafond de l'aide augmenté de 5 à 6,5 points.
</t>
    </r>
    <r>
      <rPr>
        <b/>
        <sz val="8"/>
        <rFont val="Calibri"/>
        <family val="2"/>
        <scheme val="minor"/>
      </rPr>
      <t>2018</t>
    </r>
    <r>
      <rPr>
        <sz val="8"/>
        <rFont val="Calibri"/>
        <family val="2"/>
        <scheme val="minor"/>
      </rPr>
      <t xml:space="preserve">: point d'impôt écrêté à 50% et plafond de l'effort provisoirement fixé à 45 points (2018-2019)
</t>
    </r>
    <r>
      <rPr>
        <b/>
        <sz val="8"/>
        <rFont val="Calibri"/>
        <family val="2"/>
        <scheme val="minor"/>
      </rPr>
      <t>Dès 2019</t>
    </r>
    <r>
      <rPr>
        <sz val="8"/>
        <rFont val="Calibri"/>
        <family val="2"/>
        <scheme val="minor"/>
      </rPr>
      <t xml:space="preserve">: plafond de l'aide augmenté à 8 points, abandon du point d'impôt écrêté, nouveau palier d'écrêtage entre 100% et 120%, diminution de 6 points pour les autres paliers d'écrêtage, augmentation à CHF 125.- de la première tranche de la couche population, augmentation de 4 à 4,5 points du plafond global pour les dépenses thématiques.
</t>
    </r>
    <r>
      <rPr>
        <b/>
        <sz val="8"/>
        <rFont val="Calibri"/>
        <family val="2"/>
        <scheme val="minor"/>
      </rPr>
      <t xml:space="preserve">Dès 2020 </t>
    </r>
    <r>
      <rPr>
        <sz val="8"/>
        <rFont val="Calibri"/>
        <family val="2"/>
        <scheme val="minor"/>
      </rPr>
      <t xml:space="preserve">: compensation RFFA répartie en fonction du rendement des impôts PM. Exclusion du montant du prélèvement sur les impôts conjoncturels du calcul de l'effort péréquatif. Plafond de l'effort provisoirement fixé à 48 points (2020-2021).
</t>
    </r>
    <r>
      <rPr>
        <b/>
        <sz val="8"/>
        <rFont val="Calibri"/>
        <family val="2"/>
        <scheme val="minor"/>
      </rPr>
      <t>2021</t>
    </r>
    <r>
      <rPr>
        <sz val="8"/>
        <rFont val="Calibri"/>
        <family val="2"/>
        <scheme val="minor"/>
      </rPr>
      <t xml:space="preserve">: déduction forfaitaire de CHF 25 millions au montant de la PCS (art. 19a LOF)
</t>
    </r>
    <r>
      <rPr>
        <b/>
        <sz val="8"/>
        <rFont val="Calibri"/>
        <family val="2"/>
        <scheme val="minor"/>
      </rPr>
      <t>Dès 2022</t>
    </r>
    <r>
      <rPr>
        <sz val="8"/>
        <rFont val="Calibri"/>
        <family val="2"/>
        <scheme val="minor"/>
      </rPr>
      <t xml:space="preserve">: reconduction du plafond de l'effort provisoire à 48 points (2022-2023), reprise par l'Etat de certaines dépenses sociales incluses jusqu'ici dans la PCS et application de la déduction forfaitaire complémentaire à la PCS prévue par l'art. 19a LOF.
</t>
    </r>
    <r>
      <rPr>
        <b/>
        <sz val="8"/>
        <rFont val="Calibri"/>
        <family val="2"/>
        <scheme val="minor"/>
      </rPr>
      <t xml:space="preserve">Dès 2024 : </t>
    </r>
    <r>
      <rPr>
        <sz val="8"/>
        <rFont val="Calibri"/>
        <family val="2"/>
        <scheme val="minor"/>
      </rPr>
      <t>augmentation du plafond de l'aide à 10 points + maintient du plafond de l'effort à 48 points</t>
    </r>
  </si>
  <si>
    <t>Rendements impôts communaux 2024</t>
  </si>
  <si>
    <t>Décompte 2024</t>
  </si>
  <si>
    <t xml:space="preserve"> Extraction synthétique des rendements des impôts pour une commune au choix.</t>
  </si>
  <si>
    <t>Recherche rendements des impôts</t>
  </si>
  <si>
    <t>*montants selon le fichier des acomptes initiaux adoptés par la COPAR. Ne tient pas compte des arrangements survenus en cours d'année. Les factures, respectivement les remboursements, seront gérés par les services concernés, à savoir :
- pour la participation à la cohésion sociale, par le Département de la santé et de l'action sociale (DSAS) ;
- pour la péréquation directe, par la Direction générale des affaires institutionnelles et des communes (DGAIC) ;
- pour la facture policière, par la police cantonale (PolCant).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</si>
</sst>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3" formatCode="_-* #,##0.00_-;\-* #,##0.00_-;_-* &quot;-&quot;??_-;_-@_-"/>
    <numFmt numFmtId="164" formatCode="_-* #,##0.00\ _C_H_F_-;\-* #,##0.00\ _C_H_F_-;_-* &quot;-&quot;??\ _C_H_F_-;_-@_-"/>
    <numFmt numFmtId="165" formatCode="_ * #,##0.00_ ;_ * \-#,##0.00_ ;_ * &quot;-&quot;??_ ;_ @_ "/>
    <numFmt numFmtId="166" formatCode="#\ ###\ ###\ ##0"/>
    <numFmt numFmtId="167" formatCode="#,##0.0"/>
    <numFmt numFmtId="168" formatCode="0.0%"/>
    <numFmt numFmtId="169" formatCode="#\ ###\ ##0"/>
    <numFmt numFmtId="170" formatCode="0.000"/>
    <numFmt numFmtId="171" formatCode="#,##0.000"/>
    <numFmt numFmtId="172" formatCode="#,##0;\-#,##0;"/>
    <numFmt numFmtId="173" formatCode="#,##0.000000"/>
    <numFmt numFmtId="174" formatCode="0.0000"/>
    <numFmt numFmtId="175" formatCode="_-* #,##0_-;\-* #,##0_-;_-* &quot;-&quot;??_-;_-@_-"/>
    <numFmt numFmtId="176" formatCode="_ * #,##0_ ;_ * \-#,##0_ ;_ * &quot;-&quot;??_ ;_ @_ "/>
    <numFmt numFmtId="177" formatCode="_-* #,##0.0_-;\-* #,##0.0_-;_-* &quot;-&quot;??_-;_-@_-"/>
    <numFmt numFmtId="178" formatCode="_ * #,##0.000_ ;_ * \-#,##0.000_ ;_ * &quot;-&quot;??_ ;_ @_ "/>
    <numFmt numFmtId="179" formatCode="0_ ;\-0\ "/>
    <numFmt numFmtId="180" formatCode="#,##0_ ;\-#,##0\ "/>
    <numFmt numFmtId="181" formatCode="#,##0.00_ ;\-#,##0.00\ "/>
    <numFmt numFmtId="182" formatCode="_-* #,##0.000_-;\-* #,##0.000_-;_-* &quot;-&quot;??_-;_-@_-"/>
    <numFmt numFmtId="183" formatCode="0.0"/>
    <numFmt numFmtId="184" formatCode="_-* #,##0.00000_-;\-* #,##0.00000_-;_-* &quot;-&quot;??_-;_-@_-"/>
    <numFmt numFmtId="185" formatCode="_-* #,##0.00000000_-;\-* #,##0.00000000_-;_-* &quot;-&quot;??_-;_-@_-"/>
    <numFmt numFmtId="186" formatCode="_ * #,##0\ ;_ * \-#,##0\ ;_ * &quot;-&quot;??_ ;_ @_ "/>
    <numFmt numFmtId="187" formatCode="0.00000000"/>
    <numFmt numFmtId="188" formatCode="0.00_ ;\-0.00\ "/>
  </numFmts>
  <fonts count="90" x14ac:knownFonts="1">
    <font>
      <sz val="10"/>
      <name val="Verdan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Verdana"/>
      <family val="2"/>
    </font>
    <font>
      <sz val="10"/>
      <name val="Arial Narrow"/>
      <family val="2"/>
    </font>
    <font>
      <sz val="10"/>
      <name val="Arial"/>
      <family val="2"/>
    </font>
    <font>
      <sz val="8"/>
      <name val="Verdana"/>
      <family val="2"/>
    </font>
    <font>
      <sz val="10"/>
      <color indexed="8"/>
      <name val="Arial"/>
      <family val="2"/>
    </font>
    <font>
      <sz val="10"/>
      <name val="Times New Roman"/>
      <family val="1"/>
    </font>
    <font>
      <sz val="14"/>
      <name val="Times New Roman"/>
      <family val="1"/>
    </font>
    <font>
      <sz val="10"/>
      <name val="MS Sans Serif"/>
      <family val="2"/>
    </font>
    <font>
      <sz val="11"/>
      <color theme="1"/>
      <name val="Calibri"/>
      <family val="2"/>
      <scheme val="minor"/>
    </font>
    <font>
      <sz val="11"/>
      <color theme="0"/>
      <name val="Calibri"/>
      <family val="2"/>
      <scheme val="minor"/>
    </font>
    <font>
      <sz val="11"/>
      <name val="Calibri"/>
      <family val="2"/>
      <scheme val="minor"/>
    </font>
    <font>
      <i/>
      <sz val="11"/>
      <name val="Calibri"/>
      <family val="2"/>
      <scheme val="minor"/>
    </font>
    <font>
      <sz val="16"/>
      <name val="Calibri"/>
      <family val="2"/>
      <scheme val="minor"/>
    </font>
    <font>
      <b/>
      <sz val="11"/>
      <name val="Calibri"/>
      <family val="2"/>
      <scheme val="minor"/>
    </font>
    <font>
      <sz val="11"/>
      <color indexed="10"/>
      <name val="Calibri"/>
      <family val="2"/>
      <scheme val="minor"/>
    </font>
    <font>
      <sz val="11"/>
      <color indexed="8"/>
      <name val="Calibri"/>
      <family val="2"/>
      <scheme val="minor"/>
    </font>
    <font>
      <sz val="20"/>
      <name val="Calibri"/>
      <family val="2"/>
      <scheme val="minor"/>
    </font>
    <font>
      <sz val="20"/>
      <color theme="0"/>
      <name val="Calibri"/>
      <family val="2"/>
      <scheme val="minor"/>
    </font>
    <font>
      <sz val="10"/>
      <name val="Arial"/>
      <family val="2"/>
    </font>
    <font>
      <sz val="10"/>
      <name val="Calibri"/>
      <family val="2"/>
      <scheme val="minor"/>
    </font>
    <font>
      <sz val="12"/>
      <color theme="0"/>
      <name val="Trebuchet MS"/>
      <family val="2"/>
    </font>
    <font>
      <b/>
      <sz val="10"/>
      <name val="Calibri"/>
      <family val="2"/>
      <scheme val="minor"/>
    </font>
    <font>
      <sz val="14"/>
      <name val="Trebuchet MS"/>
      <family val="2"/>
    </font>
    <font>
      <sz val="11"/>
      <color theme="0"/>
      <name val="Calibri"/>
      <family val="2"/>
    </font>
    <font>
      <sz val="11"/>
      <name val="Calibri"/>
      <family val="2"/>
    </font>
    <font>
      <sz val="8"/>
      <name val="Helvetica"/>
    </font>
    <font>
      <sz val="10"/>
      <name val="Arial"/>
      <family val="2"/>
    </font>
    <font>
      <sz val="10"/>
      <color indexed="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9"/>
      <name val="Calibri"/>
      <family val="2"/>
      <scheme val="minor"/>
    </font>
    <font>
      <b/>
      <sz val="9"/>
      <color theme="1"/>
      <name val="Calibri"/>
      <family val="2"/>
      <scheme val="minor"/>
    </font>
    <font>
      <b/>
      <sz val="9"/>
      <color indexed="81"/>
      <name val="Tahoma"/>
      <family val="2"/>
    </font>
    <font>
      <sz val="8"/>
      <name val="Calibri"/>
      <family val="2"/>
      <scheme val="minor"/>
    </font>
    <font>
      <sz val="9"/>
      <name val="Calibri"/>
      <family val="2"/>
      <scheme val="minor"/>
    </font>
    <font>
      <u/>
      <sz val="10"/>
      <color theme="10"/>
      <name val="Verdana"/>
      <family val="2"/>
    </font>
    <font>
      <b/>
      <sz val="10"/>
      <name val="Verdana"/>
      <family val="2"/>
    </font>
    <font>
      <b/>
      <sz val="16"/>
      <name val="Verdana"/>
      <family val="2"/>
    </font>
    <font>
      <b/>
      <sz val="20"/>
      <name val="Calibri"/>
      <family val="2"/>
      <scheme val="minor"/>
    </font>
    <font>
      <sz val="11"/>
      <color rgb="FF0070C0"/>
      <name val="Calibri"/>
      <family val="2"/>
      <scheme val="minor"/>
    </font>
    <font>
      <sz val="12"/>
      <name val="Calibri"/>
      <family val="2"/>
      <scheme val="minor"/>
    </font>
    <font>
      <sz val="9"/>
      <color indexed="81"/>
      <name val="Tahoma"/>
      <family val="2"/>
    </font>
    <font>
      <i/>
      <sz val="9"/>
      <name val="Calibri"/>
      <family val="2"/>
      <scheme val="minor"/>
    </font>
    <font>
      <u/>
      <sz val="9"/>
      <color indexed="81"/>
      <name val="Tahoma"/>
      <family val="2"/>
    </font>
    <font>
      <i/>
      <sz val="9"/>
      <color theme="0"/>
      <name val="Calibri"/>
      <family val="2"/>
      <scheme val="minor"/>
    </font>
    <font>
      <b/>
      <sz val="8"/>
      <name val="Calibri"/>
      <family val="2"/>
      <scheme val="minor"/>
    </font>
    <font>
      <u/>
      <sz val="8"/>
      <color theme="10"/>
      <name val="Verdana"/>
      <family val="2"/>
    </font>
    <font>
      <u/>
      <sz val="9"/>
      <name val="Calibri"/>
      <family val="2"/>
      <scheme val="minor"/>
    </font>
    <font>
      <sz val="11"/>
      <color rgb="FFFF0000"/>
      <name val="Calibri"/>
      <family val="2"/>
    </font>
    <font>
      <b/>
      <sz val="11"/>
      <color theme="0"/>
      <name val="Calibri"/>
      <family val="2"/>
      <scheme val="minor"/>
    </font>
    <font>
      <sz val="24"/>
      <name val="Calibri"/>
      <family val="2"/>
      <scheme val="minor"/>
    </font>
    <font>
      <b/>
      <sz val="18"/>
      <name val="Calibri"/>
      <family val="2"/>
      <scheme val="minor"/>
    </font>
    <font>
      <sz val="18"/>
      <name val="Calibri"/>
      <family val="2"/>
      <scheme val="minor"/>
    </font>
    <font>
      <sz val="10"/>
      <color indexed="8"/>
      <name val="Calibri"/>
      <family val="2"/>
      <scheme val="minor"/>
    </font>
    <font>
      <b/>
      <sz val="10"/>
      <color indexed="8"/>
      <name val="Calibri"/>
      <family val="2"/>
      <scheme val="minor"/>
    </font>
    <font>
      <sz val="10"/>
      <color theme="0"/>
      <name val="Calibri"/>
      <family val="2"/>
      <scheme val="minor"/>
    </font>
    <font>
      <sz val="10"/>
      <color indexed="9"/>
      <name val="Calibri"/>
      <family val="2"/>
      <scheme val="minor"/>
    </font>
  </fonts>
  <fills count="4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rgb="FF00B050"/>
        <bgColor indexed="64"/>
      </patternFill>
    </fill>
    <fill>
      <patternFill patternType="solid">
        <fgColor rgb="FFFFC000"/>
        <bgColor indexed="64"/>
      </patternFill>
    </fill>
    <fill>
      <patternFill patternType="solid">
        <fgColor theme="3" tint="0.59999389629810485"/>
        <bgColor indexed="64"/>
      </patternFill>
    </fill>
    <fill>
      <patternFill patternType="solid">
        <fgColor rgb="FF00206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55"/>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FF000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rgb="FF0070C0"/>
        <bgColor indexed="64"/>
      </patternFill>
    </fill>
    <fill>
      <patternFill patternType="solid">
        <fgColor rgb="FFC00000"/>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9" tint="0.59999389629810485"/>
        <bgColor indexed="64"/>
      </patternFill>
    </fill>
  </fills>
  <borders count="34">
    <border>
      <left/>
      <right/>
      <top/>
      <bottom/>
      <diagonal/>
    </border>
    <border>
      <left/>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medium">
        <color indexed="8"/>
      </top>
      <bottom/>
      <diagonal/>
    </border>
    <border>
      <left style="hair">
        <color indexed="8"/>
      </left>
      <right style="hair">
        <color indexed="8"/>
      </right>
      <top style="hair">
        <color indexed="8"/>
      </top>
      <bottom style="hair">
        <color indexed="8"/>
      </bottom>
      <diagonal/>
    </border>
    <border>
      <left/>
      <right style="thin">
        <color theme="0"/>
      </right>
      <top/>
      <bottom style="thin">
        <color theme="0"/>
      </bottom>
      <diagonal/>
    </border>
    <border>
      <left/>
      <right/>
      <top/>
      <bottom style="thin">
        <color theme="0"/>
      </bottom>
      <diagonal/>
    </border>
    <border>
      <left/>
      <right style="thin">
        <color theme="0"/>
      </right>
      <top/>
      <bottom/>
      <diagonal/>
    </border>
    <border>
      <left style="thin">
        <color theme="0"/>
      </left>
      <right style="thin">
        <color theme="0"/>
      </right>
      <top/>
      <bottom style="thin">
        <color indexed="64"/>
      </bottom>
      <diagonal/>
    </border>
    <border>
      <left/>
      <right style="thin">
        <color theme="0"/>
      </right>
      <top/>
      <bottom style="thin">
        <color indexed="64"/>
      </bottom>
      <diagonal/>
    </border>
    <border>
      <left style="thin">
        <color rgb="FFC00000"/>
      </left>
      <right style="thin">
        <color rgb="FFC00000"/>
      </right>
      <top style="thin">
        <color rgb="FFC00000"/>
      </top>
      <bottom/>
      <diagonal/>
    </border>
  </borders>
  <cellStyleXfs count="670">
    <xf numFmtId="0" fontId="0" fillId="0" borderId="0"/>
    <xf numFmtId="0" fontId="23" fillId="0" borderId="1"/>
    <xf numFmtId="0" fontId="24" fillId="0" borderId="0"/>
    <xf numFmtId="0" fontId="23" fillId="0" borderId="2">
      <alignment vertical="top"/>
    </xf>
    <xf numFmtId="43" fontId="18" fillId="0" borderId="0" applyFont="0" applyFill="0" applyBorder="0" applyAlignment="0" applyProtection="0"/>
    <xf numFmtId="165" fontId="20" fillId="0" borderId="0" applyFont="0" applyFill="0" applyBorder="0" applyAlignment="0" applyProtection="0"/>
    <xf numFmtId="165" fontId="26" fillId="0" borderId="0" applyFont="0" applyFill="0" applyBorder="0" applyAlignment="0" applyProtection="0"/>
    <xf numFmtId="0" fontId="25" fillId="0" borderId="0"/>
    <xf numFmtId="0" fontId="22" fillId="0" borderId="0"/>
    <xf numFmtId="0" fontId="20" fillId="0" borderId="0"/>
    <xf numFmtId="0" fontId="26" fillId="0" borderId="0"/>
    <xf numFmtId="0" fontId="19" fillId="0" borderId="0"/>
    <xf numFmtId="9" fontId="18" fillId="0" borderId="0" applyFont="0" applyFill="0" applyBorder="0" applyAlignment="0" applyProtection="0"/>
    <xf numFmtId="9" fontId="20" fillId="0" borderId="0" applyFont="0" applyFill="0" applyBorder="0" applyAlignment="0" applyProtection="0"/>
    <xf numFmtId="165" fontId="36" fillId="0" borderId="0" applyFont="0" applyFill="0" applyBorder="0" applyAlignment="0" applyProtection="0"/>
    <xf numFmtId="0" fontId="36" fillId="0" borderId="0"/>
    <xf numFmtId="165" fontId="16" fillId="0" borderId="0" applyFont="0" applyFill="0" applyBorder="0" applyAlignment="0" applyProtection="0"/>
    <xf numFmtId="0" fontId="16" fillId="0" borderId="0"/>
    <xf numFmtId="0" fontId="18" fillId="0" borderId="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20" fillId="0" borderId="0" applyFont="0" applyFill="0" applyBorder="0" applyAlignment="0" applyProtection="0"/>
    <xf numFmtId="0" fontId="15" fillId="0" borderId="0"/>
    <xf numFmtId="0" fontId="15" fillId="0" borderId="0"/>
    <xf numFmtId="0" fontId="15" fillId="0" borderId="0"/>
    <xf numFmtId="0" fontId="15" fillId="0" borderId="0"/>
    <xf numFmtId="0" fontId="20"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165" fontId="13" fillId="0" borderId="0" applyFont="0" applyFill="0" applyBorder="0" applyAlignment="0" applyProtection="0"/>
    <xf numFmtId="0" fontId="13" fillId="0" borderId="0"/>
    <xf numFmtId="165" fontId="13" fillId="0" borderId="0" applyFont="0" applyFill="0" applyBorder="0" applyAlignment="0" applyProtection="0"/>
    <xf numFmtId="0" fontId="13" fillId="0" borderId="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13" fillId="0" borderId="0"/>
    <xf numFmtId="0" fontId="13" fillId="0" borderId="0"/>
    <xf numFmtId="165" fontId="13" fillId="0" borderId="0" applyFont="0" applyFill="0" applyBorder="0" applyAlignment="0" applyProtection="0"/>
    <xf numFmtId="0" fontId="13" fillId="0" borderId="0"/>
    <xf numFmtId="165" fontId="13" fillId="0" borderId="0" applyFont="0" applyFill="0" applyBorder="0" applyAlignment="0" applyProtection="0"/>
    <xf numFmtId="0" fontId="13" fillId="0" borderId="0"/>
    <xf numFmtId="165" fontId="13" fillId="0" borderId="0" applyFont="0" applyFill="0" applyBorder="0" applyAlignment="0" applyProtection="0"/>
    <xf numFmtId="0" fontId="13" fillId="0" borderId="0"/>
    <xf numFmtId="165" fontId="13" fillId="0" borderId="0" applyFont="0" applyFill="0" applyBorder="0" applyAlignment="0" applyProtection="0"/>
    <xf numFmtId="0" fontId="13" fillId="0" borderId="0"/>
    <xf numFmtId="165" fontId="13" fillId="0" borderId="0" applyFont="0" applyFill="0" applyBorder="0" applyAlignment="0" applyProtection="0"/>
    <xf numFmtId="0" fontId="13" fillId="0" borderId="0"/>
    <xf numFmtId="165" fontId="13" fillId="0" borderId="0" applyFont="0" applyFill="0" applyBorder="0" applyAlignment="0" applyProtection="0"/>
    <xf numFmtId="0" fontId="13"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165" fontId="12" fillId="0" borderId="0" applyFont="0" applyFill="0" applyBorder="0" applyAlignment="0" applyProtection="0"/>
    <xf numFmtId="0" fontId="12" fillId="0" borderId="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4" fontId="12" fillId="0" borderId="0" applyFont="0" applyFill="0" applyBorder="0" applyAlignment="0" applyProtection="0"/>
    <xf numFmtId="0" fontId="20" fillId="0" borderId="0"/>
    <xf numFmtId="0" fontId="20" fillId="0" borderId="0"/>
    <xf numFmtId="165" fontId="12" fillId="0" borderId="0" applyFont="0" applyFill="0" applyBorder="0" applyAlignment="0" applyProtection="0"/>
    <xf numFmtId="0" fontId="12" fillId="0" borderId="0"/>
    <xf numFmtId="165" fontId="12" fillId="0" borderId="0" applyFont="0" applyFill="0" applyBorder="0" applyAlignment="0" applyProtection="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165" fontId="12" fillId="0" borderId="0" applyFont="0" applyFill="0" applyBorder="0" applyAlignment="0" applyProtection="0"/>
    <xf numFmtId="0" fontId="12"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0" fillId="0" borderId="0"/>
    <xf numFmtId="165" fontId="10" fillId="0" borderId="0" applyFont="0" applyFill="0" applyBorder="0" applyAlignment="0" applyProtection="0"/>
    <xf numFmtId="0" fontId="9" fillId="0" borderId="0"/>
    <xf numFmtId="165" fontId="9" fillId="0" borderId="0" applyFont="0" applyFill="0" applyBorder="0" applyAlignment="0" applyProtection="0"/>
    <xf numFmtId="0" fontId="9" fillId="0" borderId="0"/>
    <xf numFmtId="165" fontId="9" fillId="0" borderId="0" applyFont="0" applyFill="0" applyBorder="0" applyAlignment="0" applyProtection="0"/>
    <xf numFmtId="0" fontId="9" fillId="0" borderId="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164" fontId="9" fillId="0" borderId="0" applyFont="0" applyFill="0" applyBorder="0" applyAlignment="0" applyProtection="0"/>
    <xf numFmtId="165" fontId="9" fillId="0" borderId="0" applyFont="0" applyFill="0" applyBorder="0" applyAlignment="0" applyProtection="0"/>
    <xf numFmtId="0" fontId="9" fillId="0" borderId="0"/>
    <xf numFmtId="165" fontId="9" fillId="0" borderId="0" applyFont="0" applyFill="0" applyBorder="0" applyAlignment="0" applyProtection="0"/>
    <xf numFmtId="0" fontId="9" fillId="0" borderId="0"/>
    <xf numFmtId="0" fontId="8" fillId="0" borderId="0"/>
    <xf numFmtId="9" fontId="8" fillId="0" borderId="0" applyFont="0" applyFill="0" applyBorder="0" applyAlignment="0" applyProtection="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0" fontId="6" fillId="0" borderId="0"/>
    <xf numFmtId="0" fontId="6" fillId="0" borderId="0"/>
    <xf numFmtId="0" fontId="6" fillId="0" borderId="0"/>
    <xf numFmtId="0" fontId="6" fillId="0" borderId="0"/>
    <xf numFmtId="164" fontId="6" fillId="0" borderId="0" applyFont="0" applyFill="0" applyBorder="0" applyAlignment="0" applyProtection="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164" fontId="5" fillId="0" borderId="0" applyFont="0" applyFill="0" applyBorder="0" applyAlignment="0" applyProtection="0"/>
    <xf numFmtId="165"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164" fontId="4" fillId="0" borderId="0" applyFont="0" applyFill="0" applyBorder="0" applyAlignment="0" applyProtection="0"/>
    <xf numFmtId="0" fontId="20"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164" fontId="4" fillId="0" borderId="0" applyFont="0" applyFill="0" applyBorder="0" applyAlignment="0" applyProtection="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0" fontId="43" fillId="0" borderId="5" applyBorder="0">
      <alignment horizontal="center" textRotation="90"/>
    </xf>
    <xf numFmtId="0" fontId="44" fillId="0" borderId="0"/>
    <xf numFmtId="0" fontId="4" fillId="0" borderId="0"/>
    <xf numFmtId="9" fontId="18" fillId="0" borderId="0" applyFont="0" applyFill="0" applyBorder="0" applyAlignment="0" applyProtection="0"/>
    <xf numFmtId="0" fontId="18" fillId="0" borderId="0"/>
    <xf numFmtId="0" fontId="18" fillId="0" borderId="0"/>
    <xf numFmtId="43" fontId="18" fillId="0" borderId="0" applyFont="0" applyFill="0" applyBorder="0" applyAlignment="0" applyProtection="0"/>
    <xf numFmtId="165" fontId="4" fillId="0" borderId="0" applyFont="0" applyFill="0" applyBorder="0" applyAlignment="0" applyProtection="0"/>
    <xf numFmtId="0" fontId="4" fillId="0" borderId="0"/>
    <xf numFmtId="9" fontId="18" fillId="0" borderId="0" applyFont="0" applyFill="0" applyBorder="0" applyAlignment="0" applyProtection="0"/>
    <xf numFmtId="165" fontId="4"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18" fillId="0" borderId="0" applyFont="0" applyFill="0" applyBorder="0" applyAlignment="0" applyProtection="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164" fontId="4" fillId="0" borderId="0" applyFont="0" applyFill="0" applyBorder="0" applyAlignment="0" applyProtection="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164" fontId="4" fillId="0" borderId="0" applyFont="0" applyFill="0" applyBorder="0" applyAlignment="0" applyProtection="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0" fontId="20" fillId="0" borderId="0"/>
    <xf numFmtId="0" fontId="45" fillId="0" borderId="0">
      <alignment vertical="top"/>
    </xf>
    <xf numFmtId="0" fontId="46" fillId="9"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46" fillId="12"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12" borderId="0" applyNumberFormat="0" applyBorder="0" applyAlignment="0" applyProtection="0"/>
    <xf numFmtId="0" fontId="46" fillId="15" borderId="0" applyNumberFormat="0" applyBorder="0" applyAlignment="0" applyProtection="0"/>
    <xf numFmtId="0" fontId="46" fillId="18" borderId="0" applyNumberFormat="0" applyBorder="0" applyAlignment="0" applyProtection="0"/>
    <xf numFmtId="0" fontId="47" fillId="19" borderId="0" applyNumberFormat="0" applyBorder="0" applyAlignment="0" applyProtection="0"/>
    <xf numFmtId="0" fontId="47" fillId="16" borderId="0" applyNumberFormat="0" applyBorder="0" applyAlignment="0" applyProtection="0"/>
    <xf numFmtId="0" fontId="47" fillId="17"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7" fillId="25"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26" borderId="0" applyNumberFormat="0" applyBorder="0" applyAlignment="0" applyProtection="0"/>
    <xf numFmtId="0" fontId="48" fillId="0" borderId="0" applyNumberFormat="0" applyFill="0" applyBorder="0" applyAlignment="0" applyProtection="0"/>
    <xf numFmtId="0" fontId="49" fillId="27" borderId="18" applyNumberFormat="0" applyAlignment="0" applyProtection="0"/>
    <xf numFmtId="0" fontId="50" fillId="0" borderId="19" applyNumberFormat="0" applyFill="0" applyAlignment="0" applyProtection="0"/>
    <xf numFmtId="0" fontId="51" fillId="14" borderId="18" applyNumberFormat="0" applyAlignment="0" applyProtection="0"/>
    <xf numFmtId="0" fontId="52" fillId="10" borderId="0" applyNumberFormat="0" applyBorder="0" applyAlignment="0" applyProtection="0"/>
    <xf numFmtId="165" fontId="22" fillId="0" borderId="0" applyFont="0" applyFill="0" applyBorder="0" applyAlignment="0" applyProtection="0">
      <alignment vertical="top"/>
    </xf>
    <xf numFmtId="0" fontId="53" fillId="28" borderId="0" applyNumberFormat="0" applyBorder="0" applyAlignment="0" applyProtection="0"/>
    <xf numFmtId="0" fontId="25" fillId="0" borderId="0"/>
    <xf numFmtId="0" fontId="54" fillId="11" borderId="0" applyNumberFormat="0" applyBorder="0" applyAlignment="0" applyProtection="0"/>
    <xf numFmtId="0" fontId="55" fillId="27" borderId="20" applyNumberFormat="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21" applyNumberFormat="0" applyFill="0" applyAlignment="0" applyProtection="0"/>
    <xf numFmtId="0" fontId="59" fillId="0" borderId="22" applyNumberFormat="0" applyFill="0" applyAlignment="0" applyProtection="0"/>
    <xf numFmtId="0" fontId="60" fillId="0" borderId="23" applyNumberFormat="0" applyFill="0" applyAlignment="0" applyProtection="0"/>
    <xf numFmtId="0" fontId="60" fillId="0" borderId="0" applyNumberFormat="0" applyFill="0" applyBorder="0" applyAlignment="0" applyProtection="0"/>
    <xf numFmtId="0" fontId="61" fillId="0" borderId="24" applyNumberFormat="0" applyFill="0" applyAlignment="0" applyProtection="0"/>
    <xf numFmtId="0" fontId="62" fillId="29" borderId="25" applyNumberFormat="0" applyAlignment="0" applyProtection="0"/>
    <xf numFmtId="0" fontId="4" fillId="0" borderId="0"/>
    <xf numFmtId="165" fontId="4" fillId="0" borderId="0" applyFont="0" applyFill="0" applyBorder="0" applyAlignment="0" applyProtection="0"/>
    <xf numFmtId="0" fontId="23" fillId="0" borderId="26"/>
    <xf numFmtId="0" fontId="23" fillId="0" borderId="27">
      <alignment vertical="top"/>
    </xf>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164" fontId="4" fillId="0" borderId="0" applyFont="0" applyFill="0" applyBorder="0" applyAlignment="0" applyProtection="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68" fillId="0" borderId="0" applyNumberFormat="0" applyFill="0" applyBorder="0" applyAlignment="0" applyProtection="0"/>
    <xf numFmtId="0" fontId="22" fillId="0" borderId="0">
      <alignment vertical="top"/>
    </xf>
  </cellStyleXfs>
  <cellXfs count="796">
    <xf numFmtId="0" fontId="0" fillId="0" borderId="0" xfId="0"/>
    <xf numFmtId="0" fontId="28" fillId="3" borderId="0" xfId="0" applyNumberFormat="1" applyFont="1" applyFill="1" applyAlignment="1">
      <alignment horizontal="left"/>
    </xf>
    <xf numFmtId="0" fontId="28" fillId="3" borderId="0" xfId="0" applyNumberFormat="1" applyFont="1" applyFill="1" applyAlignment="1">
      <alignment horizontal="center"/>
    </xf>
    <xf numFmtId="175" fontId="28" fillId="3" borderId="0" xfId="4" applyNumberFormat="1" applyFont="1" applyFill="1" applyAlignment="1">
      <alignment horizontal="center"/>
    </xf>
    <xf numFmtId="175" fontId="28" fillId="3" borderId="0" xfId="4" applyNumberFormat="1" applyFont="1" applyFill="1"/>
    <xf numFmtId="0" fontId="28" fillId="3" borderId="14" xfId="0" applyNumberFormat="1" applyFont="1" applyFill="1" applyBorder="1" applyAlignment="1">
      <alignment horizontal="center"/>
    </xf>
    <xf numFmtId="0" fontId="28" fillId="3" borderId="5" xfId="0" applyNumberFormat="1" applyFont="1" applyFill="1" applyBorder="1" applyAlignment="1">
      <alignment horizontal="center"/>
    </xf>
    <xf numFmtId="175" fontId="28" fillId="3" borderId="5" xfId="4" applyNumberFormat="1" applyFont="1" applyFill="1" applyBorder="1"/>
    <xf numFmtId="175" fontId="28" fillId="3" borderId="14" xfId="4" applyNumberFormat="1" applyFont="1" applyFill="1" applyBorder="1"/>
    <xf numFmtId="3" fontId="28" fillId="3" borderId="0" xfId="0" applyNumberFormat="1" applyFont="1" applyFill="1"/>
    <xf numFmtId="0" fontId="28" fillId="3" borderId="0" xfId="0" applyFont="1" applyFill="1"/>
    <xf numFmtId="175" fontId="28" fillId="3" borderId="0" xfId="4" applyNumberFormat="1" applyFont="1" applyFill="1" applyBorder="1"/>
    <xf numFmtId="43" fontId="28" fillId="3" borderId="0" xfId="4" applyFont="1" applyFill="1"/>
    <xf numFmtId="0" fontId="28" fillId="3" borderId="0" xfId="0" applyFont="1" applyFill="1" applyAlignment="1">
      <alignment vertical="top" wrapText="1"/>
    </xf>
    <xf numFmtId="43" fontId="28" fillId="3" borderId="0" xfId="0" applyNumberFormat="1" applyFont="1" applyFill="1"/>
    <xf numFmtId="175" fontId="28" fillId="3" borderId="3" xfId="4" applyNumberFormat="1" applyFont="1" applyFill="1" applyBorder="1"/>
    <xf numFmtId="43" fontId="28" fillId="3" borderId="14" xfId="4" applyFont="1" applyFill="1" applyBorder="1"/>
    <xf numFmtId="0" fontId="28" fillId="3" borderId="0" xfId="0" applyFont="1" applyFill="1" applyAlignment="1">
      <alignment horizontal="center"/>
    </xf>
    <xf numFmtId="166" fontId="28" fillId="3" borderId="17" xfId="0" applyNumberFormat="1" applyFont="1" applyFill="1" applyBorder="1" applyAlignment="1">
      <alignment horizontal="center"/>
    </xf>
    <xf numFmtId="0" fontId="30" fillId="3" borderId="0" xfId="0" applyNumberFormat="1" applyFont="1" applyFill="1" applyAlignment="1">
      <alignment horizontal="left"/>
    </xf>
    <xf numFmtId="0" fontId="30" fillId="3" borderId="0" xfId="0" applyNumberFormat="1" applyFont="1" applyFill="1" applyAlignment="1">
      <alignment horizontal="center"/>
    </xf>
    <xf numFmtId="0" fontId="29" fillId="3" borderId="0" xfId="0" applyFont="1" applyFill="1"/>
    <xf numFmtId="4" fontId="28" fillId="3" borderId="0" xfId="0" applyNumberFormat="1" applyFont="1" applyFill="1"/>
    <xf numFmtId="166" fontId="28" fillId="3" borderId="0" xfId="0" applyNumberFormat="1" applyFont="1" applyFill="1" applyAlignment="1">
      <alignment horizontal="left"/>
    </xf>
    <xf numFmtId="0" fontId="28" fillId="3" borderId="14" xfId="0" applyFont="1" applyFill="1" applyBorder="1"/>
    <xf numFmtId="175" fontId="28" fillId="3" borderId="11" xfId="4" applyNumberFormat="1" applyFont="1" applyFill="1" applyBorder="1"/>
    <xf numFmtId="3" fontId="28" fillId="3" borderId="5" xfId="0" applyNumberFormat="1" applyFont="1" applyFill="1" applyBorder="1"/>
    <xf numFmtId="43" fontId="28" fillId="3" borderId="5" xfId="4" applyFont="1" applyFill="1" applyBorder="1"/>
    <xf numFmtId="175" fontId="28" fillId="3" borderId="0" xfId="0" applyNumberFormat="1" applyFont="1" applyFill="1"/>
    <xf numFmtId="175" fontId="28" fillId="4" borderId="14" xfId="4" applyNumberFormat="1" applyFont="1" applyFill="1" applyBorder="1"/>
    <xf numFmtId="175" fontId="28" fillId="3" borderId="9" xfId="4" applyNumberFormat="1" applyFont="1" applyFill="1" applyBorder="1"/>
    <xf numFmtId="3" fontId="28" fillId="3" borderId="0" xfId="11" applyNumberFormat="1" applyFont="1" applyFill="1" applyAlignment="1">
      <alignment vertical="center"/>
    </xf>
    <xf numFmtId="0" fontId="28" fillId="3" borderId="0" xfId="11" applyFont="1" applyFill="1" applyAlignment="1">
      <alignment vertical="center"/>
    </xf>
    <xf numFmtId="175" fontId="28" fillId="3" borderId="0" xfId="4" applyNumberFormat="1" applyFont="1" applyFill="1" applyAlignment="1">
      <alignment vertical="center"/>
    </xf>
    <xf numFmtId="0" fontId="28" fillId="3" borderId="0" xfId="0" applyFont="1" applyFill="1" applyBorder="1"/>
    <xf numFmtId="0" fontId="28" fillId="3" borderId="4" xfId="0" applyFont="1" applyFill="1" applyBorder="1" applyAlignment="1">
      <alignment horizontal="center"/>
    </xf>
    <xf numFmtId="0" fontId="28" fillId="3" borderId="0" xfId="0" quotePrefix="1" applyFont="1" applyFill="1"/>
    <xf numFmtId="0" fontId="28" fillId="3" borderId="5" xfId="0" applyFont="1" applyFill="1" applyBorder="1" applyAlignment="1">
      <alignment horizontal="center"/>
    </xf>
    <xf numFmtId="0" fontId="28" fillId="3" borderId="3" xfId="0" applyFont="1" applyFill="1" applyBorder="1" applyAlignment="1">
      <alignment horizontal="center"/>
    </xf>
    <xf numFmtId="0" fontId="29" fillId="3" borderId="0" xfId="11" applyFont="1" applyFill="1"/>
    <xf numFmtId="175" fontId="28" fillId="3" borderId="4" xfId="4" applyNumberFormat="1" applyFont="1" applyFill="1" applyBorder="1"/>
    <xf numFmtId="175" fontId="28" fillId="4" borderId="5" xfId="4" applyNumberFormat="1" applyFont="1" applyFill="1" applyBorder="1"/>
    <xf numFmtId="0" fontId="28" fillId="3" borderId="0" xfId="11" applyFont="1" applyFill="1" applyBorder="1" applyAlignment="1">
      <alignment vertical="center"/>
    </xf>
    <xf numFmtId="10" fontId="28" fillId="3" borderId="0" xfId="12" applyNumberFormat="1" applyFont="1" applyFill="1" applyAlignment="1">
      <alignment vertical="center"/>
    </xf>
    <xf numFmtId="10" fontId="28" fillId="3" borderId="0" xfId="12" applyNumberFormat="1" applyFont="1" applyFill="1"/>
    <xf numFmtId="4" fontId="28" fillId="3" borderId="14" xfId="0" applyNumberFormat="1" applyFont="1" applyFill="1" applyBorder="1"/>
    <xf numFmtId="10" fontId="28" fillId="3" borderId="14" xfId="12" applyNumberFormat="1" applyFont="1" applyFill="1" applyBorder="1"/>
    <xf numFmtId="0" fontId="27" fillId="5" borderId="14" xfId="0" applyFont="1" applyFill="1" applyBorder="1" applyAlignment="1">
      <alignment horizontal="center" vertical="center" wrapText="1"/>
    </xf>
    <xf numFmtId="169" fontId="28" fillId="3" borderId="0" xfId="11" applyNumberFormat="1" applyFont="1" applyFill="1" applyAlignment="1">
      <alignment vertical="center"/>
    </xf>
    <xf numFmtId="175" fontId="28" fillId="3" borderId="15" xfId="4" applyNumberFormat="1" applyFont="1" applyFill="1" applyBorder="1"/>
    <xf numFmtId="175" fontId="28" fillId="3" borderId="16" xfId="4" applyNumberFormat="1" applyFont="1" applyFill="1" applyBorder="1"/>
    <xf numFmtId="170" fontId="28" fillId="3" borderId="0" xfId="0" applyNumberFormat="1" applyFont="1" applyFill="1"/>
    <xf numFmtId="0" fontId="28" fillId="3" borderId="0" xfId="0" applyFont="1" applyFill="1" applyAlignment="1">
      <alignment vertical="top"/>
    </xf>
    <xf numFmtId="3" fontId="28" fillId="3" borderId="0" xfId="0" applyNumberFormat="1" applyFont="1" applyFill="1" applyAlignment="1">
      <alignment vertical="top"/>
    </xf>
    <xf numFmtId="3" fontId="28" fillId="3" borderId="0" xfId="0" applyNumberFormat="1" applyFont="1" applyFill="1" applyBorder="1" applyAlignment="1">
      <alignment vertical="top" wrapText="1"/>
    </xf>
    <xf numFmtId="0" fontId="28" fillId="3" borderId="14" xfId="0" applyFont="1" applyFill="1" applyBorder="1" applyAlignment="1">
      <alignment horizontal="center"/>
    </xf>
    <xf numFmtId="173" fontId="28" fillId="3" borderId="0" xfId="0" applyNumberFormat="1" applyFont="1" applyFill="1" applyAlignment="1">
      <alignment vertical="top"/>
    </xf>
    <xf numFmtId="175" fontId="28" fillId="3" borderId="12" xfId="4" applyNumberFormat="1" applyFont="1" applyFill="1" applyBorder="1"/>
    <xf numFmtId="169" fontId="28" fillId="3" borderId="0" xfId="0" applyNumberFormat="1" applyFont="1" applyFill="1"/>
    <xf numFmtId="3" fontId="28" fillId="3" borderId="14" xfId="12" applyNumberFormat="1" applyFont="1" applyFill="1" applyBorder="1"/>
    <xf numFmtId="43" fontId="28" fillId="3" borderId="14" xfId="4" applyNumberFormat="1" applyFont="1" applyFill="1" applyBorder="1"/>
    <xf numFmtId="175" fontId="28" fillId="4" borderId="4" xfId="4" applyNumberFormat="1" applyFont="1" applyFill="1" applyBorder="1"/>
    <xf numFmtId="175" fontId="28" fillId="4" borderId="3" xfId="4" applyNumberFormat="1" applyFont="1" applyFill="1" applyBorder="1"/>
    <xf numFmtId="3" fontId="27" fillId="5" borderId="4" xfId="0" applyNumberFormat="1" applyFont="1" applyFill="1" applyBorder="1"/>
    <xf numFmtId="0" fontId="27" fillId="5" borderId="0" xfId="0" applyFont="1" applyFill="1"/>
    <xf numFmtId="0" fontId="28" fillId="3" borderId="8" xfId="0" applyFont="1" applyFill="1" applyBorder="1" applyAlignment="1">
      <alignment horizontal="center"/>
    </xf>
    <xf numFmtId="0" fontId="27" fillId="5" borderId="3" xfId="0" applyFont="1" applyFill="1" applyBorder="1" applyAlignment="1">
      <alignment horizontal="center"/>
    </xf>
    <xf numFmtId="175" fontId="28" fillId="3" borderId="13" xfId="4" applyNumberFormat="1" applyFont="1" applyFill="1" applyBorder="1"/>
    <xf numFmtId="2" fontId="28" fillId="3" borderId="0" xfId="0" applyNumberFormat="1" applyFont="1" applyFill="1"/>
    <xf numFmtId="175" fontId="28" fillId="4" borderId="11" xfId="4" applyNumberFormat="1" applyFont="1" applyFill="1" applyBorder="1"/>
    <xf numFmtId="171" fontId="28" fillId="3" borderId="0" xfId="0" applyNumberFormat="1" applyFont="1" applyFill="1"/>
    <xf numFmtId="166" fontId="28" fillId="3" borderId="14" xfId="0" applyNumberFormat="1" applyFont="1" applyFill="1" applyBorder="1" applyAlignment="1">
      <alignment horizontal="center"/>
    </xf>
    <xf numFmtId="175" fontId="28" fillId="3" borderId="7" xfId="4" applyNumberFormat="1" applyFont="1" applyFill="1" applyBorder="1"/>
    <xf numFmtId="0" fontId="27" fillId="5" borderId="17" xfId="0" applyFont="1" applyFill="1" applyBorder="1"/>
    <xf numFmtId="0" fontId="27" fillId="5" borderId="6" xfId="0" applyFont="1" applyFill="1" applyBorder="1"/>
    <xf numFmtId="0" fontId="27" fillId="5" borderId="14" xfId="0" applyFont="1" applyFill="1" applyBorder="1" applyAlignment="1">
      <alignment horizontal="center"/>
    </xf>
    <xf numFmtId="43" fontId="28" fillId="3" borderId="0" xfId="4" applyFont="1" applyFill="1" applyBorder="1" applyAlignment="1">
      <alignment vertical="center"/>
    </xf>
    <xf numFmtId="43" fontId="28" fillId="3" borderId="0" xfId="4" applyFont="1" applyFill="1" applyAlignment="1">
      <alignment vertical="center"/>
    </xf>
    <xf numFmtId="172" fontId="28" fillId="3" borderId="0" xfId="0" applyNumberFormat="1" applyFont="1" applyFill="1"/>
    <xf numFmtId="167" fontId="28" fillId="3" borderId="12" xfId="0" applyNumberFormat="1" applyFont="1" applyFill="1" applyBorder="1"/>
    <xf numFmtId="167" fontId="28" fillId="3" borderId="11" xfId="0" applyNumberFormat="1" applyFont="1" applyFill="1" applyBorder="1"/>
    <xf numFmtId="167" fontId="28" fillId="3" borderId="13" xfId="0" applyNumberFormat="1" applyFont="1" applyFill="1" applyBorder="1"/>
    <xf numFmtId="0" fontId="32" fillId="3" borderId="0" xfId="0" applyFont="1" applyFill="1"/>
    <xf numFmtId="0" fontId="33" fillId="3" borderId="5" xfId="0" applyFont="1" applyFill="1" applyBorder="1" applyAlignment="1">
      <alignment horizontal="center"/>
    </xf>
    <xf numFmtId="0" fontId="33" fillId="3" borderId="0" xfId="0" applyFont="1" applyFill="1"/>
    <xf numFmtId="0" fontId="28" fillId="7" borderId="0" xfId="0" applyFont="1" applyFill="1"/>
    <xf numFmtId="4" fontId="28" fillId="3" borderId="0" xfId="0" applyNumberFormat="1" applyFont="1" applyFill="1" applyBorder="1"/>
    <xf numFmtId="175" fontId="28" fillId="7" borderId="0" xfId="4" applyNumberFormat="1" applyFont="1" applyFill="1"/>
    <xf numFmtId="0" fontId="34" fillId="7" borderId="0" xfId="0" applyFont="1" applyFill="1"/>
    <xf numFmtId="175" fontId="34" fillId="7" borderId="0" xfId="4" applyNumberFormat="1" applyFont="1" applyFill="1"/>
    <xf numFmtId="175" fontId="27" fillId="5" borderId="0" xfId="4" applyNumberFormat="1" applyFont="1" applyFill="1"/>
    <xf numFmtId="0" fontId="34" fillId="7" borderId="0" xfId="0" applyFont="1" applyFill="1" applyAlignment="1">
      <alignment horizontal="right"/>
    </xf>
    <xf numFmtId="169" fontId="31" fillId="3" borderId="0" xfId="11" applyNumberFormat="1" applyFont="1" applyFill="1" applyBorder="1" applyAlignment="1">
      <alignment vertical="center"/>
    </xf>
    <xf numFmtId="176" fontId="28" fillId="3" borderId="0" xfId="14" applyNumberFormat="1" applyFont="1" applyFill="1" applyBorder="1" applyAlignment="1">
      <alignment vertical="center"/>
    </xf>
    <xf numFmtId="0" fontId="29" fillId="3" borderId="0" xfId="11" applyFont="1" applyFill="1" applyBorder="1"/>
    <xf numFmtId="176" fontId="29" fillId="3" borderId="0" xfId="14" applyNumberFormat="1" applyFont="1" applyFill="1" applyBorder="1"/>
    <xf numFmtId="0" fontId="28" fillId="3" borderId="0" xfId="15" applyFont="1" applyFill="1"/>
    <xf numFmtId="0" fontId="28" fillId="3" borderId="0" xfId="15" applyFont="1" applyFill="1" applyBorder="1"/>
    <xf numFmtId="176" fontId="28" fillId="3" borderId="0" xfId="14" applyNumberFormat="1" applyFont="1" applyFill="1" applyBorder="1"/>
    <xf numFmtId="165" fontId="28" fillId="3" borderId="5" xfId="14" applyFont="1" applyFill="1" applyBorder="1"/>
    <xf numFmtId="176" fontId="17" fillId="3" borderId="0" xfId="14" applyNumberFormat="1" applyFont="1" applyFill="1" applyBorder="1" applyAlignment="1">
      <alignment horizontal="left"/>
    </xf>
    <xf numFmtId="3" fontId="17" fillId="3" borderId="0" xfId="15" applyNumberFormat="1" applyFont="1" applyFill="1" applyBorder="1" applyAlignment="1">
      <alignment horizontal="right"/>
    </xf>
    <xf numFmtId="176" fontId="28" fillId="3" borderId="0" xfId="15" applyNumberFormat="1" applyFont="1" applyFill="1" applyBorder="1"/>
    <xf numFmtId="3" fontId="28" fillId="3" borderId="0" xfId="15" applyNumberFormat="1" applyFont="1" applyFill="1"/>
    <xf numFmtId="0" fontId="27" fillId="3" borderId="0" xfId="15" applyFont="1" applyFill="1" applyBorder="1" applyAlignment="1">
      <alignment vertical="center"/>
    </xf>
    <xf numFmtId="176" fontId="27" fillId="3" borderId="0" xfId="14" applyNumberFormat="1" applyFont="1" applyFill="1" applyBorder="1" applyAlignment="1">
      <alignment horizontal="center" vertical="center" wrapText="1"/>
    </xf>
    <xf numFmtId="176" fontId="27" fillId="3" borderId="0" xfId="14" applyNumberFormat="1" applyFont="1" applyFill="1" applyBorder="1" applyAlignment="1">
      <alignment vertical="center"/>
    </xf>
    <xf numFmtId="0" fontId="27" fillId="3" borderId="0" xfId="15" applyFont="1" applyFill="1" applyAlignment="1">
      <alignment vertical="center"/>
    </xf>
    <xf numFmtId="175" fontId="28" fillId="3" borderId="14" xfId="4" applyNumberFormat="1" applyFont="1" applyFill="1" applyBorder="1" applyAlignment="1">
      <alignment horizontal="center"/>
    </xf>
    <xf numFmtId="0" fontId="38" fillId="5" borderId="0" xfId="0" applyFont="1" applyFill="1"/>
    <xf numFmtId="175" fontId="28" fillId="3" borderId="0" xfId="15" applyNumberFormat="1" applyFont="1" applyFill="1"/>
    <xf numFmtId="175" fontId="28" fillId="3" borderId="3" xfId="4" applyNumberFormat="1" applyFont="1" applyFill="1" applyBorder="1" applyAlignment="1">
      <alignment horizontal="center"/>
    </xf>
    <xf numFmtId="0" fontId="37" fillId="3" borderId="0" xfId="0" applyFont="1" applyFill="1"/>
    <xf numFmtId="175" fontId="37" fillId="3" borderId="0" xfId="4" applyNumberFormat="1" applyFont="1" applyFill="1"/>
    <xf numFmtId="0" fontId="37" fillId="7" borderId="0" xfId="0" applyFont="1" applyFill="1"/>
    <xf numFmtId="43" fontId="37" fillId="3" borderId="0" xfId="4" applyFont="1" applyFill="1"/>
    <xf numFmtId="0" fontId="39" fillId="3" borderId="0" xfId="0" applyFont="1" applyFill="1"/>
    <xf numFmtId="0" fontId="28" fillId="0" borderId="0" xfId="0" applyFont="1" applyFill="1"/>
    <xf numFmtId="3" fontId="28" fillId="3" borderId="14" xfId="0" applyNumberFormat="1" applyFont="1" applyFill="1" applyBorder="1"/>
    <xf numFmtId="43" fontId="27" fillId="5" borderId="14" xfId="4" applyNumberFormat="1" applyFont="1" applyFill="1" applyBorder="1"/>
    <xf numFmtId="10" fontId="28" fillId="3" borderId="0" xfId="0" applyNumberFormat="1" applyFont="1" applyFill="1" applyBorder="1"/>
    <xf numFmtId="43" fontId="28" fillId="6" borderId="14" xfId="4" applyNumberFormat="1" applyFont="1" applyFill="1" applyBorder="1"/>
    <xf numFmtId="43" fontId="28" fillId="3" borderId="0" xfId="4" applyNumberFormat="1" applyFont="1" applyFill="1"/>
    <xf numFmtId="0" fontId="28" fillId="3" borderId="0" xfId="0" applyFont="1" applyFill="1" applyAlignment="1">
      <alignment vertical="center"/>
    </xf>
    <xf numFmtId="175" fontId="28" fillId="3" borderId="0" xfId="4" applyNumberFormat="1" applyFont="1" applyFill="1" applyBorder="1" applyAlignment="1">
      <alignment vertical="center"/>
    </xf>
    <xf numFmtId="0" fontId="28" fillId="3" borderId="0" xfId="0" applyFont="1" applyFill="1" applyBorder="1" applyAlignment="1">
      <alignment horizontal="left"/>
    </xf>
    <xf numFmtId="3" fontId="28" fillId="3" borderId="0" xfId="0" applyNumberFormat="1" applyFont="1" applyFill="1" applyBorder="1"/>
    <xf numFmtId="0" fontId="28" fillId="3" borderId="9" xfId="0" applyFont="1" applyFill="1" applyBorder="1" applyAlignment="1">
      <alignment horizontal="center"/>
    </xf>
    <xf numFmtId="3" fontId="28" fillId="3" borderId="4" xfId="0" applyNumberFormat="1" applyFont="1" applyFill="1" applyBorder="1"/>
    <xf numFmtId="166" fontId="28" fillId="3" borderId="6" xfId="0" applyNumberFormat="1" applyFont="1" applyFill="1" applyBorder="1" applyAlignment="1">
      <alignment horizontal="center"/>
    </xf>
    <xf numFmtId="0" fontId="28" fillId="3" borderId="4" xfId="15" applyFont="1" applyFill="1" applyBorder="1" applyAlignment="1">
      <alignment horizontal="center"/>
    </xf>
    <xf numFmtId="0" fontId="28" fillId="3" borderId="5" xfId="15" applyFont="1" applyFill="1" applyBorder="1" applyAlignment="1">
      <alignment horizontal="center"/>
    </xf>
    <xf numFmtId="0" fontId="28" fillId="3" borderId="3" xfId="15" applyFont="1" applyFill="1" applyBorder="1" applyAlignment="1">
      <alignment horizontal="center"/>
    </xf>
    <xf numFmtId="3" fontId="33" fillId="3" borderId="0" xfId="0" applyNumberFormat="1" applyFont="1" applyFill="1"/>
    <xf numFmtId="175" fontId="37" fillId="3" borderId="0" xfId="4" applyNumberFormat="1" applyFont="1" applyFill="1" applyAlignment="1">
      <alignment horizontal="right"/>
    </xf>
    <xf numFmtId="43" fontId="28" fillId="3" borderId="0" xfId="4" applyFont="1" applyFill="1" applyAlignment="1">
      <alignment horizontal="center"/>
    </xf>
    <xf numFmtId="175" fontId="37" fillId="7" borderId="0" xfId="0" applyNumberFormat="1" applyFont="1" applyFill="1"/>
    <xf numFmtId="0" fontId="28" fillId="3" borderId="9" xfId="0" applyFont="1" applyFill="1" applyBorder="1" applyAlignment="1">
      <alignment horizontal="left"/>
    </xf>
    <xf numFmtId="0" fontId="28" fillId="3" borderId="10" xfId="0" applyFont="1" applyFill="1" applyBorder="1" applyAlignment="1">
      <alignment horizontal="left"/>
    </xf>
    <xf numFmtId="0" fontId="28" fillId="3" borderId="8" xfId="0" applyFont="1" applyFill="1" applyBorder="1" applyAlignment="1">
      <alignment horizontal="left"/>
    </xf>
    <xf numFmtId="10" fontId="28" fillId="3" borderId="9" xfId="12" applyNumberFormat="1" applyFont="1" applyFill="1" applyBorder="1"/>
    <xf numFmtId="43" fontId="28" fillId="3" borderId="0" xfId="4" applyFont="1" applyFill="1"/>
    <xf numFmtId="0" fontId="28" fillId="3" borderId="3" xfId="0" applyFont="1" applyFill="1" applyBorder="1"/>
    <xf numFmtId="2" fontId="27" fillId="5" borderId="14" xfId="0" applyNumberFormat="1" applyFont="1" applyFill="1" applyBorder="1" applyAlignment="1">
      <alignment horizontal="center" vertical="top" wrapText="1"/>
    </xf>
    <xf numFmtId="175" fontId="28" fillId="3" borderId="11" xfId="4" applyNumberFormat="1" applyFont="1" applyFill="1" applyBorder="1"/>
    <xf numFmtId="164" fontId="28" fillId="3" borderId="0" xfId="0" applyNumberFormat="1" applyFont="1" applyFill="1"/>
    <xf numFmtId="0" fontId="28" fillId="3" borderId="0" xfId="0" applyFont="1" applyFill="1"/>
    <xf numFmtId="4" fontId="28" fillId="3" borderId="0" xfId="0" applyNumberFormat="1" applyFont="1" applyFill="1"/>
    <xf numFmtId="169" fontId="28" fillId="3" borderId="0" xfId="11" applyNumberFormat="1" applyFont="1" applyFill="1" applyAlignment="1">
      <alignment vertical="center"/>
    </xf>
    <xf numFmtId="177" fontId="28" fillId="3" borderId="0" xfId="4" applyNumberFormat="1" applyFont="1" applyFill="1" applyBorder="1"/>
    <xf numFmtId="175" fontId="28" fillId="3" borderId="0" xfId="4" applyNumberFormat="1" applyFont="1" applyFill="1" applyBorder="1"/>
    <xf numFmtId="175" fontId="28" fillId="3" borderId="3" xfId="4" applyNumberFormat="1" applyFont="1" applyFill="1" applyBorder="1"/>
    <xf numFmtId="175" fontId="28" fillId="3" borderId="0" xfId="0" applyNumberFormat="1" applyFont="1" applyFill="1"/>
    <xf numFmtId="175" fontId="37" fillId="7" borderId="0" xfId="0" applyNumberFormat="1" applyFont="1" applyFill="1"/>
    <xf numFmtId="43" fontId="37" fillId="7" borderId="0" xfId="4" applyFont="1" applyFill="1"/>
    <xf numFmtId="43" fontId="28" fillId="3" borderId="0" xfId="15" applyNumberFormat="1" applyFont="1" applyFill="1"/>
    <xf numFmtId="176" fontId="7" fillId="3" borderId="0" xfId="14" applyNumberFormat="1" applyFont="1" applyFill="1" applyBorder="1" applyAlignment="1">
      <alignment horizontal="left"/>
    </xf>
    <xf numFmtId="164" fontId="17" fillId="3" borderId="0" xfId="14" applyNumberFormat="1" applyFont="1" applyFill="1" applyBorder="1" applyAlignment="1">
      <alignment horizontal="left"/>
    </xf>
    <xf numFmtId="175" fontId="28" fillId="3" borderId="0" xfId="4" applyNumberFormat="1" applyFont="1" applyFill="1" applyBorder="1"/>
    <xf numFmtId="43" fontId="28" fillId="3" borderId="0" xfId="4" applyFont="1" applyFill="1"/>
    <xf numFmtId="43" fontId="28" fillId="3" borderId="5" xfId="4" applyFont="1" applyFill="1" applyBorder="1"/>
    <xf numFmtId="43" fontId="28" fillId="3" borderId="0" xfId="4" applyFont="1" applyFill="1" applyBorder="1"/>
    <xf numFmtId="43" fontId="28" fillId="3" borderId="9" xfId="4" applyFont="1" applyFill="1" applyBorder="1"/>
    <xf numFmtId="43" fontId="28" fillId="3" borderId="8" xfId="4" applyFont="1" applyFill="1" applyBorder="1"/>
    <xf numFmtId="43" fontId="28" fillId="3" borderId="10" xfId="4" applyFont="1" applyFill="1" applyBorder="1"/>
    <xf numFmtId="0" fontId="31" fillId="7" borderId="0" xfId="0" applyFont="1" applyFill="1" applyAlignment="1">
      <alignment vertical="center" wrapText="1"/>
    </xf>
    <xf numFmtId="9" fontId="27" fillId="5" borderId="14" xfId="0" applyNumberFormat="1" applyFont="1" applyFill="1" applyBorder="1" applyAlignment="1">
      <alignment horizontal="center"/>
    </xf>
    <xf numFmtId="0" fontId="28" fillId="30" borderId="0" xfId="0" applyFont="1" applyFill="1" applyBorder="1" applyAlignment="1">
      <alignment horizontal="left"/>
    </xf>
    <xf numFmtId="0" fontId="39" fillId="3" borderId="0" xfId="0" applyFont="1" applyFill="1" applyAlignment="1">
      <alignment wrapText="1"/>
    </xf>
    <xf numFmtId="0" fontId="37" fillId="3" borderId="0" xfId="0" applyFont="1" applyFill="1" applyAlignment="1">
      <alignment wrapText="1"/>
    </xf>
    <xf numFmtId="0" fontId="39" fillId="2" borderId="28" xfId="0" applyFont="1" applyFill="1" applyBorder="1" applyAlignment="1">
      <alignment horizontal="center" vertical="center" wrapText="1"/>
    </xf>
    <xf numFmtId="0" fontId="37" fillId="2" borderId="28" xfId="0" applyFont="1" applyFill="1" applyBorder="1" applyAlignment="1">
      <alignment horizontal="center" vertical="center" wrapText="1"/>
    </xf>
    <xf numFmtId="0" fontId="37" fillId="2" borderId="30" xfId="0" applyFont="1" applyFill="1" applyBorder="1"/>
    <xf numFmtId="0" fontId="66" fillId="3" borderId="0" xfId="0" applyFont="1" applyFill="1" applyAlignment="1">
      <alignment horizontal="right"/>
    </xf>
    <xf numFmtId="175" fontId="30" fillId="3" borderId="0" xfId="4" applyNumberFormat="1" applyFont="1" applyFill="1" applyAlignment="1">
      <alignment vertical="center"/>
    </xf>
    <xf numFmtId="175" fontId="33" fillId="3" borderId="0" xfId="4" applyNumberFormat="1" applyFont="1" applyFill="1"/>
    <xf numFmtId="175" fontId="33" fillId="3" borderId="0" xfId="4" applyNumberFormat="1" applyFont="1" applyFill="1" applyBorder="1"/>
    <xf numFmtId="175" fontId="0" fillId="3" borderId="0" xfId="4" applyNumberFormat="1" applyFont="1" applyFill="1"/>
    <xf numFmtId="0" fontId="0" fillId="3" borderId="0" xfId="0" applyFill="1"/>
    <xf numFmtId="3" fontId="28" fillId="3" borderId="0" xfId="15" applyNumberFormat="1" applyFont="1" applyFill="1" applyBorder="1"/>
    <xf numFmtId="176" fontId="64" fillId="3" borderId="0" xfId="4" applyNumberFormat="1" applyFont="1" applyFill="1"/>
    <xf numFmtId="0" fontId="17" fillId="3" borderId="0" xfId="15" applyNumberFormat="1" applyFont="1" applyFill="1" applyBorder="1" applyAlignment="1">
      <alignment horizontal="right"/>
    </xf>
    <xf numFmtId="0" fontId="18" fillId="3" borderId="0" xfId="260" applyFill="1"/>
    <xf numFmtId="0" fontId="18" fillId="3" borderId="0" xfId="260" applyFill="1" applyAlignment="1">
      <alignment vertical="center"/>
    </xf>
    <xf numFmtId="0" fontId="18" fillId="3" borderId="0" xfId="260" applyFill="1" applyAlignment="1">
      <alignment horizontal="center" vertical="center"/>
    </xf>
    <xf numFmtId="0" fontId="71" fillId="7" borderId="0" xfId="0" applyFont="1" applyFill="1"/>
    <xf numFmtId="0" fontId="71" fillId="3" borderId="0" xfId="0" applyNumberFormat="1" applyFont="1" applyFill="1" applyAlignment="1">
      <alignment horizontal="left"/>
    </xf>
    <xf numFmtId="1" fontId="71" fillId="3" borderId="0" xfId="11" applyNumberFormat="1" applyFont="1" applyFill="1" applyAlignment="1">
      <alignment horizontal="left" vertical="center"/>
    </xf>
    <xf numFmtId="3" fontId="34" fillId="3" borderId="0" xfId="11" applyNumberFormat="1" applyFont="1" applyFill="1" applyAlignment="1">
      <alignment vertical="center"/>
    </xf>
    <xf numFmtId="0" fontId="34" fillId="3" borderId="0" xfId="0" applyFont="1" applyFill="1"/>
    <xf numFmtId="43" fontId="34" fillId="3" borderId="0" xfId="4" applyFont="1" applyFill="1"/>
    <xf numFmtId="169" fontId="34" fillId="3" borderId="0" xfId="11" applyNumberFormat="1" applyFont="1" applyFill="1" applyAlignment="1">
      <alignment vertical="center"/>
    </xf>
    <xf numFmtId="3" fontId="71" fillId="3" borderId="0" xfId="11" applyNumberFormat="1" applyFont="1" applyFill="1" applyAlignment="1">
      <alignment vertical="center"/>
    </xf>
    <xf numFmtId="169" fontId="71" fillId="3" borderId="0" xfId="0" applyNumberFormat="1" applyFont="1" applyFill="1"/>
    <xf numFmtId="0" fontId="71" fillId="3" borderId="0" xfId="0" applyFont="1" applyFill="1"/>
    <xf numFmtId="175" fontId="71" fillId="3" borderId="0" xfId="4" applyNumberFormat="1" applyFont="1" applyFill="1"/>
    <xf numFmtId="169" fontId="71" fillId="3" borderId="0" xfId="11" applyNumberFormat="1" applyFont="1" applyFill="1" applyAlignment="1">
      <alignment vertical="center"/>
    </xf>
    <xf numFmtId="175" fontId="71" fillId="3" borderId="0" xfId="4" applyNumberFormat="1" applyFont="1" applyFill="1" applyAlignment="1">
      <alignment vertical="center"/>
    </xf>
    <xf numFmtId="175" fontId="71" fillId="3" borderId="0" xfId="4" applyNumberFormat="1" applyFont="1" applyFill="1" applyBorder="1" applyAlignment="1">
      <alignment vertical="center"/>
    </xf>
    <xf numFmtId="43" fontId="71" fillId="3" borderId="0" xfId="4" applyFont="1" applyFill="1" applyAlignment="1">
      <alignment vertical="center"/>
    </xf>
    <xf numFmtId="0" fontId="71" fillId="3" borderId="0" xfId="11" applyFont="1" applyFill="1" applyAlignment="1">
      <alignment vertical="center"/>
    </xf>
    <xf numFmtId="177" fontId="71" fillId="3" borderId="0" xfId="11" applyNumberFormat="1" applyFont="1" applyFill="1" applyAlignment="1">
      <alignment vertical="center"/>
    </xf>
    <xf numFmtId="43" fontId="71" fillId="3" borderId="0" xfId="4" applyFont="1" applyFill="1" applyBorder="1" applyAlignment="1">
      <alignment vertical="center"/>
    </xf>
    <xf numFmtId="0" fontId="71" fillId="3" borderId="0" xfId="11" applyFont="1" applyFill="1" applyBorder="1" applyAlignment="1">
      <alignment vertical="center"/>
    </xf>
    <xf numFmtId="1" fontId="71" fillId="3" borderId="0" xfId="11" applyNumberFormat="1" applyFont="1" applyFill="1" applyAlignment="1">
      <alignment vertical="center"/>
    </xf>
    <xf numFmtId="0" fontId="71" fillId="3" borderId="0" xfId="0" applyFont="1" applyFill="1" applyAlignment="1">
      <alignment vertical="center"/>
    </xf>
    <xf numFmtId="43" fontId="28" fillId="3" borderId="0" xfId="4" applyFont="1" applyFill="1" applyBorder="1" applyAlignment="1">
      <alignment horizontal="center" vertical="center"/>
    </xf>
    <xf numFmtId="43" fontId="68" fillId="3" borderId="0" xfId="668" applyNumberFormat="1" applyFill="1" applyBorder="1" applyAlignment="1">
      <alignment horizontal="center" vertical="center"/>
    </xf>
    <xf numFmtId="43" fontId="68" fillId="3" borderId="0" xfId="668" applyNumberFormat="1" applyFill="1" applyAlignment="1">
      <alignment horizontal="center" vertical="center" wrapText="1"/>
    </xf>
    <xf numFmtId="43" fontId="68" fillId="3" borderId="0" xfId="668" applyNumberFormat="1" applyFill="1" applyBorder="1" applyAlignment="1">
      <alignment horizontal="left" vertical="center"/>
    </xf>
    <xf numFmtId="175" fontId="27" fillId="5" borderId="4" xfId="4" applyNumberFormat="1" applyFont="1" applyFill="1" applyBorder="1" applyAlignment="1">
      <alignment horizontal="center" vertical="center" wrapText="1"/>
    </xf>
    <xf numFmtId="43" fontId="68" fillId="3" borderId="0" xfId="668" applyNumberFormat="1" applyFill="1" applyAlignment="1">
      <alignment horizontal="center" vertical="center" wrapText="1"/>
    </xf>
    <xf numFmtId="0" fontId="27" fillId="5" borderId="14" xfId="0" applyFont="1" applyFill="1" applyBorder="1" applyAlignment="1">
      <alignment horizontal="center" vertical="center" wrapText="1"/>
    </xf>
    <xf numFmtId="43" fontId="68" fillId="3" borderId="0" xfId="668" applyNumberFormat="1" applyFill="1" applyAlignment="1">
      <alignment horizontal="left" vertical="center"/>
    </xf>
    <xf numFmtId="43" fontId="68" fillId="3" borderId="0" xfId="668" applyNumberFormat="1" applyFill="1" applyBorder="1" applyAlignment="1">
      <alignment horizontal="center" vertical="center" wrapText="1"/>
    </xf>
    <xf numFmtId="0" fontId="28" fillId="3" borderId="0" xfId="0" applyFont="1" applyFill="1" applyAlignment="1">
      <alignment vertical="center"/>
    </xf>
    <xf numFmtId="0" fontId="27" fillId="5" borderId="4" xfId="0" applyFont="1" applyFill="1" applyBorder="1" applyAlignment="1">
      <alignment horizontal="center" vertical="center" wrapText="1"/>
    </xf>
    <xf numFmtId="43" fontId="68" fillId="3" borderId="0" xfId="668" applyNumberFormat="1" applyFill="1" applyAlignment="1">
      <alignment horizontal="center" vertical="center" wrapText="1"/>
    </xf>
    <xf numFmtId="175" fontId="28" fillId="36" borderId="5" xfId="4" applyNumberFormat="1" applyFont="1" applyFill="1" applyBorder="1"/>
    <xf numFmtId="175" fontId="27" fillId="39" borderId="14" xfId="4" applyNumberFormat="1" applyFont="1" applyFill="1" applyBorder="1" applyAlignment="1">
      <alignment horizontal="center" vertical="center" wrapText="1"/>
    </xf>
    <xf numFmtId="9" fontId="27" fillId="39" borderId="5" xfId="12" applyFont="1" applyFill="1" applyBorder="1" applyAlignment="1">
      <alignment horizontal="center"/>
    </xf>
    <xf numFmtId="9" fontId="27" fillId="39" borderId="14" xfId="12" applyFont="1" applyFill="1" applyBorder="1" applyAlignment="1">
      <alignment horizontal="center"/>
    </xf>
    <xf numFmtId="175" fontId="28" fillId="35" borderId="5" xfId="4" applyNumberFormat="1" applyFont="1" applyFill="1" applyBorder="1"/>
    <xf numFmtId="9" fontId="27" fillId="39" borderId="14" xfId="12" applyNumberFormat="1" applyFont="1" applyFill="1" applyBorder="1" applyAlignment="1">
      <alignment horizontal="center" vertical="center" wrapText="1"/>
    </xf>
    <xf numFmtId="0" fontId="27" fillId="39" borderId="14" xfId="0" applyFont="1" applyFill="1" applyBorder="1" applyAlignment="1">
      <alignment horizontal="center" vertical="center" wrapText="1"/>
    </xf>
    <xf numFmtId="9" fontId="27" fillId="39" borderId="14" xfId="12" applyNumberFormat="1" applyFont="1" applyFill="1" applyBorder="1" applyAlignment="1">
      <alignment horizontal="center" vertical="center"/>
    </xf>
    <xf numFmtId="43" fontId="27" fillId="39" borderId="14" xfId="4" applyFont="1" applyFill="1" applyBorder="1" applyAlignment="1">
      <alignment vertical="center" wrapText="1"/>
    </xf>
    <xf numFmtId="175" fontId="28" fillId="35" borderId="11" xfId="4" applyNumberFormat="1" applyFont="1" applyFill="1" applyBorder="1"/>
    <xf numFmtId="175" fontId="28" fillId="35" borderId="14" xfId="4" applyNumberFormat="1" applyFont="1" applyFill="1" applyBorder="1"/>
    <xf numFmtId="0" fontId="27" fillId="39" borderId="4" xfId="0" applyFont="1" applyFill="1" applyBorder="1" applyAlignment="1">
      <alignment horizontal="center" vertical="center" wrapText="1"/>
    </xf>
    <xf numFmtId="175" fontId="28" fillId="3" borderId="8" xfId="4" applyNumberFormat="1" applyFont="1" applyFill="1" applyBorder="1"/>
    <xf numFmtId="0" fontId="27" fillId="39" borderId="12" xfId="0" applyFont="1" applyFill="1" applyBorder="1" applyAlignment="1">
      <alignment horizontal="center" vertical="center" wrapText="1"/>
    </xf>
    <xf numFmtId="175" fontId="28" fillId="36" borderId="4" xfId="4" applyNumberFormat="1" applyFont="1" applyFill="1" applyBorder="1"/>
    <xf numFmtId="175" fontId="28" fillId="36" borderId="3" xfId="4" applyNumberFormat="1" applyFont="1" applyFill="1" applyBorder="1"/>
    <xf numFmtId="180" fontId="27" fillId="5" borderId="14" xfId="4" applyNumberFormat="1" applyFont="1" applyFill="1" applyBorder="1" applyAlignment="1">
      <alignment horizontal="center" vertical="center" wrapText="1"/>
    </xf>
    <xf numFmtId="10" fontId="27" fillId="5" borderId="14" xfId="12" applyNumberFormat="1" applyFont="1" applyFill="1" applyBorder="1" applyAlignment="1">
      <alignment horizontal="center" vertical="center"/>
    </xf>
    <xf numFmtId="10" fontId="27" fillId="5" borderId="4" xfId="12" applyNumberFormat="1" applyFont="1" applyFill="1" applyBorder="1" applyAlignment="1">
      <alignment horizontal="center" vertical="center"/>
    </xf>
    <xf numFmtId="175" fontId="27" fillId="3" borderId="0" xfId="4" applyNumberFormat="1" applyFont="1" applyFill="1" applyBorder="1" applyAlignment="1">
      <alignment horizontal="center" vertical="center" wrapText="1"/>
    </xf>
    <xf numFmtId="10" fontId="27" fillId="3" borderId="0" xfId="12" applyNumberFormat="1" applyFont="1" applyFill="1" applyBorder="1" applyAlignment="1">
      <alignment horizontal="center" vertical="center"/>
    </xf>
    <xf numFmtId="0" fontId="27" fillId="40" borderId="4" xfId="15" applyFont="1" applyFill="1" applyBorder="1" applyAlignment="1">
      <alignment horizontal="center" vertical="center" wrapText="1"/>
    </xf>
    <xf numFmtId="43" fontId="27" fillId="40" borderId="14" xfId="4" quotePrefix="1" applyFont="1" applyFill="1" applyBorder="1" applyAlignment="1">
      <alignment horizontal="center" vertical="center" wrapText="1"/>
    </xf>
    <xf numFmtId="175" fontId="28" fillId="41" borderId="4" xfId="4" applyNumberFormat="1" applyFont="1" applyFill="1" applyBorder="1"/>
    <xf numFmtId="175" fontId="28" fillId="41" borderId="5" xfId="4" applyNumberFormat="1" applyFont="1" applyFill="1" applyBorder="1"/>
    <xf numFmtId="175" fontId="28" fillId="41" borderId="3" xfId="4" applyNumberFormat="1" applyFont="1" applyFill="1" applyBorder="1"/>
    <xf numFmtId="0" fontId="28" fillId="36" borderId="17" xfId="0" applyFont="1" applyFill="1" applyBorder="1"/>
    <xf numFmtId="0" fontId="28" fillId="36" borderId="7" xfId="0" applyFont="1" applyFill="1" applyBorder="1"/>
    <xf numFmtId="3" fontId="28" fillId="3" borderId="8" xfId="12" applyNumberFormat="1" applyFont="1" applyFill="1" applyBorder="1"/>
    <xf numFmtId="3" fontId="28" fillId="3" borderId="9" xfId="12" applyNumberFormat="1" applyFont="1" applyFill="1" applyBorder="1"/>
    <xf numFmtId="3" fontId="28" fillId="36" borderId="17" xfId="12" applyNumberFormat="1" applyFont="1" applyFill="1" applyBorder="1"/>
    <xf numFmtId="0" fontId="27" fillId="37" borderId="12" xfId="0" applyFont="1" applyFill="1" applyBorder="1" applyAlignment="1">
      <alignment horizontal="center" vertical="center" wrapText="1"/>
    </xf>
    <xf numFmtId="0" fontId="28" fillId="3" borderId="8" xfId="15" applyFont="1" applyFill="1" applyBorder="1"/>
    <xf numFmtId="0" fontId="28" fillId="3" borderId="9" xfId="15" applyFont="1" applyFill="1" applyBorder="1"/>
    <xf numFmtId="3" fontId="17" fillId="3" borderId="11" xfId="15" applyNumberFormat="1" applyFont="1" applyFill="1" applyBorder="1" applyAlignment="1">
      <alignment horizontal="right"/>
    </xf>
    <xf numFmtId="1" fontId="73" fillId="3" borderId="0" xfId="11" applyNumberFormat="1" applyFont="1" applyFill="1" applyAlignment="1">
      <alignment horizontal="left" vertical="center"/>
    </xf>
    <xf numFmtId="0" fontId="73" fillId="3" borderId="0" xfId="0" applyFont="1" applyFill="1" applyAlignment="1">
      <alignment horizontal="left" vertical="center"/>
    </xf>
    <xf numFmtId="0" fontId="73" fillId="3" borderId="0" xfId="0" applyNumberFormat="1" applyFont="1" applyFill="1" applyAlignment="1">
      <alignment horizontal="left"/>
    </xf>
    <xf numFmtId="0" fontId="28" fillId="3" borderId="0" xfId="0" applyNumberFormat="1" applyFont="1" applyFill="1" applyAlignment="1">
      <alignment horizontal="center" vertical="center"/>
    </xf>
    <xf numFmtId="0" fontId="27" fillId="5" borderId="4" xfId="0" applyFont="1" applyFill="1" applyBorder="1" applyAlignment="1">
      <alignment horizontal="center" vertical="center" wrapText="1"/>
    </xf>
    <xf numFmtId="14" fontId="27" fillId="40" borderId="3" xfId="15" applyNumberFormat="1" applyFont="1" applyFill="1" applyBorder="1" applyAlignment="1">
      <alignment horizontal="center" vertical="center" wrapText="1"/>
    </xf>
    <xf numFmtId="0" fontId="67" fillId="3" borderId="0" xfId="0" applyNumberFormat="1" applyFont="1" applyFill="1" applyBorder="1" applyAlignment="1">
      <alignment wrapText="1"/>
    </xf>
    <xf numFmtId="43" fontId="28" fillId="36" borderId="5" xfId="4" applyNumberFormat="1" applyFont="1" applyFill="1" applyBorder="1"/>
    <xf numFmtId="49" fontId="67" fillId="3" borderId="0" xfId="4" applyNumberFormat="1" applyFont="1" applyFill="1" applyBorder="1" applyAlignment="1">
      <alignment vertical="center" wrapText="1"/>
    </xf>
    <xf numFmtId="0" fontId="29" fillId="3" borderId="0" xfId="11" applyFont="1" applyFill="1" applyAlignment="1"/>
    <xf numFmtId="0" fontId="34" fillId="3" borderId="0" xfId="0" applyFont="1" applyFill="1" applyBorder="1"/>
    <xf numFmtId="0" fontId="28" fillId="3" borderId="0" xfId="11" applyFont="1" applyFill="1" applyBorder="1" applyAlignment="1">
      <alignment horizontal="right" vertical="center"/>
    </xf>
    <xf numFmtId="0" fontId="28" fillId="3" borderId="0" xfId="0" applyFont="1" applyFill="1" applyAlignment="1">
      <alignment horizontal="right"/>
    </xf>
    <xf numFmtId="3" fontId="28" fillId="3" borderId="0" xfId="0" applyNumberFormat="1" applyFont="1" applyFill="1" applyBorder="1" applyAlignment="1">
      <alignment horizontal="right"/>
    </xf>
    <xf numFmtId="3" fontId="28" fillId="3" borderId="7" xfId="0" applyNumberFormat="1" applyFont="1" applyFill="1" applyBorder="1" applyAlignment="1">
      <alignment horizontal="right"/>
    </xf>
    <xf numFmtId="0" fontId="71" fillId="3" borderId="0" xfId="0" applyFont="1" applyFill="1" applyAlignment="1"/>
    <xf numFmtId="10" fontId="28" fillId="3" borderId="7" xfId="0" applyNumberFormat="1" applyFont="1" applyFill="1" applyBorder="1"/>
    <xf numFmtId="175" fontId="28" fillId="36" borderId="4" xfId="4" quotePrefix="1" applyNumberFormat="1" applyFont="1" applyFill="1" applyBorder="1"/>
    <xf numFmtId="175" fontId="28" fillId="36" borderId="5" xfId="4" quotePrefix="1" applyNumberFormat="1" applyFont="1" applyFill="1" applyBorder="1"/>
    <xf numFmtId="0" fontId="67" fillId="3" borderId="0" xfId="0" applyFont="1" applyFill="1" applyBorder="1" applyAlignment="1">
      <alignment vertical="center" wrapText="1"/>
    </xf>
    <xf numFmtId="0" fontId="67" fillId="3" borderId="0" xfId="11" applyFont="1" applyFill="1" applyBorder="1" applyAlignment="1">
      <alignment vertical="center" wrapText="1"/>
    </xf>
    <xf numFmtId="0" fontId="67" fillId="3" borderId="0" xfId="0" applyFont="1" applyFill="1" applyBorder="1" applyAlignment="1"/>
    <xf numFmtId="2" fontId="27" fillId="5" borderId="4" xfId="0" applyNumberFormat="1" applyFont="1" applyFill="1" applyBorder="1" applyAlignment="1">
      <alignment horizontal="center" vertical="top" wrapText="1"/>
    </xf>
    <xf numFmtId="0" fontId="33" fillId="3" borderId="4" xfId="0" applyFont="1" applyFill="1" applyBorder="1" applyAlignment="1">
      <alignment horizontal="left"/>
    </xf>
    <xf numFmtId="0" fontId="33" fillId="3" borderId="8" xfId="0" applyFont="1" applyFill="1" applyBorder="1" applyAlignment="1">
      <alignment horizontal="center"/>
    </xf>
    <xf numFmtId="0" fontId="33" fillId="3" borderId="9" xfId="0" applyFont="1" applyFill="1" applyBorder="1" applyAlignment="1">
      <alignment horizontal="center"/>
    </xf>
    <xf numFmtId="0" fontId="33" fillId="3" borderId="10" xfId="0" applyFont="1" applyFill="1" applyBorder="1" applyAlignment="1">
      <alignment horizontal="center"/>
    </xf>
    <xf numFmtId="43" fontId="33" fillId="3" borderId="0" xfId="4" applyFont="1" applyFill="1" applyBorder="1"/>
    <xf numFmtId="166" fontId="28" fillId="3" borderId="10" xfId="0" applyNumberFormat="1" applyFont="1" applyFill="1" applyBorder="1" applyAlignment="1">
      <alignment horizontal="center"/>
    </xf>
    <xf numFmtId="0" fontId="33" fillId="3" borderId="5" xfId="0" applyFont="1" applyFill="1" applyBorder="1" applyAlignment="1">
      <alignment horizontal="left"/>
    </xf>
    <xf numFmtId="0" fontId="33" fillId="3" borderId="3" xfId="0" applyFont="1" applyFill="1" applyBorder="1" applyAlignment="1">
      <alignment horizontal="left"/>
    </xf>
    <xf numFmtId="180" fontId="33" fillId="3" borderId="4" xfId="4" applyNumberFormat="1" applyFont="1" applyFill="1" applyBorder="1"/>
    <xf numFmtId="180" fontId="33" fillId="3" borderId="5" xfId="4" applyNumberFormat="1" applyFont="1" applyFill="1" applyBorder="1"/>
    <xf numFmtId="180" fontId="33" fillId="3" borderId="3" xfId="4" applyNumberFormat="1" applyFont="1" applyFill="1" applyBorder="1"/>
    <xf numFmtId="43" fontId="68" fillId="3" borderId="0" xfId="668" applyNumberFormat="1" applyFill="1" applyBorder="1" applyAlignment="1">
      <alignment horizontal="right" vertical="center"/>
    </xf>
    <xf numFmtId="175" fontId="28" fillId="41" borderId="3" xfId="4" applyNumberFormat="1" applyFont="1" applyFill="1" applyBorder="1" applyAlignment="1">
      <alignment horizontal="center"/>
    </xf>
    <xf numFmtId="43" fontId="33" fillId="5" borderId="14" xfId="4" applyFont="1" applyFill="1" applyBorder="1"/>
    <xf numFmtId="3" fontId="28" fillId="3" borderId="10" xfId="12" applyNumberFormat="1" applyFont="1" applyFill="1" applyBorder="1"/>
    <xf numFmtId="43" fontId="28" fillId="3" borderId="12" xfId="4" applyFont="1" applyFill="1" applyBorder="1"/>
    <xf numFmtId="43" fontId="28" fillId="3" borderId="11" xfId="4" applyFont="1" applyFill="1" applyBorder="1"/>
    <xf numFmtId="43" fontId="28" fillId="3" borderId="13" xfId="4" applyFont="1" applyFill="1" applyBorder="1"/>
    <xf numFmtId="43" fontId="28" fillId="3" borderId="7" xfId="4" applyFont="1" applyFill="1" applyBorder="1"/>
    <xf numFmtId="175" fontId="28" fillId="36" borderId="3" xfId="4" quotePrefix="1" applyNumberFormat="1" applyFont="1" applyFill="1" applyBorder="1"/>
    <xf numFmtId="43" fontId="28" fillId="3" borderId="0" xfId="4" applyNumberFormat="1" applyFont="1" applyFill="1" applyBorder="1"/>
    <xf numFmtId="3" fontId="28" fillId="3" borderId="17" xfId="12" applyNumberFormat="1" applyFont="1" applyFill="1" applyBorder="1"/>
    <xf numFmtId="177" fontId="28" fillId="3" borderId="7" xfId="4" applyNumberFormat="1" applyFont="1" applyFill="1" applyBorder="1"/>
    <xf numFmtId="0" fontId="69" fillId="3" borderId="0" xfId="260" applyFont="1" applyFill="1" applyAlignment="1">
      <alignment horizontal="left" vertical="center" indent="1"/>
    </xf>
    <xf numFmtId="0" fontId="68" fillId="7" borderId="8" xfId="668" applyFill="1" applyBorder="1" applyAlignment="1">
      <alignment horizontal="left" vertical="center" indent="1"/>
    </xf>
    <xf numFmtId="0" fontId="68" fillId="7" borderId="9" xfId="668" applyFill="1" applyBorder="1" applyAlignment="1">
      <alignment horizontal="left" vertical="center" indent="1"/>
    </xf>
    <xf numFmtId="0" fontId="68" fillId="7" borderId="10" xfId="668" applyFill="1" applyBorder="1" applyAlignment="1">
      <alignment horizontal="left" vertical="center" indent="1"/>
    </xf>
    <xf numFmtId="0" fontId="68" fillId="35" borderId="10" xfId="668" applyFill="1" applyBorder="1" applyAlignment="1">
      <alignment horizontal="left" vertical="center" indent="1"/>
    </xf>
    <xf numFmtId="0" fontId="68" fillId="32" borderId="17" xfId="668" applyFill="1" applyBorder="1" applyAlignment="1">
      <alignment horizontal="left" vertical="center" indent="1"/>
    </xf>
    <xf numFmtId="175" fontId="28" fillId="3" borderId="14" xfId="4" applyNumberFormat="1" applyFont="1" applyFill="1" applyBorder="1" applyProtection="1"/>
    <xf numFmtId="43" fontId="28" fillId="3" borderId="14" xfId="4" applyNumberFormat="1" applyFont="1" applyFill="1" applyBorder="1" applyProtection="1"/>
    <xf numFmtId="43" fontId="28" fillId="36" borderId="5" xfId="4" applyNumberFormat="1" applyFont="1" applyFill="1" applyBorder="1" applyProtection="1"/>
    <xf numFmtId="43" fontId="28" fillId="36" borderId="14" xfId="4" applyNumberFormat="1" applyFont="1" applyFill="1" applyBorder="1" applyProtection="1"/>
    <xf numFmtId="175" fontId="28" fillId="36" borderId="5" xfId="4" applyNumberFormat="1" applyFont="1" applyFill="1" applyBorder="1" applyProtection="1"/>
    <xf numFmtId="175" fontId="28" fillId="36" borderId="14" xfId="4" applyNumberFormat="1" applyFont="1" applyFill="1" applyBorder="1" applyProtection="1"/>
    <xf numFmtId="3" fontId="27" fillId="38" borderId="4" xfId="0" applyNumberFormat="1" applyFont="1" applyFill="1" applyBorder="1" applyAlignment="1">
      <alignment horizontal="center" vertical="center" wrapText="1"/>
    </xf>
    <xf numFmtId="175" fontId="27" fillId="38" borderId="4" xfId="4" applyNumberFormat="1" applyFont="1" applyFill="1" applyBorder="1" applyAlignment="1">
      <alignment horizontal="center" vertical="center" wrapText="1"/>
    </xf>
    <xf numFmtId="43" fontId="27" fillId="38" borderId="4" xfId="4" applyFont="1" applyFill="1" applyBorder="1" applyAlignment="1">
      <alignment horizontal="center" vertical="center" wrapText="1"/>
    </xf>
    <xf numFmtId="3" fontId="27" fillId="38" borderId="14" xfId="0" applyNumberFormat="1" applyFont="1" applyFill="1" applyBorder="1" applyAlignment="1">
      <alignment horizontal="center"/>
    </xf>
    <xf numFmtId="166" fontId="27" fillId="38" borderId="14" xfId="0" applyNumberFormat="1" applyFont="1" applyFill="1" applyBorder="1" applyAlignment="1">
      <alignment horizontal="center"/>
    </xf>
    <xf numFmtId="175" fontId="27" fillId="38" borderId="14" xfId="4" applyNumberFormat="1" applyFont="1" applyFill="1" applyBorder="1" applyAlignment="1">
      <alignment horizontal="center"/>
    </xf>
    <xf numFmtId="0" fontId="27" fillId="38" borderId="14" xfId="0" applyNumberFormat="1" applyFont="1" applyFill="1" applyBorder="1" applyAlignment="1">
      <alignment horizontal="center"/>
    </xf>
    <xf numFmtId="0" fontId="27" fillId="8" borderId="4" xfId="0" applyFont="1" applyFill="1" applyBorder="1" applyAlignment="1">
      <alignment horizontal="center" vertical="center" wrapText="1"/>
    </xf>
    <xf numFmtId="0" fontId="27" fillId="8" borderId="14" xfId="0" applyFont="1" applyFill="1" applyBorder="1" applyAlignment="1">
      <alignment horizontal="center" vertical="center" wrapText="1"/>
    </xf>
    <xf numFmtId="175" fontId="28" fillId="42" borderId="5" xfId="4" applyNumberFormat="1" applyFont="1" applyFill="1" applyBorder="1"/>
    <xf numFmtId="175" fontId="28" fillId="42" borderId="14" xfId="4" applyNumberFormat="1" applyFont="1" applyFill="1" applyBorder="1"/>
    <xf numFmtId="0" fontId="70" fillId="3" borderId="0" xfId="260" applyFont="1" applyFill="1" applyAlignment="1">
      <alignment horizontal="left" vertical="center" indent="1"/>
    </xf>
    <xf numFmtId="175" fontId="28" fillId="3" borderId="6" xfId="4" applyNumberFormat="1" applyFont="1" applyFill="1" applyBorder="1" applyAlignment="1">
      <alignment vertical="center"/>
    </xf>
    <xf numFmtId="43" fontId="28" fillId="3" borderId="14" xfId="4" applyNumberFormat="1" applyFont="1" applyFill="1" applyBorder="1" applyAlignment="1">
      <alignment vertical="center"/>
    </xf>
    <xf numFmtId="175" fontId="28" fillId="3" borderId="7" xfId="4" applyNumberFormat="1" applyFont="1" applyFill="1" applyBorder="1" applyAlignment="1">
      <alignment vertical="center"/>
    </xf>
    <xf numFmtId="0" fontId="29" fillId="3" borderId="0" xfId="11" applyFont="1" applyFill="1" applyAlignment="1">
      <alignment vertical="center"/>
    </xf>
    <xf numFmtId="175" fontId="28" fillId="3" borderId="8" xfId="4" applyNumberFormat="1" applyFont="1" applyFill="1" applyBorder="1" applyAlignment="1">
      <alignment vertical="center"/>
    </xf>
    <xf numFmtId="43" fontId="28" fillId="3" borderId="4" xfId="4" applyNumberFormat="1" applyFont="1" applyFill="1" applyBorder="1" applyAlignment="1">
      <alignment vertical="center"/>
    </xf>
    <xf numFmtId="175" fontId="28" fillId="3" borderId="0" xfId="0" applyNumberFormat="1" applyFont="1" applyFill="1" applyAlignment="1">
      <alignment vertical="center"/>
    </xf>
    <xf numFmtId="175" fontId="28" fillId="3" borderId="9" xfId="4" applyNumberFormat="1" applyFont="1" applyFill="1" applyBorder="1" applyAlignment="1">
      <alignment vertical="center"/>
    </xf>
    <xf numFmtId="43" fontId="28" fillId="3" borderId="5" xfId="4" applyNumberFormat="1" applyFont="1" applyFill="1" applyBorder="1" applyAlignment="1">
      <alignment vertical="center"/>
    </xf>
    <xf numFmtId="181" fontId="27" fillId="39" borderId="14" xfId="4" applyNumberFormat="1" applyFont="1" applyFill="1" applyBorder="1" applyAlignment="1">
      <alignment horizontal="center" vertical="center"/>
    </xf>
    <xf numFmtId="0" fontId="28" fillId="36" borderId="14" xfId="0" applyFont="1" applyFill="1" applyBorder="1" applyAlignment="1">
      <alignment horizontal="center" vertical="center" wrapText="1"/>
    </xf>
    <xf numFmtId="175" fontId="33" fillId="33" borderId="3" xfId="0" applyNumberFormat="1" applyFont="1" applyFill="1" applyBorder="1"/>
    <xf numFmtId="175" fontId="33" fillId="33" borderId="14" xfId="0" applyNumberFormat="1" applyFont="1" applyFill="1" applyBorder="1"/>
    <xf numFmtId="175" fontId="28" fillId="33" borderId="7" xfId="0" applyNumberFormat="1" applyFont="1" applyFill="1" applyBorder="1"/>
    <xf numFmtId="175" fontId="28" fillId="5" borderId="3" xfId="0" applyNumberFormat="1" applyFont="1" applyFill="1" applyBorder="1"/>
    <xf numFmtId="175" fontId="28" fillId="42" borderId="4" xfId="4" applyNumberFormat="1" applyFont="1" applyFill="1" applyBorder="1"/>
    <xf numFmtId="175" fontId="28" fillId="42" borderId="3" xfId="4" applyNumberFormat="1" applyFont="1" applyFill="1" applyBorder="1"/>
    <xf numFmtId="175" fontId="27" fillId="5" borderId="14" xfId="4" applyNumberFormat="1" applyFont="1" applyFill="1" applyBorder="1" applyAlignment="1">
      <alignment horizontal="center" vertical="center" wrapText="1"/>
    </xf>
    <xf numFmtId="175" fontId="27" fillId="40" borderId="14" xfId="4" applyNumberFormat="1" applyFont="1" applyFill="1" applyBorder="1" applyAlignment="1">
      <alignment horizontal="center" vertical="center" wrapText="1"/>
    </xf>
    <xf numFmtId="0" fontId="68" fillId="43" borderId="8" xfId="668" applyFill="1" applyBorder="1" applyAlignment="1">
      <alignment horizontal="left" vertical="center" indent="1"/>
    </xf>
    <xf numFmtId="0" fontId="68" fillId="43" borderId="9" xfId="668" applyFill="1" applyBorder="1" applyAlignment="1">
      <alignment horizontal="left" vertical="center" indent="1"/>
    </xf>
    <xf numFmtId="175" fontId="28" fillId="42" borderId="5" xfId="4" applyNumberFormat="1" applyFont="1" applyFill="1" applyBorder="1" applyProtection="1"/>
    <xf numFmtId="0" fontId="27" fillId="5" borderId="4" xfId="0" applyFont="1" applyFill="1" applyBorder="1" applyAlignment="1">
      <alignment horizontal="center" vertical="center" wrapText="1"/>
    </xf>
    <xf numFmtId="0" fontId="27" fillId="5" borderId="14" xfId="0" applyFont="1" applyFill="1" applyBorder="1" applyAlignment="1">
      <alignment horizontal="center" vertical="center" wrapText="1"/>
    </xf>
    <xf numFmtId="43" fontId="27" fillId="5" borderId="4" xfId="4" applyFont="1" applyFill="1" applyBorder="1" applyAlignment="1">
      <alignment horizontal="center" vertical="center" wrapText="1"/>
    </xf>
    <xf numFmtId="43" fontId="68" fillId="3" borderId="0" xfId="668" applyNumberFormat="1" applyFill="1" applyAlignment="1">
      <alignment horizontal="left" vertical="center"/>
    </xf>
    <xf numFmtId="175" fontId="28" fillId="44" borderId="5" xfId="4" applyNumberFormat="1" applyFont="1" applyFill="1" applyBorder="1"/>
    <xf numFmtId="175" fontId="28" fillId="44" borderId="0" xfId="4" applyNumberFormat="1" applyFont="1" applyFill="1" applyBorder="1"/>
    <xf numFmtId="0" fontId="68" fillId="34" borderId="17" xfId="668" applyFill="1" applyBorder="1" applyAlignment="1">
      <alignment horizontal="left" vertical="center" wrapText="1" indent="1"/>
    </xf>
    <xf numFmtId="177" fontId="28" fillId="3" borderId="5" xfId="4" applyNumberFormat="1" applyFont="1" applyFill="1" applyBorder="1"/>
    <xf numFmtId="177" fontId="28" fillId="44" borderId="4" xfId="4" applyNumberFormat="1" applyFont="1" applyFill="1" applyBorder="1"/>
    <xf numFmtId="177" fontId="28" fillId="44" borderId="5" xfId="4" applyNumberFormat="1" applyFont="1" applyFill="1" applyBorder="1"/>
    <xf numFmtId="177" fontId="28" fillId="44" borderId="3" xfId="4" applyNumberFormat="1" applyFont="1" applyFill="1" applyBorder="1"/>
    <xf numFmtId="0" fontId="28" fillId="36" borderId="4" xfId="0" applyFont="1" applyFill="1" applyBorder="1" applyAlignment="1">
      <alignment horizontal="center" vertical="center" wrapText="1"/>
    </xf>
    <xf numFmtId="175" fontId="28" fillId="35" borderId="12" xfId="4" applyNumberFormat="1" applyFont="1" applyFill="1" applyBorder="1"/>
    <xf numFmtId="175" fontId="28" fillId="35" borderId="13" xfId="4" applyNumberFormat="1" applyFont="1" applyFill="1" applyBorder="1"/>
    <xf numFmtId="0" fontId="68" fillId="5" borderId="17" xfId="668" applyFill="1" applyBorder="1" applyAlignment="1">
      <alignment horizontal="left" vertical="center" wrapText="1" indent="1"/>
    </xf>
    <xf numFmtId="177" fontId="27" fillId="5" borderId="4" xfId="0" applyNumberFormat="1" applyFont="1" applyFill="1" applyBorder="1" applyAlignment="1">
      <alignment horizontal="center" vertical="center" wrapText="1"/>
    </xf>
    <xf numFmtId="179" fontId="27" fillId="5" borderId="4" xfId="4" applyNumberFormat="1" applyFont="1" applyFill="1" applyBorder="1" applyAlignment="1">
      <alignment horizontal="center" vertical="center" wrapText="1"/>
    </xf>
    <xf numFmtId="183" fontId="27" fillId="5" borderId="14" xfId="0" applyNumberFormat="1" applyFont="1" applyFill="1" applyBorder="1" applyAlignment="1">
      <alignment horizontal="center" vertical="top" wrapText="1"/>
    </xf>
    <xf numFmtId="16" fontId="79" fillId="36" borderId="17" xfId="668" applyNumberFormat="1" applyFont="1" applyFill="1" applyBorder="1" applyAlignment="1">
      <alignment horizontal="center" vertical="center"/>
    </xf>
    <xf numFmtId="0" fontId="79" fillId="36" borderId="6" xfId="668" applyFont="1" applyFill="1" applyBorder="1" applyAlignment="1">
      <alignment horizontal="center" vertical="center"/>
    </xf>
    <xf numFmtId="0" fontId="79" fillId="36" borderId="7" xfId="668" applyFont="1" applyFill="1" applyBorder="1" applyAlignment="1">
      <alignment horizontal="center" vertical="center"/>
    </xf>
    <xf numFmtId="43" fontId="1" fillId="31" borderId="4" xfId="4" applyFont="1" applyFill="1" applyBorder="1"/>
    <xf numFmtId="43" fontId="1" fillId="31" borderId="5" xfId="4" applyFont="1" applyFill="1" applyBorder="1"/>
    <xf numFmtId="43" fontId="1" fillId="31" borderId="3" xfId="4" applyFont="1" applyFill="1" applyBorder="1"/>
    <xf numFmtId="184" fontId="28" fillId="3" borderId="0" xfId="4" applyNumberFormat="1" applyFont="1" applyFill="1"/>
    <xf numFmtId="175" fontId="28" fillId="44" borderId="14" xfId="4" applyNumberFormat="1" applyFont="1" applyFill="1" applyBorder="1"/>
    <xf numFmtId="175" fontId="28" fillId="44" borderId="6" xfId="4" applyNumberFormat="1" applyFont="1" applyFill="1" applyBorder="1"/>
    <xf numFmtId="0" fontId="28" fillId="3" borderId="4" xfId="0" applyFont="1" applyFill="1" applyBorder="1" applyAlignment="1">
      <alignment horizontal="left"/>
    </xf>
    <xf numFmtId="0" fontId="28" fillId="3" borderId="5" xfId="0" applyFont="1" applyFill="1" applyBorder="1" applyAlignment="1">
      <alignment horizontal="left"/>
    </xf>
    <xf numFmtId="0" fontId="28" fillId="3" borderId="3" xfId="0" applyFont="1" applyFill="1" applyBorder="1" applyAlignment="1">
      <alignment horizontal="left"/>
    </xf>
    <xf numFmtId="175" fontId="28" fillId="4" borderId="7" xfId="4" applyNumberFormat="1" applyFont="1" applyFill="1" applyBorder="1"/>
    <xf numFmtId="43" fontId="28" fillId="3" borderId="0" xfId="4" applyFont="1" applyFill="1" applyAlignment="1">
      <alignment vertical="top"/>
    </xf>
    <xf numFmtId="43" fontId="28" fillId="36" borderId="14" xfId="4" applyFont="1" applyFill="1" applyBorder="1"/>
    <xf numFmtId="164" fontId="37" fillId="7" borderId="0" xfId="0" applyNumberFormat="1" applyFont="1" applyFill="1"/>
    <xf numFmtId="43" fontId="27" fillId="38" borderId="4" xfId="4" applyFont="1" applyFill="1" applyBorder="1" applyAlignment="1">
      <alignment horizontal="center" vertical="center" wrapText="1"/>
    </xf>
    <xf numFmtId="0" fontId="27" fillId="38" borderId="4" xfId="0" applyFont="1" applyFill="1" applyBorder="1" applyAlignment="1">
      <alignment horizontal="center" vertical="center" wrapText="1"/>
    </xf>
    <xf numFmtId="167" fontId="27" fillId="40" borderId="4" xfId="12" applyNumberFormat="1" applyFont="1" applyFill="1" applyBorder="1" applyAlignment="1">
      <alignment horizontal="center" vertical="center" wrapText="1"/>
    </xf>
    <xf numFmtId="167" fontId="27" fillId="38" borderId="4" xfId="12" applyNumberFormat="1" applyFont="1" applyFill="1" applyBorder="1" applyAlignment="1">
      <alignment horizontal="center" vertical="center" wrapText="1"/>
    </xf>
    <xf numFmtId="167" fontId="27" fillId="5" borderId="4" xfId="12" applyNumberFormat="1" applyFont="1" applyFill="1" applyBorder="1" applyAlignment="1">
      <alignment horizontal="center" vertical="center" wrapText="1"/>
    </xf>
    <xf numFmtId="167" fontId="27" fillId="39" borderId="4" xfId="12" applyNumberFormat="1" applyFont="1" applyFill="1" applyBorder="1" applyAlignment="1">
      <alignment horizontal="center" vertical="center" wrapText="1"/>
    </xf>
    <xf numFmtId="0" fontId="71" fillId="7" borderId="0" xfId="0" applyFont="1" applyFill="1" applyProtection="1"/>
    <xf numFmtId="0" fontId="68" fillId="7" borderId="0" xfId="668" applyFill="1" applyAlignment="1" applyProtection="1">
      <alignment horizontal="center" vertical="center"/>
    </xf>
    <xf numFmtId="0" fontId="68" fillId="7" borderId="0" xfId="668" applyFill="1" applyAlignment="1" applyProtection="1">
      <alignment horizontal="center" vertical="center" wrapText="1"/>
    </xf>
    <xf numFmtId="0" fontId="42" fillId="7" borderId="0" xfId="0" applyFont="1" applyFill="1" applyAlignment="1" applyProtection="1">
      <alignment horizontal="center" vertical="center"/>
    </xf>
    <xf numFmtId="0" fontId="28" fillId="7" borderId="0" xfId="0" applyFont="1" applyFill="1" applyProtection="1"/>
    <xf numFmtId="0" fontId="30" fillId="7" borderId="0" xfId="0" applyFont="1" applyFill="1" applyProtection="1"/>
    <xf numFmtId="0" fontId="28" fillId="6" borderId="33" xfId="0" applyFont="1" applyFill="1" applyBorder="1" applyAlignment="1" applyProtection="1">
      <alignment horizontal="center"/>
    </xf>
    <xf numFmtId="0" fontId="67" fillId="7" borderId="0" xfId="0" applyFont="1" applyFill="1" applyBorder="1" applyAlignment="1" applyProtection="1">
      <alignment vertical="center" wrapText="1"/>
    </xf>
    <xf numFmtId="0" fontId="28" fillId="6" borderId="14" xfId="0" applyFont="1" applyFill="1" applyBorder="1" applyAlignment="1" applyProtection="1">
      <alignment horizontal="center"/>
    </xf>
    <xf numFmtId="14" fontId="28" fillId="6" borderId="14" xfId="0" applyNumberFormat="1" applyFont="1" applyFill="1" applyBorder="1" applyAlignment="1" applyProtection="1">
      <alignment horizontal="center"/>
    </xf>
    <xf numFmtId="0" fontId="30" fillId="7" borderId="0" xfId="0" applyFont="1" applyFill="1" applyBorder="1" applyProtection="1"/>
    <xf numFmtId="0" fontId="28" fillId="7" borderId="0" xfId="0" applyFont="1" applyFill="1" applyBorder="1" applyProtection="1"/>
    <xf numFmtId="0" fontId="28" fillId="7" borderId="0" xfId="0" applyFont="1" applyFill="1" applyBorder="1" applyAlignment="1" applyProtection="1">
      <alignment wrapText="1"/>
    </xf>
    <xf numFmtId="3" fontId="28" fillId="6" borderId="14" xfId="0" applyNumberFormat="1" applyFont="1" applyFill="1" applyBorder="1" applyProtection="1"/>
    <xf numFmtId="0" fontId="75" fillId="7" borderId="0" xfId="0" applyFont="1" applyFill="1" applyBorder="1" applyAlignment="1" applyProtection="1">
      <alignment horizontal="left" indent="8"/>
    </xf>
    <xf numFmtId="3" fontId="28" fillId="46" borderId="14" xfId="0" applyNumberFormat="1" applyFont="1" applyFill="1" applyBorder="1" applyProtection="1"/>
    <xf numFmtId="3" fontId="28" fillId="7" borderId="14" xfId="0" applyNumberFormat="1" applyFont="1" applyFill="1" applyBorder="1" applyAlignment="1" applyProtection="1">
      <alignment horizontal="right"/>
    </xf>
    <xf numFmtId="9" fontId="28" fillId="6" borderId="14" xfId="0" applyNumberFormat="1" applyFont="1" applyFill="1" applyBorder="1" applyAlignment="1" applyProtection="1">
      <alignment horizontal="center" vertical="top" wrapText="1"/>
    </xf>
    <xf numFmtId="9" fontId="28" fillId="7" borderId="0" xfId="0" applyNumberFormat="1" applyFont="1" applyFill="1" applyBorder="1" applyAlignment="1" applyProtection="1">
      <alignment horizontal="center" vertical="top" wrapText="1"/>
    </xf>
    <xf numFmtId="2" fontId="28" fillId="7" borderId="0" xfId="0" applyNumberFormat="1" applyFont="1" applyFill="1" applyBorder="1" applyAlignment="1" applyProtection="1">
      <alignment horizontal="center"/>
    </xf>
    <xf numFmtId="10" fontId="28" fillId="7" borderId="14" xfId="0" applyNumberFormat="1" applyFont="1" applyFill="1" applyBorder="1" applyAlignment="1" applyProtection="1">
      <alignment horizontal="center" vertical="top" wrapText="1"/>
    </xf>
    <xf numFmtId="10" fontId="28" fillId="6" borderId="14" xfId="0" applyNumberFormat="1" applyFont="1" applyFill="1" applyBorder="1" applyAlignment="1" applyProtection="1">
      <alignment horizontal="center"/>
    </xf>
    <xf numFmtId="0" fontId="28" fillId="7" borderId="0" xfId="0" quotePrefix="1" applyFont="1" applyFill="1" applyBorder="1" applyAlignment="1" applyProtection="1"/>
    <xf numFmtId="10" fontId="28" fillId="6" borderId="17" xfId="0" applyNumberFormat="1" applyFont="1" applyFill="1" applyBorder="1" applyAlignment="1" applyProtection="1">
      <alignment horizontal="center"/>
    </xf>
    <xf numFmtId="170" fontId="28" fillId="7" borderId="0" xfId="0" applyNumberFormat="1" applyFont="1" applyFill="1" applyBorder="1" applyProtection="1"/>
    <xf numFmtId="0" fontId="29" fillId="7" borderId="0" xfId="0" applyFont="1" applyFill="1" applyProtection="1"/>
    <xf numFmtId="174" fontId="28" fillId="7" borderId="0" xfId="0" applyNumberFormat="1" applyFont="1" applyFill="1" applyBorder="1" applyProtection="1"/>
    <xf numFmtId="0" fontId="28" fillId="7" borderId="0" xfId="0" applyFont="1" applyFill="1" applyBorder="1" applyAlignment="1" applyProtection="1">
      <alignment horizontal="left" vertical="top"/>
    </xf>
    <xf numFmtId="3" fontId="28" fillId="7" borderId="14" xfId="0" applyNumberFormat="1" applyFont="1" applyFill="1" applyBorder="1" applyAlignment="1" applyProtection="1">
      <alignment horizontal="center"/>
    </xf>
    <xf numFmtId="3" fontId="28" fillId="7" borderId="0" xfId="0" applyNumberFormat="1" applyFont="1" applyFill="1" applyBorder="1" applyProtection="1"/>
    <xf numFmtId="0" fontId="28" fillId="7" borderId="0" xfId="0" applyFont="1" applyFill="1" applyBorder="1" applyAlignment="1" applyProtection="1">
      <alignment horizontal="left"/>
    </xf>
    <xf numFmtId="43" fontId="28" fillId="6" borderId="14" xfId="4" applyFont="1" applyFill="1" applyBorder="1" applyAlignment="1" applyProtection="1">
      <alignment horizontal="center"/>
    </xf>
    <xf numFmtId="43" fontId="28" fillId="7" borderId="0" xfId="4" applyFont="1" applyFill="1" applyBorder="1" applyProtection="1"/>
    <xf numFmtId="2" fontId="28" fillId="7" borderId="14" xfId="0" applyNumberFormat="1" applyFont="1" applyFill="1" applyBorder="1" applyAlignment="1" applyProtection="1"/>
    <xf numFmtId="0" fontId="28" fillId="7" borderId="0" xfId="0" applyFont="1" applyFill="1" applyBorder="1" applyAlignment="1" applyProtection="1"/>
    <xf numFmtId="0" fontId="28" fillId="7" borderId="0" xfId="0" applyFont="1" applyFill="1" applyBorder="1" applyAlignment="1" applyProtection="1">
      <alignment vertical="center" wrapText="1"/>
    </xf>
    <xf numFmtId="0" fontId="28" fillId="7" borderId="0" xfId="0" applyFont="1" applyFill="1" applyBorder="1" applyAlignment="1" applyProtection="1">
      <alignment vertical="center"/>
    </xf>
    <xf numFmtId="0" fontId="28" fillId="7" borderId="0" xfId="0" applyFont="1" applyFill="1" applyAlignment="1" applyProtection="1">
      <alignment vertical="center"/>
    </xf>
    <xf numFmtId="2" fontId="28" fillId="7" borderId="14" xfId="4" applyNumberFormat="1" applyFont="1" applyFill="1" applyBorder="1" applyProtection="1"/>
    <xf numFmtId="43" fontId="28" fillId="7" borderId="14" xfId="4" applyFont="1" applyFill="1" applyBorder="1" applyProtection="1"/>
    <xf numFmtId="9" fontId="28" fillId="6" borderId="14" xfId="0" applyNumberFormat="1" applyFont="1" applyFill="1" applyBorder="1" applyAlignment="1" applyProtection="1">
      <alignment horizontal="center"/>
    </xf>
    <xf numFmtId="3" fontId="28" fillId="7" borderId="0" xfId="0" applyNumberFormat="1" applyFont="1" applyFill="1" applyProtection="1"/>
    <xf numFmtId="2" fontId="28" fillId="7" borderId="0" xfId="0" applyNumberFormat="1" applyFont="1" applyFill="1" applyProtection="1"/>
    <xf numFmtId="0" fontId="28" fillId="7" borderId="0" xfId="0" applyFont="1" applyFill="1" applyAlignment="1" applyProtection="1">
      <alignment vertical="top"/>
    </xf>
    <xf numFmtId="0" fontId="28" fillId="7" borderId="4" xfId="0" applyFont="1" applyFill="1" applyBorder="1" applyAlignment="1" applyProtection="1">
      <alignment horizontal="center" vertical="center" wrapText="1"/>
    </xf>
    <xf numFmtId="0" fontId="28" fillId="7" borderId="14" xfId="0" applyFont="1" applyFill="1" applyBorder="1" applyProtection="1"/>
    <xf numFmtId="43" fontId="28" fillId="6" borderId="17" xfId="4" applyFont="1" applyFill="1" applyBorder="1" applyProtection="1"/>
    <xf numFmtId="9" fontId="28" fillId="6" borderId="14" xfId="12" applyFont="1" applyFill="1" applyBorder="1" applyProtection="1"/>
    <xf numFmtId="175" fontId="28" fillId="7" borderId="14" xfId="4" applyNumberFormat="1" applyFont="1" applyFill="1" applyBorder="1" applyProtection="1"/>
    <xf numFmtId="0" fontId="28" fillId="6" borderId="14" xfId="0" applyFont="1" applyFill="1" applyBorder="1" applyAlignment="1" applyProtection="1">
      <alignment horizontal="center" vertical="top" wrapText="1"/>
    </xf>
    <xf numFmtId="176" fontId="28" fillId="7" borderId="14" xfId="4" applyNumberFormat="1" applyFont="1" applyFill="1" applyBorder="1" applyProtection="1"/>
    <xf numFmtId="10" fontId="28" fillId="7" borderId="3" xfId="12" applyNumberFormat="1" applyFont="1" applyFill="1" applyBorder="1" applyProtection="1"/>
    <xf numFmtId="164" fontId="28" fillId="7" borderId="0" xfId="0" applyNumberFormat="1" applyFont="1" applyFill="1" applyProtection="1"/>
    <xf numFmtId="171" fontId="28" fillId="7" borderId="0" xfId="0" applyNumberFormat="1" applyFont="1" applyFill="1" applyProtection="1"/>
    <xf numFmtId="177" fontId="28" fillId="6" borderId="14" xfId="4" applyNumberFormat="1" applyFont="1" applyFill="1" applyBorder="1" applyAlignment="1" applyProtection="1">
      <alignment horizontal="center" vertical="center" wrapText="1"/>
    </xf>
    <xf numFmtId="0" fontId="75" fillId="7" borderId="0" xfId="0" applyFont="1" applyFill="1" applyProtection="1"/>
    <xf numFmtId="0" fontId="28" fillId="7" borderId="0" xfId="0" applyFont="1" applyFill="1" applyBorder="1" applyAlignment="1" applyProtection="1">
      <alignment horizontal="right"/>
    </xf>
    <xf numFmtId="182" fontId="28" fillId="6" borderId="14" xfId="4" applyNumberFormat="1" applyFont="1" applyFill="1" applyBorder="1" applyAlignment="1" applyProtection="1">
      <alignment horizontal="center" vertical="center" wrapText="1"/>
    </xf>
    <xf numFmtId="175" fontId="28" fillId="6" borderId="14" xfId="4" applyNumberFormat="1" applyFont="1" applyFill="1" applyBorder="1" applyProtection="1"/>
    <xf numFmtId="0" fontId="67" fillId="7" borderId="0" xfId="0" applyFont="1" applyFill="1" applyAlignment="1" applyProtection="1">
      <alignment horizontal="right"/>
    </xf>
    <xf numFmtId="0" fontId="67" fillId="7" borderId="0" xfId="0" applyFont="1" applyFill="1" applyAlignment="1" applyProtection="1">
      <alignment horizontal="center"/>
    </xf>
    <xf numFmtId="175" fontId="28" fillId="33" borderId="14" xfId="4" applyNumberFormat="1" applyFont="1" applyFill="1" applyBorder="1" applyProtection="1"/>
    <xf numFmtId="43" fontId="75" fillId="7" borderId="0" xfId="4" applyFont="1" applyFill="1" applyProtection="1"/>
    <xf numFmtId="171" fontId="28" fillId="7" borderId="0" xfId="0" applyNumberFormat="1" applyFont="1" applyFill="1" applyBorder="1" applyProtection="1"/>
    <xf numFmtId="175" fontId="28" fillId="7" borderId="0" xfId="4" applyNumberFormat="1" applyFont="1" applyFill="1" applyBorder="1" applyProtection="1"/>
    <xf numFmtId="178" fontId="28" fillId="7" borderId="0" xfId="0" quotePrefix="1" applyNumberFormat="1" applyFont="1" applyFill="1" applyAlignment="1" applyProtection="1">
      <alignment horizontal="right"/>
    </xf>
    <xf numFmtId="175" fontId="28" fillId="7" borderId="0" xfId="4" applyNumberFormat="1" applyFont="1" applyFill="1" applyProtection="1"/>
    <xf numFmtId="168" fontId="28" fillId="6" borderId="14" xfId="12" applyNumberFormat="1" applyFont="1" applyFill="1" applyBorder="1" applyProtection="1"/>
    <xf numFmtId="164" fontId="28" fillId="7" borderId="0" xfId="0" applyNumberFormat="1" applyFont="1" applyFill="1" applyBorder="1" applyProtection="1"/>
    <xf numFmtId="43" fontId="42" fillId="3" borderId="5" xfId="4" applyFont="1" applyFill="1" applyBorder="1" applyProtection="1"/>
    <xf numFmtId="43" fontId="42" fillId="3" borderId="5" xfId="4" applyFont="1" applyFill="1" applyBorder="1" applyAlignment="1" applyProtection="1">
      <alignment horizontal="center"/>
    </xf>
    <xf numFmtId="43" fontId="28" fillId="3" borderId="0" xfId="4" applyFont="1" applyFill="1" applyProtection="1"/>
    <xf numFmtId="43" fontId="28" fillId="3" borderId="5" xfId="4" applyFont="1" applyFill="1" applyBorder="1" applyProtection="1"/>
    <xf numFmtId="43" fontId="28" fillId="3" borderId="9" xfId="4" applyFont="1" applyFill="1" applyBorder="1" applyProtection="1"/>
    <xf numFmtId="43" fontId="28" fillId="3" borderId="8" xfId="4" applyFont="1" applyFill="1" applyBorder="1" applyProtection="1"/>
    <xf numFmtId="43" fontId="28" fillId="3" borderId="4" xfId="4" applyFont="1" applyFill="1" applyBorder="1" applyAlignment="1" applyProtection="1">
      <alignment horizontal="center"/>
    </xf>
    <xf numFmtId="175" fontId="28" fillId="3" borderId="4" xfId="4" applyNumberFormat="1" applyFont="1" applyFill="1" applyBorder="1" applyProtection="1"/>
    <xf numFmtId="43" fontId="28" fillId="3" borderId="5" xfId="4" applyFont="1" applyFill="1" applyBorder="1" applyAlignment="1" applyProtection="1">
      <alignment horizontal="center"/>
    </xf>
    <xf numFmtId="43" fontId="28" fillId="3" borderId="9" xfId="4" applyFont="1" applyFill="1" applyBorder="1" applyAlignment="1" applyProtection="1">
      <alignment horizontal="center" vertical="top" wrapText="1"/>
    </xf>
    <xf numFmtId="175" fontId="28" fillId="3" borderId="5" xfId="4" applyNumberFormat="1" applyFont="1" applyFill="1" applyBorder="1" applyProtection="1"/>
    <xf numFmtId="43" fontId="42" fillId="3" borderId="9" xfId="4" applyFont="1" applyFill="1" applyBorder="1" applyProtection="1"/>
    <xf numFmtId="43" fontId="28" fillId="3" borderId="10" xfId="4" applyFont="1" applyFill="1" applyBorder="1" applyProtection="1"/>
    <xf numFmtId="43" fontId="28" fillId="3" borderId="3" xfId="4" applyFont="1" applyFill="1" applyBorder="1" applyAlignment="1" applyProtection="1">
      <alignment horizontal="center"/>
    </xf>
    <xf numFmtId="43" fontId="28" fillId="3" borderId="10" xfId="4" applyFont="1" applyFill="1" applyBorder="1" applyAlignment="1" applyProtection="1">
      <alignment horizontal="center" vertical="top" wrapText="1"/>
    </xf>
    <xf numFmtId="175" fontId="28" fillId="3" borderId="5" xfId="4" applyNumberFormat="1" applyFont="1" applyFill="1" applyBorder="1" applyAlignment="1" applyProtection="1">
      <alignment horizontal="center"/>
    </xf>
    <xf numFmtId="175" fontId="42" fillId="3" borderId="5" xfId="4" applyNumberFormat="1" applyFont="1" applyFill="1" applyBorder="1" applyProtection="1"/>
    <xf numFmtId="175" fontId="28" fillId="3" borderId="4" xfId="4" applyNumberFormat="1" applyFont="1" applyFill="1" applyBorder="1" applyAlignment="1" applyProtection="1">
      <alignment horizontal="center"/>
    </xf>
    <xf numFmtId="175" fontId="28" fillId="3" borderId="3" xfId="4" applyNumberFormat="1" applyFont="1" applyFill="1" applyBorder="1" applyAlignment="1" applyProtection="1">
      <alignment horizontal="center"/>
    </xf>
    <xf numFmtId="175" fontId="31" fillId="3" borderId="5" xfId="4" applyNumberFormat="1" applyFont="1" applyFill="1" applyBorder="1" applyProtection="1"/>
    <xf numFmtId="175" fontId="81" fillId="3" borderId="5" xfId="4" applyNumberFormat="1" applyFont="1" applyFill="1" applyBorder="1" applyProtection="1"/>
    <xf numFmtId="175" fontId="28" fillId="3" borderId="3" xfId="4" applyNumberFormat="1" applyFont="1" applyFill="1" applyBorder="1" applyProtection="1"/>
    <xf numFmtId="43" fontId="72" fillId="3" borderId="4" xfId="4" applyFont="1" applyFill="1" applyBorder="1" applyProtection="1"/>
    <xf numFmtId="43" fontId="72" fillId="3" borderId="5" xfId="4" applyFont="1" applyFill="1" applyBorder="1" applyProtection="1"/>
    <xf numFmtId="3" fontId="75" fillId="7" borderId="0" xfId="0" applyNumberFormat="1" applyFont="1" applyFill="1" applyAlignment="1" applyProtection="1">
      <alignment horizontal="center" vertical="center"/>
    </xf>
    <xf numFmtId="185" fontId="28" fillId="3" borderId="0" xfId="4" applyNumberFormat="1" applyFont="1" applyFill="1"/>
    <xf numFmtId="43" fontId="42" fillId="0" borderId="5" xfId="4" applyFont="1" applyFill="1" applyBorder="1" applyProtection="1"/>
    <xf numFmtId="3" fontId="37" fillId="3" borderId="0" xfId="4" applyNumberFormat="1" applyFont="1" applyFill="1"/>
    <xf numFmtId="3" fontId="27" fillId="5" borderId="0" xfId="4" applyNumberFormat="1" applyFont="1" applyFill="1"/>
    <xf numFmtId="3" fontId="37" fillId="2" borderId="28" xfId="0" applyNumberFormat="1" applyFont="1" applyFill="1" applyBorder="1" applyAlignment="1">
      <alignment horizontal="center" vertical="center" wrapText="1"/>
    </xf>
    <xf numFmtId="3" fontId="37" fillId="2" borderId="29" xfId="4" applyNumberFormat="1" applyFont="1" applyFill="1" applyBorder="1" applyAlignment="1">
      <alignment horizontal="center" vertical="center" wrapText="1"/>
    </xf>
    <xf numFmtId="186" fontId="37" fillId="3" borderId="0" xfId="4" applyNumberFormat="1" applyFont="1" applyFill="1"/>
    <xf numFmtId="186" fontId="37" fillId="2" borderId="0" xfId="4" applyNumberFormat="1" applyFont="1" applyFill="1"/>
    <xf numFmtId="186" fontId="27" fillId="5" borderId="0" xfId="4" applyNumberFormat="1" applyFont="1" applyFill="1"/>
    <xf numFmtId="186" fontId="37" fillId="2" borderId="0" xfId="4" applyNumberFormat="1" applyFont="1" applyFill="1" applyAlignment="1">
      <alignment wrapText="1"/>
    </xf>
    <xf numFmtId="186" fontId="39" fillId="3" borderId="0" xfId="0" applyNumberFormat="1" applyFont="1" applyFill="1" applyAlignment="1">
      <alignment wrapText="1"/>
    </xf>
    <xf numFmtId="186" fontId="37" fillId="3" borderId="0" xfId="0" applyNumberFormat="1" applyFont="1" applyFill="1"/>
    <xf numFmtId="3" fontId="37" fillId="31" borderId="30" xfId="0" applyNumberFormat="1" applyFont="1" applyFill="1" applyBorder="1" applyAlignment="1">
      <alignment horizontal="right"/>
    </xf>
    <xf numFmtId="3" fontId="37" fillId="31" borderId="30" xfId="4" applyNumberFormat="1" applyFont="1" applyFill="1" applyBorder="1" applyAlignment="1">
      <alignment horizontal="right"/>
    </xf>
    <xf numFmtId="3" fontId="37" fillId="31" borderId="0" xfId="4" applyNumberFormat="1" applyFont="1" applyFill="1" applyAlignment="1">
      <alignment horizontal="right"/>
    </xf>
    <xf numFmtId="3" fontId="37" fillId="31" borderId="31" xfId="0" applyNumberFormat="1" applyFont="1" applyFill="1" applyBorder="1" applyAlignment="1">
      <alignment horizontal="right"/>
    </xf>
    <xf numFmtId="3" fontId="37" fillId="31" borderId="32" xfId="4" applyNumberFormat="1" applyFont="1" applyFill="1" applyBorder="1" applyAlignment="1">
      <alignment horizontal="right"/>
    </xf>
    <xf numFmtId="3" fontId="37" fillId="31" borderId="16" xfId="4" applyNumberFormat="1" applyFont="1" applyFill="1" applyBorder="1" applyAlignment="1">
      <alignment horizontal="right"/>
    </xf>
    <xf numFmtId="179" fontId="71" fillId="3" borderId="0" xfId="4" applyNumberFormat="1" applyFont="1" applyFill="1" applyAlignment="1" applyProtection="1">
      <alignment horizontal="left"/>
    </xf>
    <xf numFmtId="43" fontId="28" fillId="3" borderId="0" xfId="4" applyFont="1" applyFill="1" applyAlignment="1" applyProtection="1">
      <alignment horizontal="center"/>
    </xf>
    <xf numFmtId="43" fontId="68" fillId="3" borderId="0" xfId="668" applyNumberFormat="1" applyFill="1" applyBorder="1" applyAlignment="1" applyProtection="1">
      <alignment horizontal="right" vertical="center"/>
    </xf>
    <xf numFmtId="43" fontId="68" fillId="3" borderId="0" xfId="668" applyNumberFormat="1" applyFill="1" applyAlignment="1" applyProtection="1">
      <alignment horizontal="center" vertical="center" wrapText="1"/>
    </xf>
    <xf numFmtId="43" fontId="68" fillId="3" borderId="0" xfId="668" applyNumberFormat="1" applyFill="1" applyAlignment="1" applyProtection="1">
      <alignment horizontal="left" vertical="center"/>
    </xf>
    <xf numFmtId="175" fontId="28" fillId="3" borderId="0" xfId="4" applyNumberFormat="1" applyFont="1" applyFill="1" applyProtection="1"/>
    <xf numFmtId="175" fontId="28" fillId="3" borderId="0" xfId="4" applyNumberFormat="1" applyFont="1" applyFill="1" applyAlignment="1" applyProtection="1">
      <alignment horizontal="center"/>
    </xf>
    <xf numFmtId="175" fontId="42" fillId="3" borderId="0" xfId="4" applyNumberFormat="1" applyFont="1" applyFill="1" applyProtection="1"/>
    <xf numFmtId="179" fontId="73" fillId="3" borderId="0" xfId="4" applyNumberFormat="1" applyFont="1" applyFill="1" applyAlignment="1" applyProtection="1">
      <alignment horizontal="left"/>
    </xf>
    <xf numFmtId="43" fontId="28" fillId="3" borderId="0" xfId="4" applyFont="1" applyFill="1" applyBorder="1" applyAlignment="1" applyProtection="1">
      <alignment horizontal="left"/>
    </xf>
    <xf numFmtId="175" fontId="28" fillId="3" borderId="0" xfId="4" applyNumberFormat="1" applyFont="1" applyFill="1" applyBorder="1" applyAlignment="1" applyProtection="1">
      <alignment horizontal="left"/>
    </xf>
    <xf numFmtId="179" fontId="28" fillId="3" borderId="0" xfId="4" applyNumberFormat="1" applyFont="1" applyFill="1" applyAlignment="1" applyProtection="1">
      <alignment horizontal="left"/>
    </xf>
    <xf numFmtId="43" fontId="28" fillId="3" borderId="0" xfId="4" applyFont="1" applyFill="1" applyBorder="1" applyAlignment="1" applyProtection="1">
      <alignment horizontal="center"/>
    </xf>
    <xf numFmtId="43" fontId="29" fillId="3" borderId="0" xfId="4" applyFont="1" applyFill="1" applyProtection="1"/>
    <xf numFmtId="43" fontId="41" fillId="38" borderId="4" xfId="4" applyFont="1" applyFill="1" applyBorder="1" applyAlignment="1" applyProtection="1">
      <alignment horizontal="center" vertical="center" wrapText="1"/>
    </xf>
    <xf numFmtId="43" fontId="27" fillId="38" borderId="4" xfId="4" applyFont="1" applyFill="1" applyBorder="1" applyAlignment="1" applyProtection="1">
      <alignment horizontal="center" vertical="center" wrapText="1"/>
    </xf>
    <xf numFmtId="175" fontId="27" fillId="38" borderId="4" xfId="4" applyNumberFormat="1" applyFont="1" applyFill="1" applyBorder="1" applyAlignment="1" applyProtection="1">
      <alignment horizontal="center" vertical="center" wrapText="1"/>
    </xf>
    <xf numFmtId="3" fontId="41" fillId="38" borderId="4" xfId="0" applyNumberFormat="1" applyFont="1" applyFill="1" applyBorder="1" applyAlignment="1" applyProtection="1">
      <alignment horizontal="center" vertical="center" wrapText="1"/>
    </xf>
    <xf numFmtId="43" fontId="27" fillId="3" borderId="0" xfId="4" applyFont="1" applyFill="1" applyBorder="1" applyAlignment="1" applyProtection="1">
      <alignment horizontal="center" vertical="center" textRotation="90" wrapText="1"/>
    </xf>
    <xf numFmtId="43" fontId="28" fillId="3" borderId="0" xfId="4" applyFont="1" applyFill="1" applyAlignment="1" applyProtection="1">
      <alignment horizontal="center" vertical="top" wrapText="1"/>
    </xf>
    <xf numFmtId="0" fontId="27" fillId="38" borderId="4" xfId="0" applyFont="1" applyFill="1" applyBorder="1" applyAlignment="1" applyProtection="1">
      <alignment horizontal="center" vertical="center" wrapText="1"/>
    </xf>
    <xf numFmtId="43" fontId="41" fillId="38" borderId="4" xfId="4" applyFont="1" applyFill="1" applyBorder="1" applyAlignment="1" applyProtection="1">
      <alignment horizontal="center"/>
    </xf>
    <xf numFmtId="43" fontId="27" fillId="38" borderId="12" xfId="4" applyFont="1" applyFill="1" applyBorder="1" applyAlignment="1" applyProtection="1">
      <alignment horizontal="center"/>
    </xf>
    <xf numFmtId="43" fontId="27" fillId="38" borderId="14" xfId="4" applyFont="1" applyFill="1" applyBorder="1" applyAlignment="1" applyProtection="1">
      <alignment horizontal="center"/>
    </xf>
    <xf numFmtId="175" fontId="27" fillId="38" borderId="14" xfId="4" applyNumberFormat="1" applyFont="1" applyFill="1" applyBorder="1" applyAlignment="1" applyProtection="1">
      <alignment horizontal="center"/>
    </xf>
    <xf numFmtId="0" fontId="41" fillId="38" borderId="4" xfId="4" quotePrefix="1" applyNumberFormat="1" applyFont="1" applyFill="1" applyBorder="1" applyAlignment="1" applyProtection="1">
      <alignment horizontal="center"/>
    </xf>
    <xf numFmtId="14" fontId="41" fillId="38" borderId="4" xfId="0" applyNumberFormat="1" applyFont="1" applyFill="1" applyBorder="1" applyAlignment="1" applyProtection="1">
      <alignment horizontal="center"/>
    </xf>
    <xf numFmtId="175" fontId="2" fillId="36" borderId="14" xfId="4" applyNumberFormat="1" applyFont="1" applyFill="1" applyBorder="1" applyAlignment="1" applyProtection="1">
      <alignment horizontal="center" vertical="center" wrapText="1"/>
    </xf>
    <xf numFmtId="179" fontId="28" fillId="3" borderId="5" xfId="4" applyNumberFormat="1" applyFont="1" applyFill="1" applyBorder="1" applyAlignment="1" applyProtection="1">
      <alignment horizontal="center"/>
    </xf>
    <xf numFmtId="43" fontId="28" fillId="42" borderId="9" xfId="4" applyFont="1" applyFill="1" applyBorder="1" applyProtection="1"/>
    <xf numFmtId="43" fontId="28" fillId="3" borderId="0" xfId="4" applyFont="1" applyFill="1" applyBorder="1" applyAlignment="1" applyProtection="1">
      <alignment horizontal="center" vertical="top" wrapText="1"/>
    </xf>
    <xf numFmtId="43" fontId="63" fillId="3" borderId="0" xfId="4" applyFont="1" applyFill="1" applyProtection="1"/>
    <xf numFmtId="0" fontId="28" fillId="3" borderId="4" xfId="28" applyFont="1" applyFill="1" applyBorder="1" applyAlignment="1" applyProtection="1">
      <alignment horizontal="center"/>
    </xf>
    <xf numFmtId="0" fontId="28" fillId="3" borderId="5" xfId="28" applyFont="1" applyFill="1" applyBorder="1" applyAlignment="1" applyProtection="1">
      <alignment horizontal="center"/>
    </xf>
    <xf numFmtId="43" fontId="42" fillId="3" borderId="11" xfId="4" applyFont="1" applyFill="1" applyBorder="1" applyProtection="1"/>
    <xf numFmtId="43" fontId="28" fillId="0" borderId="0" xfId="4" applyFont="1" applyFill="1" applyProtection="1"/>
    <xf numFmtId="179" fontId="28" fillId="0" borderId="5" xfId="4" applyNumberFormat="1" applyFont="1" applyFill="1" applyBorder="1" applyAlignment="1" applyProtection="1">
      <alignment horizontal="center"/>
    </xf>
    <xf numFmtId="43" fontId="64" fillId="3" borderId="0" xfId="4" applyFont="1" applyFill="1" applyProtection="1"/>
    <xf numFmtId="179" fontId="28" fillId="3" borderId="14" xfId="4" applyNumberFormat="1" applyFont="1" applyFill="1" applyBorder="1" applyAlignment="1" applyProtection="1">
      <alignment horizontal="center"/>
    </xf>
    <xf numFmtId="175" fontId="28" fillId="3" borderId="17" xfId="4" applyNumberFormat="1" applyFont="1" applyFill="1" applyBorder="1" applyAlignment="1" applyProtection="1">
      <alignment horizontal="center"/>
    </xf>
    <xf numFmtId="43" fontId="28" fillId="3" borderId="0" xfId="4" applyFont="1" applyFill="1" applyBorder="1" applyProtection="1"/>
    <xf numFmtId="43" fontId="28" fillId="3" borderId="14" xfId="4" applyFont="1" applyFill="1" applyBorder="1" applyProtection="1"/>
    <xf numFmtId="180" fontId="28" fillId="3" borderId="14" xfId="4" applyNumberFormat="1" applyFont="1" applyFill="1" applyBorder="1" applyAlignment="1" applyProtection="1">
      <alignment horizontal="center"/>
    </xf>
    <xf numFmtId="175" fontId="28" fillId="3" borderId="0" xfId="4" applyNumberFormat="1" applyFont="1" applyFill="1" applyBorder="1" applyProtection="1"/>
    <xf numFmtId="179" fontId="28" fillId="3" borderId="0" xfId="4" applyNumberFormat="1" applyFont="1" applyFill="1" applyAlignment="1" applyProtection="1">
      <alignment horizontal="center"/>
    </xf>
    <xf numFmtId="43" fontId="28" fillId="3" borderId="0" xfId="4" quotePrefix="1" applyFont="1" applyFill="1" applyProtection="1"/>
    <xf numFmtId="0" fontId="83" fillId="43" borderId="0" xfId="18" applyFont="1" applyFill="1"/>
    <xf numFmtId="0" fontId="28" fillId="43" borderId="0" xfId="18" applyFont="1" applyFill="1"/>
    <xf numFmtId="0" fontId="34" fillId="43" borderId="0" xfId="18" applyFont="1" applyFill="1" applyAlignment="1">
      <alignment horizontal="right"/>
    </xf>
    <xf numFmtId="0" fontId="34" fillId="43" borderId="0" xfId="18" applyFont="1" applyFill="1"/>
    <xf numFmtId="0" fontId="86" fillId="3" borderId="0" xfId="669" applyFont="1" applyFill="1" applyAlignment="1">
      <alignment horizontal="left" vertical="top" wrapText="1"/>
    </xf>
    <xf numFmtId="0" fontId="86" fillId="3" borderId="0" xfId="669" applyFont="1" applyFill="1" applyAlignment="1">
      <alignment horizontal="left" vertical="top"/>
    </xf>
    <xf numFmtId="0" fontId="37" fillId="3" borderId="0" xfId="18" applyFont="1" applyFill="1"/>
    <xf numFmtId="0" fontId="37" fillId="43" borderId="0" xfId="18" applyFont="1" applyFill="1"/>
    <xf numFmtId="0" fontId="38" fillId="5" borderId="17" xfId="18" applyFont="1" applyFill="1" applyBorder="1"/>
    <xf numFmtId="0" fontId="27" fillId="5" borderId="6" xfId="18" applyFont="1" applyFill="1" applyBorder="1"/>
    <xf numFmtId="0" fontId="82" fillId="5" borderId="6" xfId="18" applyFont="1" applyFill="1" applyBorder="1" applyAlignment="1">
      <alignment horizontal="center"/>
    </xf>
    <xf numFmtId="0" fontId="86" fillId="3" borderId="0" xfId="669" applyFont="1" applyFill="1" applyAlignment="1">
      <alignment horizontal="left" vertical="center" wrapText="1"/>
    </xf>
    <xf numFmtId="0" fontId="86" fillId="3" borderId="0" xfId="669" applyFont="1" applyFill="1" applyAlignment="1">
      <alignment horizontal="left" vertical="center"/>
    </xf>
    <xf numFmtId="43" fontId="37" fillId="3" borderId="0" xfId="4" applyFont="1" applyFill="1" applyBorder="1" applyAlignment="1" applyProtection="1">
      <alignment vertical="center"/>
    </xf>
    <xf numFmtId="0" fontId="37" fillId="43" borderId="0" xfId="18" applyFont="1" applyFill="1" applyAlignment="1">
      <alignment vertical="center"/>
    </xf>
    <xf numFmtId="0" fontId="87" fillId="3" borderId="0" xfId="669" applyFont="1" applyFill="1" applyAlignment="1">
      <alignment horizontal="left" vertical="center"/>
    </xf>
    <xf numFmtId="0" fontId="38" fillId="5" borderId="17" xfId="18" applyFont="1" applyFill="1" applyBorder="1" applyAlignment="1">
      <alignment vertical="center"/>
    </xf>
    <xf numFmtId="0" fontId="27" fillId="5" borderId="6" xfId="18" applyFont="1" applyFill="1" applyBorder="1" applyAlignment="1">
      <alignment vertical="center"/>
    </xf>
    <xf numFmtId="43" fontId="27" fillId="5" borderId="6" xfId="4" applyFont="1" applyFill="1" applyBorder="1" applyAlignment="1" applyProtection="1">
      <alignment vertical="center"/>
    </xf>
    <xf numFmtId="0" fontId="28" fillId="43" borderId="0" xfId="18" applyFont="1" applyFill="1" applyAlignment="1">
      <alignment vertical="center"/>
    </xf>
    <xf numFmtId="0" fontId="37" fillId="3" borderId="0" xfId="669" applyFont="1" applyFill="1" applyAlignment="1">
      <alignment horizontal="left" vertical="center" wrapText="1"/>
    </xf>
    <xf numFmtId="0" fontId="37" fillId="3" borderId="0" xfId="669" applyFont="1" applyFill="1" applyAlignment="1">
      <alignment horizontal="left" vertical="center"/>
    </xf>
    <xf numFmtId="0" fontId="37" fillId="3" borderId="0" xfId="18" applyFont="1" applyFill="1" applyAlignment="1">
      <alignment vertical="center"/>
    </xf>
    <xf numFmtId="175" fontId="37" fillId="3" borderId="0" xfId="4" applyNumberFormat="1" applyFont="1" applyFill="1" applyBorder="1" applyAlignment="1" applyProtection="1">
      <alignment vertical="center"/>
    </xf>
    <xf numFmtId="43" fontId="28" fillId="0" borderId="9" xfId="4" applyFont="1" applyFill="1" applyBorder="1" applyProtection="1"/>
    <xf numFmtId="43" fontId="28" fillId="3" borderId="8" xfId="4" applyFont="1" applyFill="1" applyBorder="1" applyAlignment="1" applyProtection="1">
      <alignment horizontal="center" vertical="top" wrapText="1"/>
    </xf>
    <xf numFmtId="186" fontId="28" fillId="7" borderId="0" xfId="0" applyNumberFormat="1" applyFont="1" applyFill="1"/>
    <xf numFmtId="175" fontId="68" fillId="3" borderId="0" xfId="4" applyNumberFormat="1" applyFont="1" applyFill="1" applyAlignment="1">
      <alignment vertical="center" wrapText="1"/>
    </xf>
    <xf numFmtId="175" fontId="68" fillId="3" borderId="0" xfId="4" applyNumberFormat="1" applyFont="1" applyFill="1" applyAlignment="1">
      <alignment horizontal="center" vertical="center" wrapText="1"/>
    </xf>
    <xf numFmtId="186" fontId="37" fillId="3" borderId="0" xfId="4" applyNumberFormat="1" applyFont="1" applyFill="1" applyAlignment="1">
      <alignment horizontal="right"/>
    </xf>
    <xf numFmtId="186" fontId="37" fillId="3" borderId="16" xfId="4" applyNumberFormat="1" applyFont="1" applyFill="1" applyBorder="1" applyAlignment="1">
      <alignment horizontal="right"/>
    </xf>
    <xf numFmtId="186" fontId="39" fillId="3" borderId="0" xfId="4" applyNumberFormat="1" applyFont="1" applyFill="1" applyAlignment="1">
      <alignment horizontal="right"/>
    </xf>
    <xf numFmtId="186" fontId="27" fillId="5" borderId="0" xfId="4" applyNumberFormat="1" applyFont="1" applyFill="1" applyAlignment="1">
      <alignment horizontal="right"/>
    </xf>
    <xf numFmtId="186" fontId="39" fillId="3" borderId="0" xfId="0" applyNumberFormat="1" applyFont="1" applyFill="1" applyAlignment="1">
      <alignment horizontal="right" wrapText="1"/>
    </xf>
    <xf numFmtId="186" fontId="37" fillId="3" borderId="0" xfId="0" applyNumberFormat="1" applyFont="1" applyFill="1" applyAlignment="1">
      <alignment horizontal="right"/>
    </xf>
    <xf numFmtId="0" fontId="28" fillId="3" borderId="4" xfId="15" applyFont="1" applyFill="1" applyBorder="1" applyAlignment="1" applyProtection="1">
      <alignment horizontal="center"/>
    </xf>
    <xf numFmtId="0" fontId="28" fillId="3" borderId="5" xfId="15" applyFont="1" applyFill="1" applyBorder="1" applyAlignment="1" applyProtection="1">
      <alignment horizontal="center"/>
    </xf>
    <xf numFmtId="0" fontId="28" fillId="3" borderId="3" xfId="15" applyFont="1" applyFill="1" applyBorder="1" applyAlignment="1" applyProtection="1">
      <alignment horizontal="center"/>
    </xf>
    <xf numFmtId="43" fontId="34" fillId="7" borderId="0" xfId="4" applyFont="1" applyFill="1"/>
    <xf numFmtId="43" fontId="28" fillId="7" borderId="0" xfId="4" applyFont="1" applyFill="1"/>
    <xf numFmtId="164" fontId="28" fillId="7" borderId="0" xfId="0" applyNumberFormat="1" applyFont="1" applyFill="1"/>
    <xf numFmtId="43" fontId="27" fillId="38" borderId="4" xfId="4" applyFont="1" applyFill="1" applyBorder="1" applyAlignment="1" applyProtection="1">
      <alignment horizontal="center" vertical="center" wrapText="1"/>
    </xf>
    <xf numFmtId="0" fontId="37" fillId="3" borderId="0" xfId="0" applyFont="1" applyFill="1" applyAlignment="1">
      <alignment horizontal="left"/>
    </xf>
    <xf numFmtId="0" fontId="37" fillId="3" borderId="0" xfId="0" applyFont="1" applyFill="1" applyAlignment="1">
      <alignment horizontal="right"/>
    </xf>
    <xf numFmtId="43" fontId="28" fillId="33" borderId="14" xfId="4" applyFont="1" applyFill="1" applyBorder="1" applyProtection="1"/>
    <xf numFmtId="43" fontId="68" fillId="3" borderId="0" xfId="668" applyNumberFormat="1" applyFill="1" applyAlignment="1">
      <alignment horizontal="left" vertical="center"/>
    </xf>
    <xf numFmtId="0" fontId="27" fillId="37" borderId="4" xfId="0" applyFont="1" applyFill="1" applyBorder="1" applyAlignment="1">
      <alignment horizontal="center" vertical="center" wrapText="1"/>
    </xf>
    <xf numFmtId="43" fontId="28" fillId="42" borderId="14" xfId="4" applyFont="1" applyFill="1" applyBorder="1" applyProtection="1"/>
    <xf numFmtId="175" fontId="33" fillId="3" borderId="0" xfId="0" applyNumberFormat="1" applyFont="1" applyFill="1"/>
    <xf numFmtId="43" fontId="33" fillId="3" borderId="0" xfId="4" applyFont="1" applyFill="1"/>
    <xf numFmtId="43" fontId="28" fillId="0" borderId="5" xfId="4" applyFont="1" applyFill="1" applyBorder="1" applyAlignment="1" applyProtection="1">
      <alignment horizontal="center"/>
    </xf>
    <xf numFmtId="43" fontId="42" fillId="3" borderId="0" xfId="4" applyFont="1" applyFill="1" applyBorder="1" applyProtection="1"/>
    <xf numFmtId="187" fontId="28" fillId="7" borderId="0" xfId="0" applyNumberFormat="1" applyFont="1" applyFill="1" applyBorder="1" applyAlignment="1" applyProtection="1">
      <alignment vertical="center"/>
    </xf>
    <xf numFmtId="186" fontId="37" fillId="3" borderId="0" xfId="4" applyNumberFormat="1" applyFont="1" applyFill="1" applyAlignment="1">
      <alignment horizontal="left"/>
    </xf>
    <xf numFmtId="182" fontId="28" fillId="6" borderId="14" xfId="4" applyNumberFormat="1" applyFont="1" applyFill="1" applyBorder="1" applyProtection="1"/>
    <xf numFmtId="175" fontId="28" fillId="7" borderId="0" xfId="0" applyNumberFormat="1" applyFont="1" applyFill="1" applyProtection="1"/>
    <xf numFmtId="180" fontId="37" fillId="3" borderId="0" xfId="4" applyNumberFormat="1" applyFont="1" applyFill="1" applyBorder="1" applyAlignment="1" applyProtection="1">
      <alignment vertical="center"/>
    </xf>
    <xf numFmtId="180" fontId="88" fillId="3" borderId="0" xfId="4" applyNumberFormat="1" applyFont="1" applyFill="1" applyBorder="1" applyAlignment="1" applyProtection="1">
      <alignment vertical="center"/>
    </xf>
    <xf numFmtId="180" fontId="39" fillId="3" borderId="0" xfId="4" applyNumberFormat="1" applyFont="1" applyFill="1" applyBorder="1" applyAlignment="1" applyProtection="1">
      <alignment vertical="center"/>
    </xf>
    <xf numFmtId="177" fontId="37" fillId="3" borderId="0" xfId="4" applyNumberFormat="1" applyFont="1" applyFill="1" applyBorder="1" applyAlignment="1" applyProtection="1">
      <alignment vertical="center"/>
    </xf>
    <xf numFmtId="180" fontId="28" fillId="3" borderId="4" xfId="4" applyNumberFormat="1" applyFont="1" applyFill="1" applyBorder="1" applyAlignment="1">
      <alignment horizontal="right"/>
    </xf>
    <xf numFmtId="180" fontId="28" fillId="3" borderId="0" xfId="4" applyNumberFormat="1" applyFont="1" applyFill="1" applyBorder="1" applyAlignment="1">
      <alignment horizontal="right"/>
    </xf>
    <xf numFmtId="180" fontId="28" fillId="36" borderId="5" xfId="4" applyNumberFormat="1" applyFont="1" applyFill="1" applyBorder="1" applyAlignment="1">
      <alignment horizontal="right"/>
    </xf>
    <xf numFmtId="180" fontId="28" fillId="3" borderId="12" xfId="4" applyNumberFormat="1" applyFont="1" applyFill="1" applyBorder="1" applyAlignment="1">
      <alignment horizontal="right"/>
    </xf>
    <xf numFmtId="180" fontId="28" fillId="3" borderId="15" xfId="4" applyNumberFormat="1" applyFont="1" applyFill="1" applyBorder="1" applyAlignment="1">
      <alignment horizontal="right"/>
    </xf>
    <xf numFmtId="180" fontId="28" fillId="36" borderId="4" xfId="4" applyNumberFormat="1" applyFont="1" applyFill="1" applyBorder="1" applyAlignment="1">
      <alignment horizontal="right"/>
    </xf>
    <xf numFmtId="180" fontId="28" fillId="4" borderId="4" xfId="4" applyNumberFormat="1" applyFont="1" applyFill="1" applyBorder="1" applyAlignment="1">
      <alignment horizontal="right"/>
    </xf>
    <xf numFmtId="180" fontId="28" fillId="3" borderId="5" xfId="4" applyNumberFormat="1" applyFont="1" applyFill="1" applyBorder="1" applyAlignment="1">
      <alignment horizontal="right"/>
    </xf>
    <xf numFmtId="180" fontId="28" fillId="3" borderId="11" xfId="4" applyNumberFormat="1" applyFont="1" applyFill="1" applyBorder="1" applyAlignment="1">
      <alignment horizontal="right"/>
    </xf>
    <xf numFmtId="180" fontId="28" fillId="4" borderId="5" xfId="4" applyNumberFormat="1" applyFont="1" applyFill="1" applyBorder="1" applyAlignment="1">
      <alignment horizontal="right"/>
    </xf>
    <xf numFmtId="180" fontId="28" fillId="0" borderId="11" xfId="4" applyNumberFormat="1" applyFont="1" applyFill="1" applyBorder="1" applyAlignment="1">
      <alignment horizontal="right"/>
    </xf>
    <xf numFmtId="180" fontId="28" fillId="0" borderId="0" xfId="4" applyNumberFormat="1" applyFont="1" applyFill="1" applyBorder="1" applyAlignment="1">
      <alignment horizontal="right"/>
    </xf>
    <xf numFmtId="180" fontId="28" fillId="3" borderId="3" xfId="4" applyNumberFormat="1" applyFont="1" applyFill="1" applyBorder="1" applyAlignment="1">
      <alignment horizontal="right"/>
    </xf>
    <xf numFmtId="180" fontId="28" fillId="3" borderId="13" xfId="4" applyNumberFormat="1" applyFont="1" applyFill="1" applyBorder="1" applyAlignment="1">
      <alignment horizontal="right"/>
    </xf>
    <xf numFmtId="180" fontId="28" fillId="3" borderId="16" xfId="4" applyNumberFormat="1" applyFont="1" applyFill="1" applyBorder="1" applyAlignment="1">
      <alignment horizontal="right"/>
    </xf>
    <xf numFmtId="180" fontId="28" fillId="36" borderId="3" xfId="4" applyNumberFormat="1" applyFont="1" applyFill="1" applyBorder="1" applyAlignment="1">
      <alignment horizontal="right"/>
    </xf>
    <xf numFmtId="180" fontId="28" fillId="4" borderId="3" xfId="4" applyNumberFormat="1" applyFont="1" applyFill="1" applyBorder="1" applyAlignment="1">
      <alignment horizontal="right"/>
    </xf>
    <xf numFmtId="180" fontId="28" fillId="3" borderId="14" xfId="4" applyNumberFormat="1" applyFont="1" applyFill="1" applyBorder="1" applyAlignment="1">
      <alignment horizontal="right"/>
    </xf>
    <xf numFmtId="180" fontId="28" fillId="3" borderId="6" xfId="4" applyNumberFormat="1" applyFont="1" applyFill="1" applyBorder="1" applyAlignment="1">
      <alignment horizontal="right"/>
    </xf>
    <xf numFmtId="180" fontId="28" fillId="36" borderId="14" xfId="4" applyNumberFormat="1" applyFont="1" applyFill="1" applyBorder="1" applyAlignment="1">
      <alignment horizontal="right"/>
    </xf>
    <xf numFmtId="180" fontId="28" fillId="4" borderId="14" xfId="4" applyNumberFormat="1" applyFont="1" applyFill="1" applyBorder="1" applyAlignment="1">
      <alignment horizontal="right"/>
    </xf>
    <xf numFmtId="180" fontId="28" fillId="36" borderId="11" xfId="4" applyNumberFormat="1" applyFont="1" applyFill="1" applyBorder="1" applyAlignment="1">
      <alignment horizontal="right"/>
    </xf>
    <xf numFmtId="180" fontId="28" fillId="4" borderId="4" xfId="0" applyNumberFormat="1" applyFont="1" applyFill="1" applyBorder="1" applyAlignment="1">
      <alignment horizontal="right"/>
    </xf>
    <xf numFmtId="180" fontId="28" fillId="4" borderId="5" xfId="0" applyNumberFormat="1" applyFont="1" applyFill="1" applyBorder="1" applyAlignment="1">
      <alignment horizontal="right"/>
    </xf>
    <xf numFmtId="180" fontId="28" fillId="4" borderId="3" xfId="0" applyNumberFormat="1" applyFont="1" applyFill="1" applyBorder="1" applyAlignment="1">
      <alignment horizontal="right"/>
    </xf>
    <xf numFmtId="180" fontId="28" fillId="3" borderId="7" xfId="4" applyNumberFormat="1" applyFont="1" applyFill="1" applyBorder="1" applyAlignment="1">
      <alignment horizontal="right"/>
    </xf>
    <xf numFmtId="180" fontId="28" fillId="4" borderId="14" xfId="0" applyNumberFormat="1" applyFont="1" applyFill="1" applyBorder="1" applyAlignment="1">
      <alignment horizontal="right"/>
    </xf>
    <xf numFmtId="181" fontId="28" fillId="3" borderId="4" xfId="4" applyNumberFormat="1" applyFont="1" applyFill="1" applyBorder="1"/>
    <xf numFmtId="181" fontId="28" fillId="3" borderId="12" xfId="4" applyNumberFormat="1" applyFont="1" applyFill="1" applyBorder="1"/>
    <xf numFmtId="181" fontId="28" fillId="36" borderId="4" xfId="4" applyNumberFormat="1" applyFont="1" applyFill="1" applyBorder="1"/>
    <xf numFmtId="181" fontId="28" fillId="3" borderId="5" xfId="4" applyNumberFormat="1" applyFont="1" applyFill="1" applyBorder="1"/>
    <xf numFmtId="181" fontId="28" fillId="3" borderId="11" xfId="4" applyNumberFormat="1" applyFont="1" applyFill="1" applyBorder="1"/>
    <xf numFmtId="181" fontId="28" fillId="36" borderId="5" xfId="4" applyNumberFormat="1" applyFont="1" applyFill="1" applyBorder="1"/>
    <xf numFmtId="181" fontId="28" fillId="3" borderId="3" xfId="4" applyNumberFormat="1" applyFont="1" applyFill="1" applyBorder="1"/>
    <xf numFmtId="181" fontId="28" fillId="3" borderId="14" xfId="4" applyNumberFormat="1" applyFont="1" applyFill="1" applyBorder="1"/>
    <xf numFmtId="181" fontId="28" fillId="36" borderId="14" xfId="4" applyNumberFormat="1" applyFont="1" applyFill="1" applyBorder="1"/>
    <xf numFmtId="43" fontId="68" fillId="7" borderId="0" xfId="668" applyNumberFormat="1" applyFill="1" applyAlignment="1" applyProtection="1">
      <alignment horizontal="center" vertical="center"/>
    </xf>
    <xf numFmtId="43" fontId="68" fillId="43" borderId="0" xfId="668" applyNumberFormat="1" applyFill="1" applyBorder="1" applyAlignment="1">
      <alignment horizontal="center" vertical="center"/>
    </xf>
    <xf numFmtId="43" fontId="68" fillId="43" borderId="0" xfId="668" applyNumberFormat="1" applyFill="1" applyAlignment="1">
      <alignment horizontal="center" vertical="center" wrapText="1"/>
    </xf>
    <xf numFmtId="43" fontId="68" fillId="43" borderId="0" xfId="668" applyNumberFormat="1" applyFill="1" applyAlignment="1">
      <alignment horizontal="left" vertical="center"/>
    </xf>
    <xf numFmtId="180" fontId="28" fillId="5" borderId="14" xfId="12" applyNumberFormat="1" applyFont="1" applyFill="1" applyBorder="1"/>
    <xf numFmtId="175" fontId="33" fillId="3" borderId="5" xfId="4" applyNumberFormat="1" applyFont="1" applyFill="1" applyBorder="1" applyAlignment="1">
      <alignment horizontal="right"/>
    </xf>
    <xf numFmtId="175" fontId="33" fillId="35" borderId="11" xfId="4" applyNumberFormat="1" applyFont="1" applyFill="1" applyBorder="1" applyAlignment="1">
      <alignment horizontal="right"/>
    </xf>
    <xf numFmtId="175" fontId="33" fillId="35" borderId="5" xfId="4" applyNumberFormat="1" applyFont="1" applyFill="1" applyBorder="1" applyAlignment="1">
      <alignment horizontal="right"/>
    </xf>
    <xf numFmtId="175" fontId="33" fillId="3" borderId="0" xfId="4" applyNumberFormat="1" applyFont="1" applyFill="1" applyAlignment="1">
      <alignment horizontal="right"/>
    </xf>
    <xf numFmtId="175" fontId="33" fillId="36" borderId="5" xfId="4" applyNumberFormat="1" applyFont="1" applyFill="1" applyBorder="1" applyAlignment="1">
      <alignment horizontal="right"/>
    </xf>
    <xf numFmtId="175" fontId="33" fillId="41" borderId="5" xfId="4" applyNumberFormat="1" applyFont="1" applyFill="1" applyBorder="1" applyAlignment="1">
      <alignment horizontal="right"/>
    </xf>
    <xf numFmtId="175" fontId="33" fillId="3" borderId="14" xfId="4" applyNumberFormat="1" applyFont="1" applyFill="1" applyBorder="1" applyAlignment="1">
      <alignment horizontal="right"/>
    </xf>
    <xf numFmtId="175" fontId="33" fillId="35" borderId="14" xfId="4" applyNumberFormat="1" applyFont="1" applyFill="1" applyBorder="1" applyAlignment="1">
      <alignment horizontal="right"/>
    </xf>
    <xf numFmtId="175" fontId="33" fillId="36" borderId="14" xfId="4" applyNumberFormat="1" applyFont="1" applyFill="1" applyBorder="1" applyAlignment="1">
      <alignment horizontal="right"/>
    </xf>
    <xf numFmtId="175" fontId="33" fillId="41" borderId="14" xfId="4" applyNumberFormat="1" applyFont="1" applyFill="1" applyBorder="1" applyAlignment="1">
      <alignment horizontal="right"/>
    </xf>
    <xf numFmtId="188" fontId="28" fillId="3" borderId="4" xfId="4" applyNumberFormat="1" applyFont="1" applyFill="1" applyBorder="1"/>
    <xf numFmtId="188" fontId="28" fillId="3" borderId="5" xfId="4" applyNumberFormat="1" applyFont="1" applyFill="1" applyBorder="1"/>
    <xf numFmtId="188" fontId="28" fillId="3" borderId="3" xfId="4" applyNumberFormat="1" applyFont="1" applyFill="1" applyBorder="1"/>
    <xf numFmtId="175" fontId="28" fillId="4" borderId="4" xfId="4" applyNumberFormat="1" applyFont="1" applyFill="1" applyBorder="1" applyProtection="1"/>
    <xf numFmtId="175" fontId="28" fillId="4" borderId="5" xfId="4" applyNumberFormat="1" applyFont="1" applyFill="1" applyBorder="1" applyProtection="1"/>
    <xf numFmtId="175" fontId="28" fillId="4" borderId="3" xfId="4" applyNumberFormat="1" applyFont="1" applyFill="1" applyBorder="1" applyProtection="1"/>
    <xf numFmtId="43" fontId="37" fillId="3" borderId="0" xfId="4" applyNumberFormat="1" applyFont="1" applyFill="1" applyBorder="1" applyAlignment="1" applyProtection="1">
      <alignment vertical="center"/>
    </xf>
    <xf numFmtId="175" fontId="33" fillId="3" borderId="0" xfId="12" applyNumberFormat="1" applyFont="1" applyFill="1" applyBorder="1"/>
    <xf numFmtId="175" fontId="28" fillId="5" borderId="14" xfId="12" applyNumberFormat="1" applyFont="1" applyFill="1" applyBorder="1"/>
    <xf numFmtId="0" fontId="21" fillId="7" borderId="16" xfId="260" applyFont="1" applyFill="1" applyBorder="1" applyAlignment="1">
      <alignment horizontal="center" vertical="center"/>
    </xf>
    <xf numFmtId="0" fontId="21" fillId="7" borderId="13" xfId="260" applyFont="1" applyFill="1" applyBorder="1" applyAlignment="1">
      <alignment horizontal="center" vertical="center"/>
    </xf>
    <xf numFmtId="0" fontId="21" fillId="5" borderId="6" xfId="260" applyFont="1" applyFill="1" applyBorder="1" applyAlignment="1">
      <alignment horizontal="center" vertical="center" wrapText="1"/>
    </xf>
    <xf numFmtId="0" fontId="21" fillId="5" borderId="7" xfId="260" applyFont="1" applyFill="1" applyBorder="1" applyAlignment="1">
      <alignment horizontal="center" vertical="center" wrapText="1"/>
    </xf>
    <xf numFmtId="0" fontId="21" fillId="43" borderId="15" xfId="260" applyFont="1" applyFill="1" applyBorder="1" applyAlignment="1">
      <alignment horizontal="center" vertical="center" wrapText="1"/>
    </xf>
    <xf numFmtId="0" fontId="21" fillId="43" borderId="12" xfId="260" applyFont="1" applyFill="1" applyBorder="1" applyAlignment="1">
      <alignment horizontal="center" vertical="center" wrapText="1"/>
    </xf>
    <xf numFmtId="0" fontId="21" fillId="43" borderId="11" xfId="260" applyFont="1" applyFill="1" applyBorder="1" applyAlignment="1">
      <alignment horizontal="center" vertical="center" wrapText="1"/>
    </xf>
    <xf numFmtId="0" fontId="21" fillId="43" borderId="0" xfId="260" applyFont="1" applyFill="1" applyBorder="1" applyAlignment="1">
      <alignment horizontal="center" vertical="center" wrapText="1"/>
    </xf>
    <xf numFmtId="0" fontId="21" fillId="32" borderId="6" xfId="260" applyFont="1" applyFill="1" applyBorder="1" applyAlignment="1">
      <alignment horizontal="center" vertical="center" wrapText="1"/>
    </xf>
    <xf numFmtId="0" fontId="21" fillId="32" borderId="7" xfId="260" applyFont="1" applyFill="1" applyBorder="1" applyAlignment="1">
      <alignment horizontal="center" vertical="center" wrapText="1"/>
    </xf>
    <xf numFmtId="0" fontId="21" fillId="7" borderId="15" xfId="260" applyFont="1" applyFill="1" applyBorder="1" applyAlignment="1">
      <alignment horizontal="center" vertical="center"/>
    </xf>
    <xf numFmtId="0" fontId="21" fillId="7" borderId="12" xfId="260" applyFont="1" applyFill="1" applyBorder="1" applyAlignment="1">
      <alignment horizontal="center" vertical="center"/>
    </xf>
    <xf numFmtId="0" fontId="21" fillId="35" borderId="16" xfId="260" applyFont="1" applyFill="1" applyBorder="1" applyAlignment="1">
      <alignment horizontal="center" vertical="center" wrapText="1"/>
    </xf>
    <xf numFmtId="0" fontId="21" fillId="35" borderId="13" xfId="260" applyFont="1" applyFill="1" applyBorder="1" applyAlignment="1">
      <alignment horizontal="center" vertical="center" wrapText="1"/>
    </xf>
    <xf numFmtId="0" fontId="21" fillId="7" borderId="15" xfId="260" applyFont="1" applyFill="1" applyBorder="1" applyAlignment="1">
      <alignment horizontal="center" vertical="center" wrapText="1"/>
    </xf>
    <xf numFmtId="0" fontId="21" fillId="7" borderId="12" xfId="260" applyFont="1" applyFill="1" applyBorder="1" applyAlignment="1">
      <alignment horizontal="center" vertical="center" wrapText="1"/>
    </xf>
    <xf numFmtId="0" fontId="21" fillId="7" borderId="11" xfId="260" applyFont="1" applyFill="1" applyBorder="1" applyAlignment="1">
      <alignment horizontal="center" vertical="center" wrapText="1"/>
    </xf>
    <xf numFmtId="0" fontId="21" fillId="7" borderId="16" xfId="260" applyFont="1" applyFill="1" applyBorder="1" applyAlignment="1">
      <alignment horizontal="center" vertical="center" wrapText="1"/>
    </xf>
    <xf numFmtId="0" fontId="21" fillId="7" borderId="13" xfId="260" applyFont="1" applyFill="1" applyBorder="1" applyAlignment="1">
      <alignment horizontal="center" vertical="center" wrapText="1"/>
    </xf>
    <xf numFmtId="0" fontId="21" fillId="34" borderId="6" xfId="260" applyFont="1" applyFill="1" applyBorder="1" applyAlignment="1">
      <alignment horizontal="center" vertical="center" wrapText="1"/>
    </xf>
    <xf numFmtId="0" fontId="21" fillId="34" borderId="7" xfId="260" applyFont="1" applyFill="1" applyBorder="1" applyAlignment="1">
      <alignment horizontal="center" vertical="center" wrapText="1"/>
    </xf>
    <xf numFmtId="0" fontId="28" fillId="7" borderId="0" xfId="0" applyFont="1" applyFill="1" applyAlignment="1" applyProtection="1">
      <alignment horizontal="center"/>
    </xf>
    <xf numFmtId="0" fontId="28" fillId="7" borderId="17" xfId="0" applyFont="1" applyFill="1" applyBorder="1" applyAlignment="1" applyProtection="1">
      <alignment horizontal="center"/>
    </xf>
    <xf numFmtId="0" fontId="28" fillId="7" borderId="7" xfId="0" applyFont="1" applyFill="1" applyBorder="1" applyAlignment="1" applyProtection="1">
      <alignment horizontal="center"/>
    </xf>
    <xf numFmtId="0" fontId="28" fillId="7" borderId="6" xfId="0" applyFont="1" applyFill="1" applyBorder="1" applyAlignment="1" applyProtection="1">
      <alignment horizontal="center"/>
    </xf>
    <xf numFmtId="0" fontId="67" fillId="7" borderId="4" xfId="0" applyFont="1" applyFill="1" applyBorder="1" applyAlignment="1" applyProtection="1">
      <alignment horizontal="center" vertical="center" wrapText="1"/>
    </xf>
    <xf numFmtId="0" fontId="67" fillId="7" borderId="5" xfId="0" applyFont="1" applyFill="1" applyBorder="1" applyAlignment="1" applyProtection="1">
      <alignment horizontal="center" vertical="center" wrapText="1"/>
    </xf>
    <xf numFmtId="0" fontId="67" fillId="7" borderId="3" xfId="0" applyFont="1" applyFill="1" applyBorder="1" applyAlignment="1" applyProtection="1">
      <alignment horizontal="center" vertical="center" wrapText="1"/>
    </xf>
    <xf numFmtId="0" fontId="66" fillId="7" borderId="8" xfId="0" applyFont="1" applyFill="1" applyBorder="1" applyAlignment="1" applyProtection="1">
      <alignment horizontal="left" vertical="center" wrapText="1"/>
    </xf>
    <xf numFmtId="0" fontId="66" fillId="7" borderId="15" xfId="0" applyFont="1" applyFill="1" applyBorder="1" applyAlignment="1" applyProtection="1">
      <alignment horizontal="left" vertical="center" wrapText="1"/>
    </xf>
    <xf numFmtId="0" fontId="66" fillId="7" borderId="12" xfId="0" applyFont="1" applyFill="1" applyBorder="1" applyAlignment="1" applyProtection="1">
      <alignment horizontal="left" vertical="center" wrapText="1"/>
    </xf>
    <xf numFmtId="0" fontId="66" fillId="7" borderId="9" xfId="0" applyFont="1" applyFill="1" applyBorder="1" applyAlignment="1" applyProtection="1">
      <alignment horizontal="left" vertical="center" wrapText="1"/>
    </xf>
    <xf numFmtId="0" fontId="66" fillId="7" borderId="0" xfId="0" applyFont="1" applyFill="1" applyBorder="1" applyAlignment="1" applyProtection="1">
      <alignment horizontal="left" vertical="center" wrapText="1"/>
    </xf>
    <xf numFmtId="0" fontId="66" fillId="7" borderId="11" xfId="0" applyFont="1" applyFill="1" applyBorder="1" applyAlignment="1" applyProtection="1">
      <alignment horizontal="left" vertical="center" wrapText="1"/>
    </xf>
    <xf numFmtId="0" fontId="66" fillId="7" borderId="10" xfId="0" applyFont="1" applyFill="1" applyBorder="1" applyAlignment="1" applyProtection="1">
      <alignment horizontal="left" vertical="center" wrapText="1"/>
    </xf>
    <xf numFmtId="0" fontId="66" fillId="7" borderId="16" xfId="0" applyFont="1" applyFill="1" applyBorder="1" applyAlignment="1" applyProtection="1">
      <alignment horizontal="left" vertical="center" wrapText="1"/>
    </xf>
    <xf numFmtId="0" fontId="66" fillId="7" borderId="13" xfId="0" applyFont="1" applyFill="1" applyBorder="1" applyAlignment="1" applyProtection="1">
      <alignment horizontal="left" vertical="center" wrapText="1"/>
    </xf>
    <xf numFmtId="0" fontId="40" fillId="3" borderId="0" xfId="0" applyFont="1" applyFill="1" applyAlignment="1">
      <alignment horizontal="center"/>
    </xf>
    <xf numFmtId="15" fontId="35" fillId="8" borderId="0" xfId="0" applyNumberFormat="1" applyFont="1" applyFill="1" applyAlignment="1" applyProtection="1">
      <alignment horizontal="center"/>
      <protection locked="0"/>
    </xf>
    <xf numFmtId="0" fontId="66" fillId="3" borderId="0" xfId="0" applyFont="1" applyFill="1" applyAlignment="1">
      <alignment horizontal="left" vertical="top" wrapText="1"/>
    </xf>
    <xf numFmtId="0" fontId="67" fillId="3" borderId="0" xfId="0" applyFont="1" applyFill="1" applyAlignment="1">
      <alignment horizontal="left" vertical="top" wrapText="1"/>
    </xf>
    <xf numFmtId="43" fontId="28" fillId="32" borderId="4" xfId="4" applyFont="1" applyFill="1" applyBorder="1" applyAlignment="1" applyProtection="1">
      <alignment horizontal="center" vertical="center" wrapText="1"/>
    </xf>
    <xf numFmtId="43" fontId="28" fillId="32" borderId="3" xfId="4" applyFont="1" applyFill="1" applyBorder="1" applyAlignment="1" applyProtection="1">
      <alignment horizontal="center" vertical="center" wrapText="1"/>
    </xf>
    <xf numFmtId="175" fontId="27" fillId="5" borderId="4" xfId="4" applyNumberFormat="1" applyFont="1" applyFill="1" applyBorder="1" applyAlignment="1" applyProtection="1">
      <alignment horizontal="center" vertical="center" wrapText="1"/>
    </xf>
    <xf numFmtId="175" fontId="27" fillId="5" borderId="3" xfId="4" applyNumberFormat="1" applyFont="1" applyFill="1" applyBorder="1" applyAlignment="1" applyProtection="1">
      <alignment horizontal="center" vertical="center" wrapText="1"/>
    </xf>
    <xf numFmtId="43" fontId="27" fillId="5" borderId="17" xfId="4" applyFont="1" applyFill="1" applyBorder="1" applyAlignment="1" applyProtection="1">
      <alignment horizontal="center"/>
    </xf>
    <xf numFmtId="43" fontId="27" fillId="5" borderId="6" xfId="4" applyFont="1" applyFill="1" applyBorder="1" applyAlignment="1" applyProtection="1">
      <alignment horizontal="center"/>
    </xf>
    <xf numFmtId="43" fontId="27" fillId="5" borderId="7" xfId="4" applyFont="1" applyFill="1" applyBorder="1" applyAlignment="1" applyProtection="1">
      <alignment horizontal="center"/>
    </xf>
    <xf numFmtId="175" fontId="2" fillId="36" borderId="8" xfId="4" applyNumberFormat="1" applyFont="1" applyFill="1" applyBorder="1" applyAlignment="1" applyProtection="1">
      <alignment horizontal="center" vertical="center" wrapText="1"/>
    </xf>
    <xf numFmtId="175" fontId="2" fillId="36" borderId="12" xfId="4" applyNumberFormat="1" applyFont="1" applyFill="1" applyBorder="1" applyAlignment="1" applyProtection="1">
      <alignment horizontal="center" vertical="center" wrapText="1"/>
    </xf>
    <xf numFmtId="175" fontId="27" fillId="5" borderId="5" xfId="4" applyNumberFormat="1" applyFont="1" applyFill="1" applyBorder="1" applyAlignment="1" applyProtection="1">
      <alignment horizontal="center" vertical="center" wrapText="1"/>
    </xf>
    <xf numFmtId="179" fontId="27" fillId="38" borderId="4" xfId="4" applyNumberFormat="1" applyFont="1" applyFill="1" applyBorder="1" applyAlignment="1" applyProtection="1">
      <alignment horizontal="center" vertical="center" wrapText="1"/>
    </xf>
    <xf numFmtId="179" fontId="27" fillId="38" borderId="3" xfId="4" applyNumberFormat="1" applyFont="1" applyFill="1" applyBorder="1" applyAlignment="1" applyProtection="1">
      <alignment horizontal="center" vertical="center" wrapText="1"/>
    </xf>
    <xf numFmtId="43" fontId="27" fillId="38" borderId="8" xfId="4" applyFont="1" applyFill="1" applyBorder="1" applyAlignment="1" applyProtection="1">
      <alignment horizontal="center" vertical="center" wrapText="1"/>
    </xf>
    <xf numFmtId="43" fontId="27" fillId="38" borderId="10" xfId="4" applyFont="1" applyFill="1" applyBorder="1" applyAlignment="1" applyProtection="1">
      <alignment horizontal="center" vertical="center" wrapText="1"/>
    </xf>
    <xf numFmtId="175" fontId="27" fillId="38" borderId="4" xfId="4" applyNumberFormat="1" applyFont="1" applyFill="1" applyBorder="1" applyAlignment="1" applyProtection="1">
      <alignment horizontal="center" vertical="center" wrapText="1"/>
    </xf>
    <xf numFmtId="175" fontId="27" fillId="38" borderId="3" xfId="4" applyNumberFormat="1" applyFont="1" applyFill="1" applyBorder="1" applyAlignment="1" applyProtection="1">
      <alignment horizontal="center" vertical="center" wrapText="1"/>
    </xf>
    <xf numFmtId="43" fontId="27" fillId="38" borderId="4" xfId="4" applyFont="1" applyFill="1" applyBorder="1" applyAlignment="1" applyProtection="1">
      <alignment horizontal="center" vertical="center" wrapText="1"/>
    </xf>
    <xf numFmtId="43" fontId="27" fillId="38" borderId="5" xfId="4" applyFont="1" applyFill="1" applyBorder="1" applyAlignment="1" applyProtection="1">
      <alignment horizontal="center" vertical="center" wrapText="1"/>
    </xf>
    <xf numFmtId="43" fontId="27" fillId="38" borderId="3" xfId="4" applyFont="1" applyFill="1" applyBorder="1" applyAlignment="1" applyProtection="1">
      <alignment horizontal="center" vertical="center" wrapText="1"/>
    </xf>
    <xf numFmtId="0" fontId="84" fillId="3" borderId="0" xfId="18" applyFont="1" applyFill="1" applyAlignment="1">
      <alignment horizontal="center" vertical="center"/>
    </xf>
    <xf numFmtId="0" fontId="85" fillId="3" borderId="0" xfId="18" applyFont="1" applyFill="1" applyAlignment="1">
      <alignment horizontal="center"/>
    </xf>
    <xf numFmtId="3" fontId="27" fillId="38" borderId="4" xfId="0" applyNumberFormat="1" applyFont="1" applyFill="1" applyBorder="1" applyAlignment="1">
      <alignment horizontal="center" vertical="center" wrapText="1"/>
    </xf>
    <xf numFmtId="3" fontId="27" fillId="38" borderId="3" xfId="0" applyNumberFormat="1" applyFont="1" applyFill="1" applyBorder="1" applyAlignment="1">
      <alignment horizontal="center" vertical="center" wrapText="1"/>
    </xf>
    <xf numFmtId="0" fontId="27" fillId="38" borderId="4" xfId="0" applyFont="1" applyFill="1" applyBorder="1" applyAlignment="1">
      <alignment horizontal="center" vertical="center" wrapText="1"/>
    </xf>
    <xf numFmtId="0" fontId="27" fillId="38" borderId="3" xfId="0" applyFont="1" applyFill="1" applyBorder="1" applyAlignment="1">
      <alignment horizontal="center" vertical="center" wrapText="1"/>
    </xf>
    <xf numFmtId="0" fontId="27" fillId="38" borderId="4" xfId="0" applyNumberFormat="1" applyFont="1" applyFill="1" applyBorder="1" applyAlignment="1">
      <alignment horizontal="center" vertical="center" wrapText="1"/>
    </xf>
    <xf numFmtId="0" fontId="27" fillId="38" borderId="3" xfId="0" applyNumberFormat="1" applyFont="1" applyFill="1" applyBorder="1" applyAlignment="1">
      <alignment horizontal="center" vertical="center" wrapText="1"/>
    </xf>
    <xf numFmtId="175" fontId="27" fillId="38" borderId="4" xfId="4" applyNumberFormat="1" applyFont="1" applyFill="1" applyBorder="1" applyAlignment="1">
      <alignment horizontal="center" vertical="center" wrapText="1"/>
    </xf>
    <xf numFmtId="175" fontId="27" fillId="38" borderId="3" xfId="4" applyNumberFormat="1" applyFont="1" applyFill="1" applyBorder="1" applyAlignment="1">
      <alignment horizontal="center" vertical="center" wrapText="1"/>
    </xf>
    <xf numFmtId="43" fontId="27" fillId="38" borderId="4" xfId="4" applyFont="1" applyFill="1" applyBorder="1" applyAlignment="1">
      <alignment horizontal="center" vertical="center" wrapText="1"/>
    </xf>
    <xf numFmtId="43" fontId="27" fillId="38" borderId="3" xfId="4" applyFont="1" applyFill="1" applyBorder="1" applyAlignment="1">
      <alignment horizontal="center" vertical="center" wrapText="1"/>
    </xf>
    <xf numFmtId="0" fontId="27" fillId="39" borderId="17" xfId="0" applyFont="1" applyFill="1" applyBorder="1" applyAlignment="1">
      <alignment horizontal="center" vertical="center" wrapText="1"/>
    </xf>
    <xf numFmtId="0" fontId="27" fillId="39" borderId="15" xfId="0" applyFont="1" applyFill="1" applyBorder="1" applyAlignment="1">
      <alignment horizontal="center" vertical="center" wrapText="1"/>
    </xf>
    <xf numFmtId="0" fontId="27" fillId="39" borderId="4" xfId="0" applyFont="1" applyFill="1" applyBorder="1" applyAlignment="1">
      <alignment horizontal="center" vertical="center" wrapText="1"/>
    </xf>
    <xf numFmtId="0" fontId="27" fillId="39" borderId="3" xfId="0" applyFont="1" applyFill="1" applyBorder="1" applyAlignment="1">
      <alignment horizontal="center" vertical="center" wrapText="1"/>
    </xf>
    <xf numFmtId="0" fontId="27" fillId="39" borderId="12" xfId="0" applyFont="1" applyFill="1" applyBorder="1" applyAlignment="1">
      <alignment horizontal="center" vertical="center" wrapText="1"/>
    </xf>
    <xf numFmtId="0" fontId="27" fillId="39" borderId="13" xfId="0" applyFont="1" applyFill="1" applyBorder="1" applyAlignment="1">
      <alignment horizontal="center" vertical="center" wrapText="1"/>
    </xf>
    <xf numFmtId="0" fontId="27" fillId="39" borderId="8" xfId="0" applyFont="1" applyFill="1" applyBorder="1" applyAlignment="1">
      <alignment horizontal="center" vertical="center" wrapText="1"/>
    </xf>
    <xf numFmtId="0" fontId="27" fillId="39" borderId="10" xfId="0" applyFont="1" applyFill="1" applyBorder="1" applyAlignment="1">
      <alignment horizontal="center" vertical="center" wrapText="1"/>
    </xf>
    <xf numFmtId="0" fontId="27" fillId="39" borderId="5" xfId="0" applyFont="1" applyFill="1" applyBorder="1" applyAlignment="1">
      <alignment horizontal="center" vertical="center" wrapText="1"/>
    </xf>
    <xf numFmtId="4" fontId="28" fillId="3" borderId="17" xfId="0" applyNumberFormat="1" applyFont="1" applyFill="1" applyBorder="1" applyAlignment="1">
      <alignment horizontal="left" vertical="center"/>
    </xf>
    <xf numFmtId="4" fontId="28" fillId="3" borderId="7" xfId="0" applyNumberFormat="1" applyFont="1" applyFill="1" applyBorder="1" applyAlignment="1">
      <alignment horizontal="left" vertical="center"/>
    </xf>
    <xf numFmtId="4" fontId="28" fillId="3" borderId="8" xfId="0" applyNumberFormat="1" applyFont="1" applyFill="1" applyBorder="1" applyAlignment="1">
      <alignment horizontal="left" vertical="center"/>
    </xf>
    <xf numFmtId="4" fontId="28" fillId="3" borderId="12" xfId="0" applyNumberFormat="1" applyFont="1" applyFill="1" applyBorder="1" applyAlignment="1">
      <alignment horizontal="left" vertical="center"/>
    </xf>
    <xf numFmtId="4" fontId="28" fillId="3" borderId="9" xfId="0" applyNumberFormat="1" applyFont="1" applyFill="1" applyBorder="1" applyAlignment="1">
      <alignment horizontal="left" vertical="center"/>
    </xf>
    <xf numFmtId="4" fontId="28" fillId="3" borderId="11" xfId="0" applyNumberFormat="1" applyFont="1" applyFill="1" applyBorder="1" applyAlignment="1">
      <alignment horizontal="left" vertical="center"/>
    </xf>
    <xf numFmtId="0" fontId="28" fillId="35" borderId="17" xfId="0" applyFont="1" applyFill="1" applyBorder="1" applyAlignment="1">
      <alignment horizontal="center"/>
    </xf>
    <xf numFmtId="0" fontId="28" fillId="35" borderId="6" xfId="0" applyFont="1" applyFill="1" applyBorder="1" applyAlignment="1">
      <alignment horizontal="center"/>
    </xf>
    <xf numFmtId="0" fontId="28" fillId="35" borderId="7" xfId="0" applyFont="1" applyFill="1" applyBorder="1" applyAlignment="1">
      <alignment horizontal="center"/>
    </xf>
    <xf numFmtId="10" fontId="27" fillId="39" borderId="14" xfId="12" applyNumberFormat="1" applyFont="1" applyFill="1" applyBorder="1" applyAlignment="1">
      <alignment horizontal="center" vertical="center" wrapText="1"/>
    </xf>
    <xf numFmtId="10" fontId="27" fillId="39" borderId="4" xfId="12" applyNumberFormat="1" applyFont="1" applyFill="1" applyBorder="1" applyAlignment="1">
      <alignment horizontal="center" vertical="center" wrapText="1"/>
    </xf>
    <xf numFmtId="0" fontId="27" fillId="39" borderId="17" xfId="0" applyFont="1" applyFill="1" applyBorder="1" applyAlignment="1">
      <alignment horizontal="center" vertical="center"/>
    </xf>
    <xf numFmtId="0" fontId="27" fillId="39" borderId="6" xfId="0" applyFont="1" applyFill="1" applyBorder="1" applyAlignment="1">
      <alignment horizontal="center" vertical="center"/>
    </xf>
    <xf numFmtId="0" fontId="27" fillId="39" borderId="7" xfId="0" applyFont="1" applyFill="1" applyBorder="1" applyAlignment="1">
      <alignment horizontal="center" vertical="center"/>
    </xf>
    <xf numFmtId="0" fontId="27" fillId="5" borderId="14" xfId="0" applyFont="1" applyFill="1" applyBorder="1" applyAlignment="1">
      <alignment horizontal="center" vertical="center" wrapText="1"/>
    </xf>
    <xf numFmtId="0" fontId="28" fillId="3" borderId="17" xfId="0" applyFont="1" applyFill="1" applyBorder="1" applyAlignment="1">
      <alignment horizontal="left"/>
    </xf>
    <xf numFmtId="0" fontId="28" fillId="3" borderId="7" xfId="0" applyFont="1" applyFill="1" applyBorder="1" applyAlignment="1">
      <alignment horizontal="left"/>
    </xf>
    <xf numFmtId="0" fontId="28" fillId="3" borderId="8" xfId="0" applyFont="1" applyFill="1" applyBorder="1" applyAlignment="1">
      <alignment horizontal="left"/>
    </xf>
    <xf numFmtId="0" fontId="28" fillId="3" borderId="12" xfId="0" applyFont="1" applyFill="1" applyBorder="1" applyAlignment="1">
      <alignment horizontal="left"/>
    </xf>
    <xf numFmtId="0" fontId="27" fillId="5" borderId="4" xfId="0" applyFont="1" applyFill="1" applyBorder="1" applyAlignment="1">
      <alignment horizontal="center" vertical="center" wrapText="1"/>
    </xf>
    <xf numFmtId="0" fontId="27" fillId="5" borderId="5" xfId="0" applyFont="1" applyFill="1" applyBorder="1" applyAlignment="1">
      <alignment horizontal="center" vertical="center" wrapText="1"/>
    </xf>
    <xf numFmtId="0" fontId="27" fillId="5" borderId="3" xfId="0" applyFont="1" applyFill="1" applyBorder="1" applyAlignment="1">
      <alignment horizontal="center" vertical="center" wrapText="1"/>
    </xf>
    <xf numFmtId="0" fontId="27" fillId="5" borderId="17" xfId="0" applyFont="1" applyFill="1" applyBorder="1" applyAlignment="1">
      <alignment horizontal="center" vertical="center"/>
    </xf>
    <xf numFmtId="0" fontId="27" fillId="5" borderId="6" xfId="0" applyFont="1" applyFill="1" applyBorder="1" applyAlignment="1">
      <alignment horizontal="center" vertical="center"/>
    </xf>
    <xf numFmtId="0" fontId="27" fillId="5" borderId="7" xfId="0" applyFont="1" applyFill="1" applyBorder="1" applyAlignment="1">
      <alignment horizontal="center" vertical="center"/>
    </xf>
    <xf numFmtId="175" fontId="27" fillId="5" borderId="4" xfId="4" applyNumberFormat="1" applyFont="1" applyFill="1" applyBorder="1" applyAlignment="1">
      <alignment horizontal="center" vertical="center" wrapText="1"/>
    </xf>
    <xf numFmtId="175" fontId="27" fillId="5" borderId="3" xfId="4" applyNumberFormat="1" applyFont="1" applyFill="1" applyBorder="1" applyAlignment="1">
      <alignment horizontal="center" vertical="center" wrapText="1"/>
    </xf>
    <xf numFmtId="43" fontId="27" fillId="5" borderId="4" xfId="4" applyFont="1" applyFill="1" applyBorder="1" applyAlignment="1">
      <alignment horizontal="center" vertical="center" wrapText="1"/>
    </xf>
    <xf numFmtId="43" fontId="27" fillId="5" borderId="3" xfId="4" applyFont="1" applyFill="1" applyBorder="1" applyAlignment="1">
      <alignment horizontal="center" vertical="center" wrapText="1"/>
    </xf>
    <xf numFmtId="175" fontId="27" fillId="5" borderId="5" xfId="4" applyNumberFormat="1" applyFont="1" applyFill="1" applyBorder="1" applyAlignment="1">
      <alignment horizontal="center" vertical="center" wrapText="1"/>
    </xf>
    <xf numFmtId="43" fontId="68" fillId="3" borderId="0" xfId="668" applyNumberFormat="1" applyFill="1" applyAlignment="1">
      <alignment horizontal="left" vertical="center"/>
    </xf>
    <xf numFmtId="0" fontId="27" fillId="5" borderId="12" xfId="0" applyFont="1" applyFill="1" applyBorder="1" applyAlignment="1">
      <alignment horizontal="center" vertical="center" wrapText="1"/>
    </xf>
    <xf numFmtId="0" fontId="27" fillId="5" borderId="13" xfId="0" applyFont="1" applyFill="1" applyBorder="1" applyAlignment="1">
      <alignment horizontal="center" vertical="center" wrapText="1"/>
    </xf>
    <xf numFmtId="0" fontId="27" fillId="5" borderId="8" xfId="0" applyFont="1" applyFill="1" applyBorder="1" applyAlignment="1">
      <alignment horizontal="center" vertical="center" wrapText="1"/>
    </xf>
    <xf numFmtId="0" fontId="27" fillId="5" borderId="10" xfId="0" applyFont="1" applyFill="1" applyBorder="1" applyAlignment="1">
      <alignment horizontal="center" vertical="center" wrapText="1"/>
    </xf>
    <xf numFmtId="43" fontId="28" fillId="45" borderId="17" xfId="4" applyNumberFormat="1" applyFont="1" applyFill="1" applyBorder="1" applyAlignment="1">
      <alignment horizontal="center"/>
    </xf>
    <xf numFmtId="43" fontId="28" fillId="45" borderId="6" xfId="4" applyNumberFormat="1" applyFont="1" applyFill="1" applyBorder="1" applyAlignment="1">
      <alignment horizontal="center"/>
    </xf>
    <xf numFmtId="43" fontId="28" fillId="45" borderId="7" xfId="4" applyNumberFormat="1" applyFont="1" applyFill="1" applyBorder="1" applyAlignment="1">
      <alignment horizontal="center"/>
    </xf>
    <xf numFmtId="0" fontId="27" fillId="40" borderId="4" xfId="15" applyFont="1" applyFill="1" applyBorder="1" applyAlignment="1">
      <alignment horizontal="center" vertical="center" wrapText="1"/>
    </xf>
    <xf numFmtId="0" fontId="27" fillId="40" borderId="5" xfId="15" applyFont="1" applyFill="1" applyBorder="1" applyAlignment="1">
      <alignment horizontal="center" vertical="center" wrapText="1"/>
    </xf>
    <xf numFmtId="0" fontId="27" fillId="40" borderId="3" xfId="15" applyFont="1" applyFill="1" applyBorder="1" applyAlignment="1">
      <alignment horizontal="center" vertical="center" wrapText="1"/>
    </xf>
    <xf numFmtId="0" fontId="27" fillId="40" borderId="8" xfId="15" applyFont="1" applyFill="1" applyBorder="1" applyAlignment="1">
      <alignment horizontal="center" vertical="center" wrapText="1"/>
    </xf>
    <xf numFmtId="0" fontId="27" fillId="40" borderId="10" xfId="15" applyFont="1" applyFill="1" applyBorder="1" applyAlignment="1">
      <alignment horizontal="center" vertical="center" wrapText="1"/>
    </xf>
    <xf numFmtId="167" fontId="27" fillId="40" borderId="15" xfId="12" applyNumberFormat="1" applyFont="1" applyFill="1" applyBorder="1" applyAlignment="1">
      <alignment horizontal="center" vertical="center" wrapText="1"/>
    </xf>
    <xf numFmtId="167" fontId="27" fillId="40" borderId="12" xfId="12" applyNumberFormat="1" applyFont="1" applyFill="1" applyBorder="1" applyAlignment="1">
      <alignment horizontal="center" vertical="center" wrapText="1"/>
    </xf>
    <xf numFmtId="0" fontId="27" fillId="38" borderId="8" xfId="0" applyFont="1" applyFill="1" applyBorder="1" applyAlignment="1">
      <alignment horizontal="center" vertical="center" wrapText="1"/>
    </xf>
    <xf numFmtId="0" fontId="27" fillId="38" borderId="10" xfId="0" applyFont="1" applyFill="1" applyBorder="1" applyAlignment="1">
      <alignment horizontal="center" vertical="center" wrapText="1"/>
    </xf>
    <xf numFmtId="167" fontId="27" fillId="39" borderId="8" xfId="12" applyNumberFormat="1" applyFont="1" applyFill="1" applyBorder="1" applyAlignment="1">
      <alignment horizontal="center" vertical="center" wrapText="1"/>
    </xf>
    <xf numFmtId="167" fontId="27" fillId="39" borderId="15" xfId="12" applyNumberFormat="1" applyFont="1" applyFill="1" applyBorder="1" applyAlignment="1">
      <alignment horizontal="center" vertical="center" wrapText="1"/>
    </xf>
    <xf numFmtId="167" fontId="27" fillId="39" borderId="12" xfId="12" applyNumberFormat="1" applyFont="1" applyFill="1" applyBorder="1" applyAlignment="1">
      <alignment horizontal="center" vertical="center" wrapText="1"/>
    </xf>
    <xf numFmtId="167" fontId="27" fillId="5" borderId="15" xfId="12" applyNumberFormat="1" applyFont="1" applyFill="1" applyBorder="1" applyAlignment="1">
      <alignment horizontal="center" vertical="center" wrapText="1"/>
    </xf>
    <xf numFmtId="167" fontId="27" fillId="5" borderId="12" xfId="12" applyNumberFormat="1" applyFont="1" applyFill="1" applyBorder="1" applyAlignment="1">
      <alignment horizontal="center" vertical="center" wrapText="1"/>
    </xf>
  </cellXfs>
  <cellStyles count="670">
    <cellStyle name="20 % - Accent1 2" xfId="349" xr:uid="{00000000-0005-0000-0000-000000000000}"/>
    <cellStyle name="20 % - Accent2 2" xfId="350" xr:uid="{00000000-0005-0000-0000-000001000000}"/>
    <cellStyle name="20 % - Accent3 2" xfId="351" xr:uid="{00000000-0005-0000-0000-000002000000}"/>
    <cellStyle name="20 % - Accent4 2" xfId="352" xr:uid="{00000000-0005-0000-0000-000003000000}"/>
    <cellStyle name="20 % - Accent5 2" xfId="353" xr:uid="{00000000-0005-0000-0000-000004000000}"/>
    <cellStyle name="20 % - Accent6 2" xfId="354" xr:uid="{00000000-0005-0000-0000-000005000000}"/>
    <cellStyle name="40 % - Accent1 2" xfId="355" xr:uid="{00000000-0005-0000-0000-000006000000}"/>
    <cellStyle name="40 % - Accent2 2" xfId="356" xr:uid="{00000000-0005-0000-0000-000007000000}"/>
    <cellStyle name="40 % - Accent3 2" xfId="357" xr:uid="{00000000-0005-0000-0000-000008000000}"/>
    <cellStyle name="40 % - Accent4 2" xfId="358" xr:uid="{00000000-0005-0000-0000-000009000000}"/>
    <cellStyle name="40 % - Accent5 2" xfId="359" xr:uid="{00000000-0005-0000-0000-00000A000000}"/>
    <cellStyle name="40 % - Accent6 2" xfId="360" xr:uid="{00000000-0005-0000-0000-00000B000000}"/>
    <cellStyle name="60 % - Accent1 2" xfId="361" xr:uid="{00000000-0005-0000-0000-00000C000000}"/>
    <cellStyle name="60 % - Accent2 2" xfId="362" xr:uid="{00000000-0005-0000-0000-00000D000000}"/>
    <cellStyle name="60 % - Accent3 2" xfId="363" xr:uid="{00000000-0005-0000-0000-00000E000000}"/>
    <cellStyle name="60 % - Accent4 2" xfId="364" xr:uid="{00000000-0005-0000-0000-00000F000000}"/>
    <cellStyle name="60 % - Accent5 2" xfId="365" xr:uid="{00000000-0005-0000-0000-000010000000}"/>
    <cellStyle name="60 % - Accent6 2" xfId="366" xr:uid="{00000000-0005-0000-0000-000011000000}"/>
    <cellStyle name="Accent1 2" xfId="367" xr:uid="{00000000-0005-0000-0000-000012000000}"/>
    <cellStyle name="Accent2 2" xfId="368" xr:uid="{00000000-0005-0000-0000-000013000000}"/>
    <cellStyle name="Accent3 2" xfId="369" xr:uid="{00000000-0005-0000-0000-000014000000}"/>
    <cellStyle name="Accent4 2" xfId="370" xr:uid="{00000000-0005-0000-0000-000015000000}"/>
    <cellStyle name="Accent5 2" xfId="371" xr:uid="{00000000-0005-0000-0000-000016000000}"/>
    <cellStyle name="Accent6 2" xfId="372" xr:uid="{00000000-0005-0000-0000-000017000000}"/>
    <cellStyle name="Avertissement 2" xfId="373" xr:uid="{00000000-0005-0000-0000-000018000000}"/>
    <cellStyle name="Calcul 2" xfId="374" xr:uid="{00000000-0005-0000-0000-000019000000}"/>
    <cellStyle name="Cellule liée 2" xfId="375" xr:uid="{00000000-0005-0000-0000-00001A000000}"/>
    <cellStyle name="cexColumnHeadings" xfId="1" xr:uid="{00000000-0005-0000-0000-00001B000000}"/>
    <cellStyle name="cexColumnHeadings 2" xfId="393" xr:uid="{00000000-0005-0000-0000-00001C000000}"/>
    <cellStyle name="cexReportTitle" xfId="2" xr:uid="{00000000-0005-0000-0000-00001D000000}"/>
    <cellStyle name="cexTableEntry" xfId="3" xr:uid="{00000000-0005-0000-0000-00001E000000}"/>
    <cellStyle name="cexTableEntry 2" xfId="394" xr:uid="{00000000-0005-0000-0000-00001F000000}"/>
    <cellStyle name="Entrée 2" xfId="376" xr:uid="{00000000-0005-0000-0000-000020000000}"/>
    <cellStyle name="Insatisfaisant 2" xfId="377" xr:uid="{00000000-0005-0000-0000-000021000000}"/>
    <cellStyle name="Lien hypertexte" xfId="668" builtinId="8"/>
    <cellStyle name="Milliers" xfId="4" builtinId="3"/>
    <cellStyle name="Milliers 2" xfId="5" xr:uid="{00000000-0005-0000-0000-000023000000}"/>
    <cellStyle name="Milliers 3" xfId="6" xr:uid="{00000000-0005-0000-0000-000024000000}"/>
    <cellStyle name="Milliers 3 10" xfId="139" xr:uid="{00000000-0005-0000-0000-000025000000}"/>
    <cellStyle name="Milliers 3 10 2" xfId="395" xr:uid="{00000000-0005-0000-0000-000026000000}"/>
    <cellStyle name="Milliers 3 10 3" xfId="615" xr:uid="{00000000-0005-0000-0000-000027000000}"/>
    <cellStyle name="Milliers 3 11" xfId="156" xr:uid="{00000000-0005-0000-0000-000028000000}"/>
    <cellStyle name="Milliers 3 11 2" xfId="424" xr:uid="{00000000-0005-0000-0000-000029000000}"/>
    <cellStyle name="Milliers 3 11 3" xfId="644" xr:uid="{00000000-0005-0000-0000-00002A000000}"/>
    <cellStyle name="Milliers 3 12" xfId="173" xr:uid="{00000000-0005-0000-0000-00002B000000}"/>
    <cellStyle name="Milliers 3 13" xfId="448" xr:uid="{00000000-0005-0000-0000-00002C000000}"/>
    <cellStyle name="Milliers 3 2" xfId="16" xr:uid="{00000000-0005-0000-0000-00002D000000}"/>
    <cellStyle name="Milliers 3 2 10" xfId="158" xr:uid="{00000000-0005-0000-0000-00002E000000}"/>
    <cellStyle name="Milliers 3 2 10 2" xfId="426" xr:uid="{00000000-0005-0000-0000-00002F000000}"/>
    <cellStyle name="Milliers 3 2 10 3" xfId="646" xr:uid="{00000000-0005-0000-0000-000030000000}"/>
    <cellStyle name="Milliers 3 2 11" xfId="175" xr:uid="{00000000-0005-0000-0000-000031000000}"/>
    <cellStyle name="Milliers 3 2 12" xfId="450" xr:uid="{00000000-0005-0000-0000-000032000000}"/>
    <cellStyle name="Milliers 3 2 2" xfId="19" xr:uid="{00000000-0005-0000-0000-000033000000}"/>
    <cellStyle name="Milliers 3 2 2 10" xfId="452" xr:uid="{00000000-0005-0000-0000-000034000000}"/>
    <cellStyle name="Milliers 3 2 2 2" xfId="35" xr:uid="{00000000-0005-0000-0000-000035000000}"/>
    <cellStyle name="Milliers 3 2 2 2 2" xfId="59" xr:uid="{00000000-0005-0000-0000-000036000000}"/>
    <cellStyle name="Milliers 3 2 2 2 2 2" xfId="310" xr:uid="{00000000-0005-0000-0000-000037000000}"/>
    <cellStyle name="Milliers 3 2 2 2 2 2 2" xfId="576" xr:uid="{00000000-0005-0000-0000-000038000000}"/>
    <cellStyle name="Milliers 3 2 2 2 2 3" xfId="219" xr:uid="{00000000-0005-0000-0000-000039000000}"/>
    <cellStyle name="Milliers 3 2 2 2 2 4" xfId="493" xr:uid="{00000000-0005-0000-0000-00003A000000}"/>
    <cellStyle name="Milliers 3 2 2 2 3" xfId="88" xr:uid="{00000000-0005-0000-0000-00003B000000}"/>
    <cellStyle name="Milliers 3 2 2 2 3 2" xfId="339" xr:uid="{00000000-0005-0000-0000-00003C000000}"/>
    <cellStyle name="Milliers 3 2 2 2 3 2 2" xfId="605" xr:uid="{00000000-0005-0000-0000-00003D000000}"/>
    <cellStyle name="Milliers 3 2 2 2 3 3" xfId="248" xr:uid="{00000000-0005-0000-0000-00003E000000}"/>
    <cellStyle name="Milliers 3 2 2 2 3 4" xfId="522" xr:uid="{00000000-0005-0000-0000-00003F000000}"/>
    <cellStyle name="Milliers 3 2 2 2 4" xfId="111" xr:uid="{00000000-0005-0000-0000-000040000000}"/>
    <cellStyle name="Milliers 3 2 2 2 4 2" xfId="283" xr:uid="{00000000-0005-0000-0000-000041000000}"/>
    <cellStyle name="Milliers 3 2 2 2 4 3" xfId="549" xr:uid="{00000000-0005-0000-0000-000042000000}"/>
    <cellStyle name="Milliers 3 2 2 2 5" xfId="416" xr:uid="{00000000-0005-0000-0000-000043000000}"/>
    <cellStyle name="Milliers 3 2 2 2 5 2" xfId="636" xr:uid="{00000000-0005-0000-0000-000044000000}"/>
    <cellStyle name="Milliers 3 2 2 2 6" xfId="442" xr:uid="{00000000-0005-0000-0000-000045000000}"/>
    <cellStyle name="Milliers 3 2 2 2 6 2" xfId="662" xr:uid="{00000000-0005-0000-0000-000046000000}"/>
    <cellStyle name="Milliers 3 2 2 2 7" xfId="191" xr:uid="{00000000-0005-0000-0000-000047000000}"/>
    <cellStyle name="Milliers 3 2 2 2 8" xfId="466" xr:uid="{00000000-0005-0000-0000-000048000000}"/>
    <cellStyle name="Milliers 3 2 2 3" xfId="45" xr:uid="{00000000-0005-0000-0000-000049000000}"/>
    <cellStyle name="Milliers 3 2 2 3 2" xfId="293" xr:uid="{00000000-0005-0000-0000-00004A000000}"/>
    <cellStyle name="Milliers 3 2 2 3 2 2" xfId="559" xr:uid="{00000000-0005-0000-0000-00004B000000}"/>
    <cellStyle name="Milliers 3 2 2 3 3" xfId="201" xr:uid="{00000000-0005-0000-0000-00004C000000}"/>
    <cellStyle name="Milliers 3 2 2 3 4" xfId="476" xr:uid="{00000000-0005-0000-0000-00004D000000}"/>
    <cellStyle name="Milliers 3 2 2 4" xfId="71" xr:uid="{00000000-0005-0000-0000-00004E000000}"/>
    <cellStyle name="Milliers 3 2 2 4 2" xfId="322" xr:uid="{00000000-0005-0000-0000-00004F000000}"/>
    <cellStyle name="Milliers 3 2 2 4 2 2" xfId="588" xr:uid="{00000000-0005-0000-0000-000050000000}"/>
    <cellStyle name="Milliers 3 2 2 4 3" xfId="231" xr:uid="{00000000-0005-0000-0000-000051000000}"/>
    <cellStyle name="Milliers 3 2 2 4 4" xfId="505" xr:uid="{00000000-0005-0000-0000-000052000000}"/>
    <cellStyle name="Milliers 3 2 2 5" xfId="97" xr:uid="{00000000-0005-0000-0000-000053000000}"/>
    <cellStyle name="Milliers 3 2 2 5 2" xfId="268" xr:uid="{00000000-0005-0000-0000-000054000000}"/>
    <cellStyle name="Milliers 3 2 2 5 3" xfId="535" xr:uid="{00000000-0005-0000-0000-000055000000}"/>
    <cellStyle name="Milliers 3 2 2 6" xfId="124" xr:uid="{00000000-0005-0000-0000-000056000000}"/>
    <cellStyle name="Milliers 3 2 2 6 2" xfId="399" xr:uid="{00000000-0005-0000-0000-000057000000}"/>
    <cellStyle name="Milliers 3 2 2 6 3" xfId="619" xr:uid="{00000000-0005-0000-0000-000058000000}"/>
    <cellStyle name="Milliers 3 2 2 7" xfId="143" xr:uid="{00000000-0005-0000-0000-000059000000}"/>
    <cellStyle name="Milliers 3 2 2 7 2" xfId="428" xr:uid="{00000000-0005-0000-0000-00005A000000}"/>
    <cellStyle name="Milliers 3 2 2 7 3" xfId="648" xr:uid="{00000000-0005-0000-0000-00005B000000}"/>
    <cellStyle name="Milliers 3 2 2 8" xfId="160" xr:uid="{00000000-0005-0000-0000-00005C000000}"/>
    <cellStyle name="Milliers 3 2 2 9" xfId="177" xr:uid="{00000000-0005-0000-0000-00005D000000}"/>
    <cellStyle name="Milliers 3 2 3" xfId="20" xr:uid="{00000000-0005-0000-0000-00005E000000}"/>
    <cellStyle name="Milliers 3 2 3 10" xfId="453" xr:uid="{00000000-0005-0000-0000-00005F000000}"/>
    <cellStyle name="Milliers 3 2 3 2" xfId="39" xr:uid="{00000000-0005-0000-0000-000060000000}"/>
    <cellStyle name="Milliers 3 2 3 2 2" xfId="63" xr:uid="{00000000-0005-0000-0000-000061000000}"/>
    <cellStyle name="Milliers 3 2 3 2 2 2" xfId="311" xr:uid="{00000000-0005-0000-0000-000062000000}"/>
    <cellStyle name="Milliers 3 2 3 2 2 2 2" xfId="577" xr:uid="{00000000-0005-0000-0000-000063000000}"/>
    <cellStyle name="Milliers 3 2 3 2 2 3" xfId="220" xr:uid="{00000000-0005-0000-0000-000064000000}"/>
    <cellStyle name="Milliers 3 2 3 2 2 4" xfId="494" xr:uid="{00000000-0005-0000-0000-000065000000}"/>
    <cellStyle name="Milliers 3 2 3 2 3" xfId="91" xr:uid="{00000000-0005-0000-0000-000066000000}"/>
    <cellStyle name="Milliers 3 2 3 2 3 2" xfId="340" xr:uid="{00000000-0005-0000-0000-000067000000}"/>
    <cellStyle name="Milliers 3 2 3 2 3 2 2" xfId="606" xr:uid="{00000000-0005-0000-0000-000068000000}"/>
    <cellStyle name="Milliers 3 2 3 2 3 3" xfId="249" xr:uid="{00000000-0005-0000-0000-000069000000}"/>
    <cellStyle name="Milliers 3 2 3 2 3 4" xfId="523" xr:uid="{00000000-0005-0000-0000-00006A000000}"/>
    <cellStyle name="Milliers 3 2 3 2 4" xfId="115" xr:uid="{00000000-0005-0000-0000-00006B000000}"/>
    <cellStyle name="Milliers 3 2 3 2 4 2" xfId="287" xr:uid="{00000000-0005-0000-0000-00006C000000}"/>
    <cellStyle name="Milliers 3 2 3 2 4 3" xfId="553" xr:uid="{00000000-0005-0000-0000-00006D000000}"/>
    <cellStyle name="Milliers 3 2 3 2 5" xfId="417" xr:uid="{00000000-0005-0000-0000-00006E000000}"/>
    <cellStyle name="Milliers 3 2 3 2 5 2" xfId="637" xr:uid="{00000000-0005-0000-0000-00006F000000}"/>
    <cellStyle name="Milliers 3 2 3 2 6" xfId="446" xr:uid="{00000000-0005-0000-0000-000070000000}"/>
    <cellStyle name="Milliers 3 2 3 2 6 2" xfId="666" xr:uid="{00000000-0005-0000-0000-000071000000}"/>
    <cellStyle name="Milliers 3 2 3 2 7" xfId="195" xr:uid="{00000000-0005-0000-0000-000072000000}"/>
    <cellStyle name="Milliers 3 2 3 2 8" xfId="470" xr:uid="{00000000-0005-0000-0000-000073000000}"/>
    <cellStyle name="Milliers 3 2 3 3" xfId="46" xr:uid="{00000000-0005-0000-0000-000074000000}"/>
    <cellStyle name="Milliers 3 2 3 3 2" xfId="294" xr:uid="{00000000-0005-0000-0000-000075000000}"/>
    <cellStyle name="Milliers 3 2 3 3 2 2" xfId="560" xr:uid="{00000000-0005-0000-0000-000076000000}"/>
    <cellStyle name="Milliers 3 2 3 3 3" xfId="202" xr:uid="{00000000-0005-0000-0000-000077000000}"/>
    <cellStyle name="Milliers 3 2 3 3 4" xfId="477" xr:uid="{00000000-0005-0000-0000-000078000000}"/>
    <cellStyle name="Milliers 3 2 3 4" xfId="72" xr:uid="{00000000-0005-0000-0000-000079000000}"/>
    <cellStyle name="Milliers 3 2 3 4 2" xfId="323" xr:uid="{00000000-0005-0000-0000-00007A000000}"/>
    <cellStyle name="Milliers 3 2 3 4 2 2" xfId="589" xr:uid="{00000000-0005-0000-0000-00007B000000}"/>
    <cellStyle name="Milliers 3 2 3 4 3" xfId="232" xr:uid="{00000000-0005-0000-0000-00007C000000}"/>
    <cellStyle name="Milliers 3 2 3 4 4" xfId="506" xr:uid="{00000000-0005-0000-0000-00007D000000}"/>
    <cellStyle name="Milliers 3 2 3 5" xfId="98" xr:uid="{00000000-0005-0000-0000-00007E000000}"/>
    <cellStyle name="Milliers 3 2 3 5 2" xfId="269" xr:uid="{00000000-0005-0000-0000-00007F000000}"/>
    <cellStyle name="Milliers 3 2 3 5 3" xfId="536" xr:uid="{00000000-0005-0000-0000-000080000000}"/>
    <cellStyle name="Milliers 3 2 3 6" xfId="125" xr:uid="{00000000-0005-0000-0000-000081000000}"/>
    <cellStyle name="Milliers 3 2 3 6 2" xfId="400" xr:uid="{00000000-0005-0000-0000-000082000000}"/>
    <cellStyle name="Milliers 3 2 3 6 3" xfId="620" xr:uid="{00000000-0005-0000-0000-000083000000}"/>
    <cellStyle name="Milliers 3 2 3 7" xfId="144" xr:uid="{00000000-0005-0000-0000-000084000000}"/>
    <cellStyle name="Milliers 3 2 3 7 2" xfId="429" xr:uid="{00000000-0005-0000-0000-000085000000}"/>
    <cellStyle name="Milliers 3 2 3 7 3" xfId="649" xr:uid="{00000000-0005-0000-0000-000086000000}"/>
    <cellStyle name="Milliers 3 2 3 8" xfId="161" xr:uid="{00000000-0005-0000-0000-000087000000}"/>
    <cellStyle name="Milliers 3 2 3 9" xfId="178" xr:uid="{00000000-0005-0000-0000-000088000000}"/>
    <cellStyle name="Milliers 3 2 4" xfId="31" xr:uid="{00000000-0005-0000-0000-000089000000}"/>
    <cellStyle name="Milliers 3 2 4 2" xfId="55" xr:uid="{00000000-0005-0000-0000-00008A000000}"/>
    <cellStyle name="Milliers 3 2 4 2 2" xfId="304" xr:uid="{00000000-0005-0000-0000-00008B000000}"/>
    <cellStyle name="Milliers 3 2 4 2 2 2" xfId="570" xr:uid="{00000000-0005-0000-0000-00008C000000}"/>
    <cellStyle name="Milliers 3 2 4 2 3" xfId="213" xr:uid="{00000000-0005-0000-0000-00008D000000}"/>
    <cellStyle name="Milliers 3 2 4 2 4" xfId="487" xr:uid="{00000000-0005-0000-0000-00008E000000}"/>
    <cellStyle name="Milliers 3 2 4 3" xfId="86" xr:uid="{00000000-0005-0000-0000-00008F000000}"/>
    <cellStyle name="Milliers 3 2 4 3 2" xfId="333" xr:uid="{00000000-0005-0000-0000-000090000000}"/>
    <cellStyle name="Milliers 3 2 4 3 2 2" xfId="599" xr:uid="{00000000-0005-0000-0000-000091000000}"/>
    <cellStyle name="Milliers 3 2 4 3 3" xfId="242" xr:uid="{00000000-0005-0000-0000-000092000000}"/>
    <cellStyle name="Milliers 3 2 4 3 4" xfId="516" xr:uid="{00000000-0005-0000-0000-000093000000}"/>
    <cellStyle name="Milliers 3 2 4 4" xfId="107" xr:uid="{00000000-0005-0000-0000-000094000000}"/>
    <cellStyle name="Milliers 3 2 4 4 2" xfId="279" xr:uid="{00000000-0005-0000-0000-000095000000}"/>
    <cellStyle name="Milliers 3 2 4 4 3" xfId="545" xr:uid="{00000000-0005-0000-0000-000096000000}"/>
    <cellStyle name="Milliers 3 2 4 5" xfId="135" xr:uid="{00000000-0005-0000-0000-000097000000}"/>
    <cellStyle name="Milliers 3 2 4 5 2" xfId="410" xr:uid="{00000000-0005-0000-0000-000098000000}"/>
    <cellStyle name="Milliers 3 2 4 5 3" xfId="630" xr:uid="{00000000-0005-0000-0000-000099000000}"/>
    <cellStyle name="Milliers 3 2 4 6" xfId="154" xr:uid="{00000000-0005-0000-0000-00009A000000}"/>
    <cellStyle name="Milliers 3 2 4 6 2" xfId="438" xr:uid="{00000000-0005-0000-0000-00009B000000}"/>
    <cellStyle name="Milliers 3 2 4 6 3" xfId="658" xr:uid="{00000000-0005-0000-0000-00009C000000}"/>
    <cellStyle name="Milliers 3 2 4 7" xfId="171" xr:uid="{00000000-0005-0000-0000-00009D000000}"/>
    <cellStyle name="Milliers 3 2 4 8" xfId="187" xr:uid="{00000000-0005-0000-0000-00009E000000}"/>
    <cellStyle name="Milliers 3 2 4 9" xfId="462" xr:uid="{00000000-0005-0000-0000-00009F000000}"/>
    <cellStyle name="Milliers 3 2 5" xfId="43" xr:uid="{00000000-0005-0000-0000-0000A0000000}"/>
    <cellStyle name="Milliers 3 2 5 2" xfId="246" xr:uid="{00000000-0005-0000-0000-0000A1000000}"/>
    <cellStyle name="Milliers 3 2 5 2 2" xfId="337" xr:uid="{00000000-0005-0000-0000-0000A2000000}"/>
    <cellStyle name="Milliers 3 2 5 2 2 2" xfId="603" xr:uid="{00000000-0005-0000-0000-0000A3000000}"/>
    <cellStyle name="Milliers 3 2 5 2 3" xfId="520" xr:uid="{00000000-0005-0000-0000-0000A4000000}"/>
    <cellStyle name="Milliers 3 2 5 3" xfId="308" xr:uid="{00000000-0005-0000-0000-0000A5000000}"/>
    <cellStyle name="Milliers 3 2 5 3 2" xfId="574" xr:uid="{00000000-0005-0000-0000-0000A6000000}"/>
    <cellStyle name="Milliers 3 2 5 4" xfId="414" xr:uid="{00000000-0005-0000-0000-0000A7000000}"/>
    <cellStyle name="Milliers 3 2 5 4 2" xfId="634" xr:uid="{00000000-0005-0000-0000-0000A8000000}"/>
    <cellStyle name="Milliers 3 2 5 5" xfId="217" xr:uid="{00000000-0005-0000-0000-0000A9000000}"/>
    <cellStyle name="Milliers 3 2 5 6" xfId="491" xr:uid="{00000000-0005-0000-0000-0000AA000000}"/>
    <cellStyle name="Milliers 3 2 6" xfId="69" xr:uid="{00000000-0005-0000-0000-0000AB000000}"/>
    <cellStyle name="Milliers 3 2 6 2" xfId="291" xr:uid="{00000000-0005-0000-0000-0000AC000000}"/>
    <cellStyle name="Milliers 3 2 6 2 2" xfId="557" xr:uid="{00000000-0005-0000-0000-0000AD000000}"/>
    <cellStyle name="Milliers 3 2 6 3" xfId="199" xr:uid="{00000000-0005-0000-0000-0000AE000000}"/>
    <cellStyle name="Milliers 3 2 6 4" xfId="474" xr:uid="{00000000-0005-0000-0000-0000AF000000}"/>
    <cellStyle name="Milliers 3 2 7" xfId="95" xr:uid="{00000000-0005-0000-0000-0000B0000000}"/>
    <cellStyle name="Milliers 3 2 7 2" xfId="320" xr:uid="{00000000-0005-0000-0000-0000B1000000}"/>
    <cellStyle name="Milliers 3 2 7 2 2" xfId="586" xr:uid="{00000000-0005-0000-0000-0000B2000000}"/>
    <cellStyle name="Milliers 3 2 7 3" xfId="229" xr:uid="{00000000-0005-0000-0000-0000B3000000}"/>
    <cellStyle name="Milliers 3 2 7 4" xfId="503" xr:uid="{00000000-0005-0000-0000-0000B4000000}"/>
    <cellStyle name="Milliers 3 2 8" xfId="122" xr:uid="{00000000-0005-0000-0000-0000B5000000}"/>
    <cellStyle name="Milliers 3 2 8 2" xfId="266" xr:uid="{00000000-0005-0000-0000-0000B6000000}"/>
    <cellStyle name="Milliers 3 2 8 3" xfId="533" xr:uid="{00000000-0005-0000-0000-0000B7000000}"/>
    <cellStyle name="Milliers 3 2 9" xfId="141" xr:uid="{00000000-0005-0000-0000-0000B8000000}"/>
    <cellStyle name="Milliers 3 2 9 2" xfId="397" xr:uid="{00000000-0005-0000-0000-0000B9000000}"/>
    <cellStyle name="Milliers 3 2 9 3" xfId="617" xr:uid="{00000000-0005-0000-0000-0000BA000000}"/>
    <cellStyle name="Milliers 3 3" xfId="21" xr:uid="{00000000-0005-0000-0000-0000BB000000}"/>
    <cellStyle name="Milliers 3 3 10" xfId="454" xr:uid="{00000000-0005-0000-0000-0000BC000000}"/>
    <cellStyle name="Milliers 3 3 2" xfId="33" xr:uid="{00000000-0005-0000-0000-0000BD000000}"/>
    <cellStyle name="Milliers 3 3 2 2" xfId="57" xr:uid="{00000000-0005-0000-0000-0000BE000000}"/>
    <cellStyle name="Milliers 3 3 2 2 2" xfId="312" xr:uid="{00000000-0005-0000-0000-0000BF000000}"/>
    <cellStyle name="Milliers 3 3 2 2 2 2" xfId="578" xr:uid="{00000000-0005-0000-0000-0000C0000000}"/>
    <cellStyle name="Milliers 3 3 2 2 3" xfId="221" xr:uid="{00000000-0005-0000-0000-0000C1000000}"/>
    <cellStyle name="Milliers 3 3 2 2 4" xfId="495" xr:uid="{00000000-0005-0000-0000-0000C2000000}"/>
    <cellStyle name="Milliers 3 3 2 3" xfId="67" xr:uid="{00000000-0005-0000-0000-0000C3000000}"/>
    <cellStyle name="Milliers 3 3 2 3 2" xfId="341" xr:uid="{00000000-0005-0000-0000-0000C4000000}"/>
    <cellStyle name="Milliers 3 3 2 3 2 2" xfId="607" xr:uid="{00000000-0005-0000-0000-0000C5000000}"/>
    <cellStyle name="Milliers 3 3 2 3 3" xfId="250" xr:uid="{00000000-0005-0000-0000-0000C6000000}"/>
    <cellStyle name="Milliers 3 3 2 3 4" xfId="524" xr:uid="{00000000-0005-0000-0000-0000C7000000}"/>
    <cellStyle name="Milliers 3 3 2 4" xfId="109" xr:uid="{00000000-0005-0000-0000-0000C8000000}"/>
    <cellStyle name="Milliers 3 3 2 4 2" xfId="281" xr:uid="{00000000-0005-0000-0000-0000C9000000}"/>
    <cellStyle name="Milliers 3 3 2 4 3" xfId="547" xr:uid="{00000000-0005-0000-0000-0000CA000000}"/>
    <cellStyle name="Milliers 3 3 2 5" xfId="418" xr:uid="{00000000-0005-0000-0000-0000CB000000}"/>
    <cellStyle name="Milliers 3 3 2 5 2" xfId="638" xr:uid="{00000000-0005-0000-0000-0000CC000000}"/>
    <cellStyle name="Milliers 3 3 2 6" xfId="440" xr:uid="{00000000-0005-0000-0000-0000CD000000}"/>
    <cellStyle name="Milliers 3 3 2 6 2" xfId="660" xr:uid="{00000000-0005-0000-0000-0000CE000000}"/>
    <cellStyle name="Milliers 3 3 2 7" xfId="189" xr:uid="{00000000-0005-0000-0000-0000CF000000}"/>
    <cellStyle name="Milliers 3 3 2 8" xfId="464" xr:uid="{00000000-0005-0000-0000-0000D0000000}"/>
    <cellStyle name="Milliers 3 3 3" xfId="47" xr:uid="{00000000-0005-0000-0000-0000D1000000}"/>
    <cellStyle name="Milliers 3 3 3 2" xfId="295" xr:uid="{00000000-0005-0000-0000-0000D2000000}"/>
    <cellStyle name="Milliers 3 3 3 2 2" xfId="561" xr:uid="{00000000-0005-0000-0000-0000D3000000}"/>
    <cellStyle name="Milliers 3 3 3 3" xfId="203" xr:uid="{00000000-0005-0000-0000-0000D4000000}"/>
    <cellStyle name="Milliers 3 3 3 4" xfId="478" xr:uid="{00000000-0005-0000-0000-0000D5000000}"/>
    <cellStyle name="Milliers 3 3 4" xfId="73" xr:uid="{00000000-0005-0000-0000-0000D6000000}"/>
    <cellStyle name="Milliers 3 3 4 2" xfId="324" xr:uid="{00000000-0005-0000-0000-0000D7000000}"/>
    <cellStyle name="Milliers 3 3 4 2 2" xfId="590" xr:uid="{00000000-0005-0000-0000-0000D8000000}"/>
    <cellStyle name="Milliers 3 3 4 3" xfId="233" xr:uid="{00000000-0005-0000-0000-0000D9000000}"/>
    <cellStyle name="Milliers 3 3 4 4" xfId="507" xr:uid="{00000000-0005-0000-0000-0000DA000000}"/>
    <cellStyle name="Milliers 3 3 5" xfId="99" xr:uid="{00000000-0005-0000-0000-0000DB000000}"/>
    <cellStyle name="Milliers 3 3 5 2" xfId="270" xr:uid="{00000000-0005-0000-0000-0000DC000000}"/>
    <cellStyle name="Milliers 3 3 5 3" xfId="537" xr:uid="{00000000-0005-0000-0000-0000DD000000}"/>
    <cellStyle name="Milliers 3 3 6" xfId="126" xr:uid="{00000000-0005-0000-0000-0000DE000000}"/>
    <cellStyle name="Milliers 3 3 6 2" xfId="401" xr:uid="{00000000-0005-0000-0000-0000DF000000}"/>
    <cellStyle name="Milliers 3 3 6 3" xfId="621" xr:uid="{00000000-0005-0000-0000-0000E0000000}"/>
    <cellStyle name="Milliers 3 3 7" xfId="145" xr:uid="{00000000-0005-0000-0000-0000E1000000}"/>
    <cellStyle name="Milliers 3 3 7 2" xfId="430" xr:uid="{00000000-0005-0000-0000-0000E2000000}"/>
    <cellStyle name="Milliers 3 3 7 3" xfId="650" xr:uid="{00000000-0005-0000-0000-0000E3000000}"/>
    <cellStyle name="Milliers 3 3 8" xfId="162" xr:uid="{00000000-0005-0000-0000-0000E4000000}"/>
    <cellStyle name="Milliers 3 3 9" xfId="179" xr:uid="{00000000-0005-0000-0000-0000E5000000}"/>
    <cellStyle name="Milliers 3 4" xfId="22" xr:uid="{00000000-0005-0000-0000-0000E6000000}"/>
    <cellStyle name="Milliers 3 4 10" xfId="455" xr:uid="{00000000-0005-0000-0000-0000E7000000}"/>
    <cellStyle name="Milliers 3 4 2" xfId="37" xr:uid="{00000000-0005-0000-0000-0000E8000000}"/>
    <cellStyle name="Milliers 3 4 2 2" xfId="61" xr:uid="{00000000-0005-0000-0000-0000E9000000}"/>
    <cellStyle name="Milliers 3 4 2 2 2" xfId="313" xr:uid="{00000000-0005-0000-0000-0000EA000000}"/>
    <cellStyle name="Milliers 3 4 2 2 2 2" xfId="579" xr:uid="{00000000-0005-0000-0000-0000EB000000}"/>
    <cellStyle name="Milliers 3 4 2 2 3" xfId="222" xr:uid="{00000000-0005-0000-0000-0000EC000000}"/>
    <cellStyle name="Milliers 3 4 2 2 4" xfId="496" xr:uid="{00000000-0005-0000-0000-0000ED000000}"/>
    <cellStyle name="Milliers 3 4 2 3" xfId="89" xr:uid="{00000000-0005-0000-0000-0000EE000000}"/>
    <cellStyle name="Milliers 3 4 2 3 2" xfId="342" xr:uid="{00000000-0005-0000-0000-0000EF000000}"/>
    <cellStyle name="Milliers 3 4 2 3 2 2" xfId="608" xr:uid="{00000000-0005-0000-0000-0000F0000000}"/>
    <cellStyle name="Milliers 3 4 2 3 3" xfId="251" xr:uid="{00000000-0005-0000-0000-0000F1000000}"/>
    <cellStyle name="Milliers 3 4 2 3 4" xfId="525" xr:uid="{00000000-0005-0000-0000-0000F2000000}"/>
    <cellStyle name="Milliers 3 4 2 4" xfId="113" xr:uid="{00000000-0005-0000-0000-0000F3000000}"/>
    <cellStyle name="Milliers 3 4 2 4 2" xfId="285" xr:uid="{00000000-0005-0000-0000-0000F4000000}"/>
    <cellStyle name="Milliers 3 4 2 4 3" xfId="551" xr:uid="{00000000-0005-0000-0000-0000F5000000}"/>
    <cellStyle name="Milliers 3 4 2 5" xfId="419" xr:uid="{00000000-0005-0000-0000-0000F6000000}"/>
    <cellStyle name="Milliers 3 4 2 5 2" xfId="639" xr:uid="{00000000-0005-0000-0000-0000F7000000}"/>
    <cellStyle name="Milliers 3 4 2 6" xfId="444" xr:uid="{00000000-0005-0000-0000-0000F8000000}"/>
    <cellStyle name="Milliers 3 4 2 6 2" xfId="664" xr:uid="{00000000-0005-0000-0000-0000F9000000}"/>
    <cellStyle name="Milliers 3 4 2 7" xfId="193" xr:uid="{00000000-0005-0000-0000-0000FA000000}"/>
    <cellStyle name="Milliers 3 4 2 8" xfId="468" xr:uid="{00000000-0005-0000-0000-0000FB000000}"/>
    <cellStyle name="Milliers 3 4 3" xfId="48" xr:uid="{00000000-0005-0000-0000-0000FC000000}"/>
    <cellStyle name="Milliers 3 4 3 2" xfId="296" xr:uid="{00000000-0005-0000-0000-0000FD000000}"/>
    <cellStyle name="Milliers 3 4 3 2 2" xfId="562" xr:uid="{00000000-0005-0000-0000-0000FE000000}"/>
    <cellStyle name="Milliers 3 4 3 3" xfId="204" xr:uid="{00000000-0005-0000-0000-0000FF000000}"/>
    <cellStyle name="Milliers 3 4 3 4" xfId="479" xr:uid="{00000000-0005-0000-0000-000000010000}"/>
    <cellStyle name="Milliers 3 4 4" xfId="74" xr:uid="{00000000-0005-0000-0000-000001010000}"/>
    <cellStyle name="Milliers 3 4 4 2" xfId="325" xr:uid="{00000000-0005-0000-0000-000002010000}"/>
    <cellStyle name="Milliers 3 4 4 2 2" xfId="591" xr:uid="{00000000-0005-0000-0000-000003010000}"/>
    <cellStyle name="Milliers 3 4 4 3" xfId="234" xr:uid="{00000000-0005-0000-0000-000004010000}"/>
    <cellStyle name="Milliers 3 4 4 4" xfId="508" xr:uid="{00000000-0005-0000-0000-000005010000}"/>
    <cellStyle name="Milliers 3 4 5" xfId="100" xr:uid="{00000000-0005-0000-0000-000006010000}"/>
    <cellStyle name="Milliers 3 4 5 2" xfId="271" xr:uid="{00000000-0005-0000-0000-000007010000}"/>
    <cellStyle name="Milliers 3 4 5 3" xfId="538" xr:uid="{00000000-0005-0000-0000-000008010000}"/>
    <cellStyle name="Milliers 3 4 6" xfId="127" xr:uid="{00000000-0005-0000-0000-000009010000}"/>
    <cellStyle name="Milliers 3 4 6 2" xfId="402" xr:uid="{00000000-0005-0000-0000-00000A010000}"/>
    <cellStyle name="Milliers 3 4 6 3" xfId="622" xr:uid="{00000000-0005-0000-0000-00000B010000}"/>
    <cellStyle name="Milliers 3 4 7" xfId="146" xr:uid="{00000000-0005-0000-0000-00000C010000}"/>
    <cellStyle name="Milliers 3 4 7 2" xfId="431" xr:uid="{00000000-0005-0000-0000-00000D010000}"/>
    <cellStyle name="Milliers 3 4 7 3" xfId="651" xr:uid="{00000000-0005-0000-0000-00000E010000}"/>
    <cellStyle name="Milliers 3 4 8" xfId="163" xr:uid="{00000000-0005-0000-0000-00000F010000}"/>
    <cellStyle name="Milliers 3 4 9" xfId="180" xr:uid="{00000000-0005-0000-0000-000010010000}"/>
    <cellStyle name="Milliers 3 5" xfId="29" xr:uid="{00000000-0005-0000-0000-000011010000}"/>
    <cellStyle name="Milliers 3 5 2" xfId="53" xr:uid="{00000000-0005-0000-0000-000012010000}"/>
    <cellStyle name="Milliers 3 5 2 2" xfId="302" xr:uid="{00000000-0005-0000-0000-000013010000}"/>
    <cellStyle name="Milliers 3 5 2 2 2" xfId="568" xr:uid="{00000000-0005-0000-0000-000014010000}"/>
    <cellStyle name="Milliers 3 5 2 3" xfId="211" xr:uid="{00000000-0005-0000-0000-000015010000}"/>
    <cellStyle name="Milliers 3 5 2 4" xfId="485" xr:uid="{00000000-0005-0000-0000-000016010000}"/>
    <cellStyle name="Milliers 3 5 3" xfId="84" xr:uid="{00000000-0005-0000-0000-000017010000}"/>
    <cellStyle name="Milliers 3 5 3 2" xfId="331" xr:uid="{00000000-0005-0000-0000-000018010000}"/>
    <cellStyle name="Milliers 3 5 3 2 2" xfId="597" xr:uid="{00000000-0005-0000-0000-000019010000}"/>
    <cellStyle name="Milliers 3 5 3 3" xfId="240" xr:uid="{00000000-0005-0000-0000-00001A010000}"/>
    <cellStyle name="Milliers 3 5 3 4" xfId="514" xr:uid="{00000000-0005-0000-0000-00001B010000}"/>
    <cellStyle name="Milliers 3 5 4" xfId="105" xr:uid="{00000000-0005-0000-0000-00001C010000}"/>
    <cellStyle name="Milliers 3 5 4 2" xfId="277" xr:uid="{00000000-0005-0000-0000-00001D010000}"/>
    <cellStyle name="Milliers 3 5 4 3" xfId="543" xr:uid="{00000000-0005-0000-0000-00001E010000}"/>
    <cellStyle name="Milliers 3 5 5" xfId="133" xr:uid="{00000000-0005-0000-0000-00001F010000}"/>
    <cellStyle name="Milliers 3 5 5 2" xfId="408" xr:uid="{00000000-0005-0000-0000-000020010000}"/>
    <cellStyle name="Milliers 3 5 5 3" xfId="628" xr:uid="{00000000-0005-0000-0000-000021010000}"/>
    <cellStyle name="Milliers 3 5 6" xfId="152" xr:uid="{00000000-0005-0000-0000-000022010000}"/>
    <cellStyle name="Milliers 3 5 6 2" xfId="436" xr:uid="{00000000-0005-0000-0000-000023010000}"/>
    <cellStyle name="Milliers 3 5 6 3" xfId="656" xr:uid="{00000000-0005-0000-0000-000024010000}"/>
    <cellStyle name="Milliers 3 5 7" xfId="169" xr:uid="{00000000-0005-0000-0000-000025010000}"/>
    <cellStyle name="Milliers 3 5 8" xfId="185" xr:uid="{00000000-0005-0000-0000-000026010000}"/>
    <cellStyle name="Milliers 3 5 9" xfId="460" xr:uid="{00000000-0005-0000-0000-000027010000}"/>
    <cellStyle name="Milliers 3 6" xfId="41" xr:uid="{00000000-0005-0000-0000-000028010000}"/>
    <cellStyle name="Milliers 3 6 2" xfId="244" xr:uid="{00000000-0005-0000-0000-000029010000}"/>
    <cellStyle name="Milliers 3 6 2 2" xfId="335" xr:uid="{00000000-0005-0000-0000-00002A010000}"/>
    <cellStyle name="Milliers 3 6 2 2 2" xfId="601" xr:uid="{00000000-0005-0000-0000-00002B010000}"/>
    <cellStyle name="Milliers 3 6 2 3" xfId="518" xr:uid="{00000000-0005-0000-0000-00002C010000}"/>
    <cellStyle name="Milliers 3 6 3" xfId="306" xr:uid="{00000000-0005-0000-0000-00002D010000}"/>
    <cellStyle name="Milliers 3 6 3 2" xfId="572" xr:uid="{00000000-0005-0000-0000-00002E010000}"/>
    <cellStyle name="Milliers 3 6 4" xfId="412" xr:uid="{00000000-0005-0000-0000-00002F010000}"/>
    <cellStyle name="Milliers 3 6 4 2" xfId="632" xr:uid="{00000000-0005-0000-0000-000030010000}"/>
    <cellStyle name="Milliers 3 6 5" xfId="215" xr:uid="{00000000-0005-0000-0000-000031010000}"/>
    <cellStyle name="Milliers 3 6 6" xfId="489" xr:uid="{00000000-0005-0000-0000-000032010000}"/>
    <cellStyle name="Milliers 3 7" xfId="66" xr:uid="{00000000-0005-0000-0000-000033010000}"/>
    <cellStyle name="Milliers 3 7 2" xfId="289" xr:uid="{00000000-0005-0000-0000-000034010000}"/>
    <cellStyle name="Milliers 3 7 2 2" xfId="555" xr:uid="{00000000-0005-0000-0000-000035010000}"/>
    <cellStyle name="Milliers 3 7 3" xfId="197" xr:uid="{00000000-0005-0000-0000-000036010000}"/>
    <cellStyle name="Milliers 3 7 4" xfId="472" xr:uid="{00000000-0005-0000-0000-000037010000}"/>
    <cellStyle name="Milliers 3 8" xfId="93" xr:uid="{00000000-0005-0000-0000-000038010000}"/>
    <cellStyle name="Milliers 3 8 2" xfId="318" xr:uid="{00000000-0005-0000-0000-000039010000}"/>
    <cellStyle name="Milliers 3 8 2 2" xfId="584" xr:uid="{00000000-0005-0000-0000-00003A010000}"/>
    <cellStyle name="Milliers 3 8 3" xfId="227" xr:uid="{00000000-0005-0000-0000-00003B010000}"/>
    <cellStyle name="Milliers 3 8 4" xfId="501" xr:uid="{00000000-0005-0000-0000-00003C010000}"/>
    <cellStyle name="Milliers 3 9" xfId="120" xr:uid="{00000000-0005-0000-0000-00003D010000}"/>
    <cellStyle name="Milliers 3 9 2" xfId="263" xr:uid="{00000000-0005-0000-0000-00003E010000}"/>
    <cellStyle name="Milliers 3 9 3" xfId="531" xr:uid="{00000000-0005-0000-0000-00003F010000}"/>
    <cellStyle name="Milliers 4" xfId="14" xr:uid="{00000000-0005-0000-0000-000040010000}"/>
    <cellStyle name="Milliers 4 2" xfId="23" xr:uid="{00000000-0005-0000-0000-000041010000}"/>
    <cellStyle name="Milliers 5" xfId="81" xr:uid="{00000000-0005-0000-0000-000042010000}"/>
    <cellStyle name="Milliers 5 2" xfId="132" xr:uid="{00000000-0005-0000-0000-000043010000}"/>
    <cellStyle name="Milliers 5 2 2" xfId="330" xr:uid="{00000000-0005-0000-0000-000044010000}"/>
    <cellStyle name="Milliers 5 2 2 2" xfId="596" xr:uid="{00000000-0005-0000-0000-000045010000}"/>
    <cellStyle name="Milliers 5 2 3" xfId="239" xr:uid="{00000000-0005-0000-0000-000046010000}"/>
    <cellStyle name="Milliers 5 2 4" xfId="513" xr:uid="{00000000-0005-0000-0000-000047010000}"/>
    <cellStyle name="Milliers 5 3" xfId="151" xr:uid="{00000000-0005-0000-0000-000048010000}"/>
    <cellStyle name="Milliers 5 3 2" xfId="301" xr:uid="{00000000-0005-0000-0000-000049010000}"/>
    <cellStyle name="Milliers 5 3 3" xfId="567" xr:uid="{00000000-0005-0000-0000-00004A010000}"/>
    <cellStyle name="Milliers 5 4" xfId="168" xr:uid="{00000000-0005-0000-0000-00004B010000}"/>
    <cellStyle name="Milliers 5 4 2" xfId="407" xr:uid="{00000000-0005-0000-0000-00004C010000}"/>
    <cellStyle name="Milliers 5 4 3" xfId="627" xr:uid="{00000000-0005-0000-0000-00004D010000}"/>
    <cellStyle name="Milliers 5 5" xfId="209" xr:uid="{00000000-0005-0000-0000-00004E010000}"/>
    <cellStyle name="Milliers 5 6" xfId="484" xr:uid="{00000000-0005-0000-0000-00004F010000}"/>
    <cellStyle name="Milliers 6" xfId="118" xr:uid="{00000000-0005-0000-0000-000050010000}"/>
    <cellStyle name="Milliers 6 2" xfId="262" xr:uid="{00000000-0005-0000-0000-000051010000}"/>
    <cellStyle name="Milliers 7" xfId="272" xr:uid="{00000000-0005-0000-0000-000052010000}"/>
    <cellStyle name="Milliers 8" xfId="378" xr:uid="{00000000-0005-0000-0000-000053010000}"/>
    <cellStyle name="Milliers 9" xfId="392" xr:uid="{00000000-0005-0000-0000-000054010000}"/>
    <cellStyle name="Milliers 9 2" xfId="614" xr:uid="{00000000-0005-0000-0000-000055010000}"/>
    <cellStyle name="Neutre 2" xfId="379" xr:uid="{00000000-0005-0000-0000-000056010000}"/>
    <cellStyle name="Normal" xfId="0" builtinId="0"/>
    <cellStyle name="Normal 10" xfId="260" xr:uid="{00000000-0005-0000-0000-000058010000}"/>
    <cellStyle name="Normal 11" xfId="348" xr:uid="{00000000-0005-0000-0000-000059010000}"/>
    <cellStyle name="Normal 12" xfId="391" xr:uid="{00000000-0005-0000-0000-00005A010000}"/>
    <cellStyle name="Normal 12 2" xfId="613" xr:uid="{00000000-0005-0000-0000-00005B010000}"/>
    <cellStyle name="Normal 2" xfId="7" xr:uid="{00000000-0005-0000-0000-00005C010000}"/>
    <cellStyle name="Normal 2 2" xfId="8" xr:uid="{00000000-0005-0000-0000-00005D010000}"/>
    <cellStyle name="Normal 2 3" xfId="9" xr:uid="{00000000-0005-0000-0000-00005E010000}"/>
    <cellStyle name="Normal 2 3 2" xfId="380" xr:uid="{00000000-0005-0000-0000-00005F010000}"/>
    <cellStyle name="Normal 3" xfId="10" xr:uid="{00000000-0005-0000-0000-000060010000}"/>
    <cellStyle name="Normal 3 10" xfId="140" xr:uid="{00000000-0005-0000-0000-000061010000}"/>
    <cellStyle name="Normal 3 10 2" xfId="264" xr:uid="{00000000-0005-0000-0000-000062010000}"/>
    <cellStyle name="Normal 3 10 3" xfId="532" xr:uid="{00000000-0005-0000-0000-000063010000}"/>
    <cellStyle name="Normal 3 11" xfId="157" xr:uid="{00000000-0005-0000-0000-000064010000}"/>
    <cellStyle name="Normal 3 11 2" xfId="258" xr:uid="{00000000-0005-0000-0000-000065010000}"/>
    <cellStyle name="Normal 3 11 3" xfId="530" xr:uid="{00000000-0005-0000-0000-000066010000}"/>
    <cellStyle name="Normal 3 12" xfId="396" xr:uid="{00000000-0005-0000-0000-000067010000}"/>
    <cellStyle name="Normal 3 12 2" xfId="616" xr:uid="{00000000-0005-0000-0000-000068010000}"/>
    <cellStyle name="Normal 3 13" xfId="425" xr:uid="{00000000-0005-0000-0000-000069010000}"/>
    <cellStyle name="Normal 3 13 2" xfId="645" xr:uid="{00000000-0005-0000-0000-00006A010000}"/>
    <cellStyle name="Normal 3 14" xfId="174" xr:uid="{00000000-0005-0000-0000-00006B010000}"/>
    <cellStyle name="Normal 3 15" xfId="449" xr:uid="{00000000-0005-0000-0000-00006C010000}"/>
    <cellStyle name="Normal 3 2" xfId="17" xr:uid="{00000000-0005-0000-0000-00006D010000}"/>
    <cellStyle name="Normal 3 2 10" xfId="159" xr:uid="{00000000-0005-0000-0000-00006E010000}"/>
    <cellStyle name="Normal 3 2 10 2" xfId="427" xr:uid="{00000000-0005-0000-0000-00006F010000}"/>
    <cellStyle name="Normal 3 2 10 3" xfId="647" xr:uid="{00000000-0005-0000-0000-000070010000}"/>
    <cellStyle name="Normal 3 2 11" xfId="176" xr:uid="{00000000-0005-0000-0000-000071010000}"/>
    <cellStyle name="Normal 3 2 12" xfId="451" xr:uid="{00000000-0005-0000-0000-000072010000}"/>
    <cellStyle name="Normal 3 2 2" xfId="24" xr:uid="{00000000-0005-0000-0000-000073010000}"/>
    <cellStyle name="Normal 3 2 2 10" xfId="456" xr:uid="{00000000-0005-0000-0000-000074010000}"/>
    <cellStyle name="Normal 3 2 2 2" xfId="36" xr:uid="{00000000-0005-0000-0000-000075010000}"/>
    <cellStyle name="Normal 3 2 2 2 2" xfId="60" xr:uid="{00000000-0005-0000-0000-000076010000}"/>
    <cellStyle name="Normal 3 2 2 2 2 2" xfId="314" xr:uid="{00000000-0005-0000-0000-000077010000}"/>
    <cellStyle name="Normal 3 2 2 2 2 2 2" xfId="580" xr:uid="{00000000-0005-0000-0000-000078010000}"/>
    <cellStyle name="Normal 3 2 2 2 2 3" xfId="223" xr:uid="{00000000-0005-0000-0000-000079010000}"/>
    <cellStyle name="Normal 3 2 2 2 2 4" xfId="497" xr:uid="{00000000-0005-0000-0000-00007A010000}"/>
    <cellStyle name="Normal 3 2 2 2 3" xfId="80" xr:uid="{00000000-0005-0000-0000-00007B010000}"/>
    <cellStyle name="Normal 3 2 2 2 3 2" xfId="343" xr:uid="{00000000-0005-0000-0000-00007C010000}"/>
    <cellStyle name="Normal 3 2 2 2 3 2 2" xfId="609" xr:uid="{00000000-0005-0000-0000-00007D010000}"/>
    <cellStyle name="Normal 3 2 2 2 3 3" xfId="252" xr:uid="{00000000-0005-0000-0000-00007E010000}"/>
    <cellStyle name="Normal 3 2 2 2 3 4" xfId="526" xr:uid="{00000000-0005-0000-0000-00007F010000}"/>
    <cellStyle name="Normal 3 2 2 2 4" xfId="112" xr:uid="{00000000-0005-0000-0000-000080010000}"/>
    <cellStyle name="Normal 3 2 2 2 4 2" xfId="284" xr:uid="{00000000-0005-0000-0000-000081010000}"/>
    <cellStyle name="Normal 3 2 2 2 4 3" xfId="550" xr:uid="{00000000-0005-0000-0000-000082010000}"/>
    <cellStyle name="Normal 3 2 2 2 5" xfId="420" xr:uid="{00000000-0005-0000-0000-000083010000}"/>
    <cellStyle name="Normal 3 2 2 2 5 2" xfId="640" xr:uid="{00000000-0005-0000-0000-000084010000}"/>
    <cellStyle name="Normal 3 2 2 2 6" xfId="443" xr:uid="{00000000-0005-0000-0000-000085010000}"/>
    <cellStyle name="Normal 3 2 2 2 6 2" xfId="663" xr:uid="{00000000-0005-0000-0000-000086010000}"/>
    <cellStyle name="Normal 3 2 2 2 7" xfId="192" xr:uid="{00000000-0005-0000-0000-000087010000}"/>
    <cellStyle name="Normal 3 2 2 2 8" xfId="467" xr:uid="{00000000-0005-0000-0000-000088010000}"/>
    <cellStyle name="Normal 3 2 2 3" xfId="49" xr:uid="{00000000-0005-0000-0000-000089010000}"/>
    <cellStyle name="Normal 3 2 2 3 2" xfId="297" xr:uid="{00000000-0005-0000-0000-00008A010000}"/>
    <cellStyle name="Normal 3 2 2 3 2 2" xfId="563" xr:uid="{00000000-0005-0000-0000-00008B010000}"/>
    <cellStyle name="Normal 3 2 2 3 3" xfId="205" xr:uid="{00000000-0005-0000-0000-00008C010000}"/>
    <cellStyle name="Normal 3 2 2 3 4" xfId="480" xr:uid="{00000000-0005-0000-0000-00008D010000}"/>
    <cellStyle name="Normal 3 2 2 4" xfId="76" xr:uid="{00000000-0005-0000-0000-00008E010000}"/>
    <cellStyle name="Normal 3 2 2 4 2" xfId="326" xr:uid="{00000000-0005-0000-0000-00008F010000}"/>
    <cellStyle name="Normal 3 2 2 4 2 2" xfId="592" xr:uid="{00000000-0005-0000-0000-000090010000}"/>
    <cellStyle name="Normal 3 2 2 4 3" xfId="235" xr:uid="{00000000-0005-0000-0000-000091010000}"/>
    <cellStyle name="Normal 3 2 2 4 4" xfId="509" xr:uid="{00000000-0005-0000-0000-000092010000}"/>
    <cellStyle name="Normal 3 2 2 5" xfId="101" xr:uid="{00000000-0005-0000-0000-000093010000}"/>
    <cellStyle name="Normal 3 2 2 5 2" xfId="273" xr:uid="{00000000-0005-0000-0000-000094010000}"/>
    <cellStyle name="Normal 3 2 2 5 3" xfId="539" xr:uid="{00000000-0005-0000-0000-000095010000}"/>
    <cellStyle name="Normal 3 2 2 6" xfId="128" xr:uid="{00000000-0005-0000-0000-000096010000}"/>
    <cellStyle name="Normal 3 2 2 6 2" xfId="403" xr:uid="{00000000-0005-0000-0000-000097010000}"/>
    <cellStyle name="Normal 3 2 2 6 3" xfId="623" xr:uid="{00000000-0005-0000-0000-000098010000}"/>
    <cellStyle name="Normal 3 2 2 7" xfId="147" xr:uid="{00000000-0005-0000-0000-000099010000}"/>
    <cellStyle name="Normal 3 2 2 7 2" xfId="432" xr:uid="{00000000-0005-0000-0000-00009A010000}"/>
    <cellStyle name="Normal 3 2 2 7 3" xfId="652" xr:uid="{00000000-0005-0000-0000-00009B010000}"/>
    <cellStyle name="Normal 3 2 2 8" xfId="164" xr:uid="{00000000-0005-0000-0000-00009C010000}"/>
    <cellStyle name="Normal 3 2 2 9" xfId="181" xr:uid="{00000000-0005-0000-0000-00009D010000}"/>
    <cellStyle name="Normal 3 2 3" xfId="25" xr:uid="{00000000-0005-0000-0000-00009E010000}"/>
    <cellStyle name="Normal 3 2 3 10" xfId="457" xr:uid="{00000000-0005-0000-0000-00009F010000}"/>
    <cellStyle name="Normal 3 2 3 2" xfId="40" xr:uid="{00000000-0005-0000-0000-0000A0010000}"/>
    <cellStyle name="Normal 3 2 3 2 2" xfId="64" xr:uid="{00000000-0005-0000-0000-0000A1010000}"/>
    <cellStyle name="Normal 3 2 3 2 2 2" xfId="315" xr:uid="{00000000-0005-0000-0000-0000A2010000}"/>
    <cellStyle name="Normal 3 2 3 2 2 2 2" xfId="581" xr:uid="{00000000-0005-0000-0000-0000A3010000}"/>
    <cellStyle name="Normal 3 2 3 2 2 3" xfId="224" xr:uid="{00000000-0005-0000-0000-0000A4010000}"/>
    <cellStyle name="Normal 3 2 3 2 2 4" xfId="498" xr:uid="{00000000-0005-0000-0000-0000A5010000}"/>
    <cellStyle name="Normal 3 2 3 2 3" xfId="92" xr:uid="{00000000-0005-0000-0000-0000A6010000}"/>
    <cellStyle name="Normal 3 2 3 2 3 2" xfId="344" xr:uid="{00000000-0005-0000-0000-0000A7010000}"/>
    <cellStyle name="Normal 3 2 3 2 3 2 2" xfId="610" xr:uid="{00000000-0005-0000-0000-0000A8010000}"/>
    <cellStyle name="Normal 3 2 3 2 3 3" xfId="253" xr:uid="{00000000-0005-0000-0000-0000A9010000}"/>
    <cellStyle name="Normal 3 2 3 2 3 4" xfId="527" xr:uid="{00000000-0005-0000-0000-0000AA010000}"/>
    <cellStyle name="Normal 3 2 3 2 4" xfId="116" xr:uid="{00000000-0005-0000-0000-0000AB010000}"/>
    <cellStyle name="Normal 3 2 3 2 4 2" xfId="288" xr:uid="{00000000-0005-0000-0000-0000AC010000}"/>
    <cellStyle name="Normal 3 2 3 2 4 3" xfId="554" xr:uid="{00000000-0005-0000-0000-0000AD010000}"/>
    <cellStyle name="Normal 3 2 3 2 5" xfId="421" xr:uid="{00000000-0005-0000-0000-0000AE010000}"/>
    <cellStyle name="Normal 3 2 3 2 5 2" xfId="641" xr:uid="{00000000-0005-0000-0000-0000AF010000}"/>
    <cellStyle name="Normal 3 2 3 2 6" xfId="447" xr:uid="{00000000-0005-0000-0000-0000B0010000}"/>
    <cellStyle name="Normal 3 2 3 2 6 2" xfId="667" xr:uid="{00000000-0005-0000-0000-0000B1010000}"/>
    <cellStyle name="Normal 3 2 3 2 7" xfId="196" xr:uid="{00000000-0005-0000-0000-0000B2010000}"/>
    <cellStyle name="Normal 3 2 3 2 8" xfId="471" xr:uid="{00000000-0005-0000-0000-0000B3010000}"/>
    <cellStyle name="Normal 3 2 3 3" xfId="50" xr:uid="{00000000-0005-0000-0000-0000B4010000}"/>
    <cellStyle name="Normal 3 2 3 3 2" xfId="298" xr:uid="{00000000-0005-0000-0000-0000B5010000}"/>
    <cellStyle name="Normal 3 2 3 3 2 2" xfId="564" xr:uid="{00000000-0005-0000-0000-0000B6010000}"/>
    <cellStyle name="Normal 3 2 3 3 3" xfId="206" xr:uid="{00000000-0005-0000-0000-0000B7010000}"/>
    <cellStyle name="Normal 3 2 3 3 4" xfId="481" xr:uid="{00000000-0005-0000-0000-0000B8010000}"/>
    <cellStyle name="Normal 3 2 3 4" xfId="77" xr:uid="{00000000-0005-0000-0000-0000B9010000}"/>
    <cellStyle name="Normal 3 2 3 4 2" xfId="327" xr:uid="{00000000-0005-0000-0000-0000BA010000}"/>
    <cellStyle name="Normal 3 2 3 4 2 2" xfId="593" xr:uid="{00000000-0005-0000-0000-0000BB010000}"/>
    <cellStyle name="Normal 3 2 3 4 3" xfId="236" xr:uid="{00000000-0005-0000-0000-0000BC010000}"/>
    <cellStyle name="Normal 3 2 3 4 4" xfId="510" xr:uid="{00000000-0005-0000-0000-0000BD010000}"/>
    <cellStyle name="Normal 3 2 3 5" xfId="102" xr:uid="{00000000-0005-0000-0000-0000BE010000}"/>
    <cellStyle name="Normal 3 2 3 5 2" xfId="274" xr:uid="{00000000-0005-0000-0000-0000BF010000}"/>
    <cellStyle name="Normal 3 2 3 5 3" xfId="540" xr:uid="{00000000-0005-0000-0000-0000C0010000}"/>
    <cellStyle name="Normal 3 2 3 6" xfId="129" xr:uid="{00000000-0005-0000-0000-0000C1010000}"/>
    <cellStyle name="Normal 3 2 3 6 2" xfId="404" xr:uid="{00000000-0005-0000-0000-0000C2010000}"/>
    <cellStyle name="Normal 3 2 3 6 3" xfId="624" xr:uid="{00000000-0005-0000-0000-0000C3010000}"/>
    <cellStyle name="Normal 3 2 3 7" xfId="148" xr:uid="{00000000-0005-0000-0000-0000C4010000}"/>
    <cellStyle name="Normal 3 2 3 7 2" xfId="433" xr:uid="{00000000-0005-0000-0000-0000C5010000}"/>
    <cellStyle name="Normal 3 2 3 7 3" xfId="653" xr:uid="{00000000-0005-0000-0000-0000C6010000}"/>
    <cellStyle name="Normal 3 2 3 8" xfId="165" xr:uid="{00000000-0005-0000-0000-0000C7010000}"/>
    <cellStyle name="Normal 3 2 3 9" xfId="182" xr:uid="{00000000-0005-0000-0000-0000C8010000}"/>
    <cellStyle name="Normal 3 2 4" xfId="32" xr:uid="{00000000-0005-0000-0000-0000C9010000}"/>
    <cellStyle name="Normal 3 2 4 2" xfId="56" xr:uid="{00000000-0005-0000-0000-0000CA010000}"/>
    <cellStyle name="Normal 3 2 4 2 2" xfId="305" xr:uid="{00000000-0005-0000-0000-0000CB010000}"/>
    <cellStyle name="Normal 3 2 4 2 2 2" xfId="571" xr:uid="{00000000-0005-0000-0000-0000CC010000}"/>
    <cellStyle name="Normal 3 2 4 2 3" xfId="214" xr:uid="{00000000-0005-0000-0000-0000CD010000}"/>
    <cellStyle name="Normal 3 2 4 2 4" xfId="488" xr:uid="{00000000-0005-0000-0000-0000CE010000}"/>
    <cellStyle name="Normal 3 2 4 3" xfId="87" xr:uid="{00000000-0005-0000-0000-0000CF010000}"/>
    <cellStyle name="Normal 3 2 4 3 2" xfId="334" xr:uid="{00000000-0005-0000-0000-0000D0010000}"/>
    <cellStyle name="Normal 3 2 4 3 2 2" xfId="600" xr:uid="{00000000-0005-0000-0000-0000D1010000}"/>
    <cellStyle name="Normal 3 2 4 3 3" xfId="243" xr:uid="{00000000-0005-0000-0000-0000D2010000}"/>
    <cellStyle name="Normal 3 2 4 3 4" xfId="517" xr:uid="{00000000-0005-0000-0000-0000D3010000}"/>
    <cellStyle name="Normal 3 2 4 4" xfId="108" xr:uid="{00000000-0005-0000-0000-0000D4010000}"/>
    <cellStyle name="Normal 3 2 4 4 2" xfId="280" xr:uid="{00000000-0005-0000-0000-0000D5010000}"/>
    <cellStyle name="Normal 3 2 4 4 3" xfId="546" xr:uid="{00000000-0005-0000-0000-0000D6010000}"/>
    <cellStyle name="Normal 3 2 4 5" xfId="136" xr:uid="{00000000-0005-0000-0000-0000D7010000}"/>
    <cellStyle name="Normal 3 2 4 5 2" xfId="411" xr:uid="{00000000-0005-0000-0000-0000D8010000}"/>
    <cellStyle name="Normal 3 2 4 5 3" xfId="631" xr:uid="{00000000-0005-0000-0000-0000D9010000}"/>
    <cellStyle name="Normal 3 2 4 6" xfId="155" xr:uid="{00000000-0005-0000-0000-0000DA010000}"/>
    <cellStyle name="Normal 3 2 4 6 2" xfId="439" xr:uid="{00000000-0005-0000-0000-0000DB010000}"/>
    <cellStyle name="Normal 3 2 4 6 3" xfId="659" xr:uid="{00000000-0005-0000-0000-0000DC010000}"/>
    <cellStyle name="Normal 3 2 4 7" xfId="172" xr:uid="{00000000-0005-0000-0000-0000DD010000}"/>
    <cellStyle name="Normal 3 2 4 8" xfId="188" xr:uid="{00000000-0005-0000-0000-0000DE010000}"/>
    <cellStyle name="Normal 3 2 4 9" xfId="463" xr:uid="{00000000-0005-0000-0000-0000DF010000}"/>
    <cellStyle name="Normal 3 2 5" xfId="44" xr:uid="{00000000-0005-0000-0000-0000E0010000}"/>
    <cellStyle name="Normal 3 2 5 2" xfId="247" xr:uid="{00000000-0005-0000-0000-0000E1010000}"/>
    <cellStyle name="Normal 3 2 5 2 2" xfId="338" xr:uid="{00000000-0005-0000-0000-0000E2010000}"/>
    <cellStyle name="Normal 3 2 5 2 2 2" xfId="604" xr:uid="{00000000-0005-0000-0000-0000E3010000}"/>
    <cellStyle name="Normal 3 2 5 2 3" xfId="521" xr:uid="{00000000-0005-0000-0000-0000E4010000}"/>
    <cellStyle name="Normal 3 2 5 3" xfId="309" xr:uid="{00000000-0005-0000-0000-0000E5010000}"/>
    <cellStyle name="Normal 3 2 5 3 2" xfId="575" xr:uid="{00000000-0005-0000-0000-0000E6010000}"/>
    <cellStyle name="Normal 3 2 5 4" xfId="415" xr:uid="{00000000-0005-0000-0000-0000E7010000}"/>
    <cellStyle name="Normal 3 2 5 4 2" xfId="635" xr:uid="{00000000-0005-0000-0000-0000E8010000}"/>
    <cellStyle name="Normal 3 2 5 5" xfId="218" xr:uid="{00000000-0005-0000-0000-0000E9010000}"/>
    <cellStyle name="Normal 3 2 5 6" xfId="492" xr:uid="{00000000-0005-0000-0000-0000EA010000}"/>
    <cellStyle name="Normal 3 2 6" xfId="70" xr:uid="{00000000-0005-0000-0000-0000EB010000}"/>
    <cellStyle name="Normal 3 2 6 2" xfId="292" xr:uid="{00000000-0005-0000-0000-0000EC010000}"/>
    <cellStyle name="Normal 3 2 6 2 2" xfId="558" xr:uid="{00000000-0005-0000-0000-0000ED010000}"/>
    <cellStyle name="Normal 3 2 6 3" xfId="200" xr:uid="{00000000-0005-0000-0000-0000EE010000}"/>
    <cellStyle name="Normal 3 2 6 4" xfId="475" xr:uid="{00000000-0005-0000-0000-0000EF010000}"/>
    <cellStyle name="Normal 3 2 7" xfId="96" xr:uid="{00000000-0005-0000-0000-0000F0010000}"/>
    <cellStyle name="Normal 3 2 7 2" xfId="321" xr:uid="{00000000-0005-0000-0000-0000F1010000}"/>
    <cellStyle name="Normal 3 2 7 2 2" xfId="587" xr:uid="{00000000-0005-0000-0000-0000F2010000}"/>
    <cellStyle name="Normal 3 2 7 3" xfId="230" xr:uid="{00000000-0005-0000-0000-0000F3010000}"/>
    <cellStyle name="Normal 3 2 7 4" xfId="504" xr:uid="{00000000-0005-0000-0000-0000F4010000}"/>
    <cellStyle name="Normal 3 2 8" xfId="123" xr:uid="{00000000-0005-0000-0000-0000F5010000}"/>
    <cellStyle name="Normal 3 2 8 2" xfId="267" xr:uid="{00000000-0005-0000-0000-0000F6010000}"/>
    <cellStyle name="Normal 3 2 8 3" xfId="534" xr:uid="{00000000-0005-0000-0000-0000F7010000}"/>
    <cellStyle name="Normal 3 2 9" xfId="142" xr:uid="{00000000-0005-0000-0000-0000F8010000}"/>
    <cellStyle name="Normal 3 2 9 2" xfId="398" xr:uid="{00000000-0005-0000-0000-0000F9010000}"/>
    <cellStyle name="Normal 3 2 9 3" xfId="618" xr:uid="{00000000-0005-0000-0000-0000FA010000}"/>
    <cellStyle name="Normal 3 3" xfId="26" xr:uid="{00000000-0005-0000-0000-0000FB010000}"/>
    <cellStyle name="Normal 3 3 10" xfId="458" xr:uid="{00000000-0005-0000-0000-0000FC010000}"/>
    <cellStyle name="Normal 3 3 2" xfId="34" xr:uid="{00000000-0005-0000-0000-0000FD010000}"/>
    <cellStyle name="Normal 3 3 2 2" xfId="58" xr:uid="{00000000-0005-0000-0000-0000FE010000}"/>
    <cellStyle name="Normal 3 3 2 2 2" xfId="316" xr:uid="{00000000-0005-0000-0000-0000FF010000}"/>
    <cellStyle name="Normal 3 3 2 2 2 2" xfId="582" xr:uid="{00000000-0005-0000-0000-000000020000}"/>
    <cellStyle name="Normal 3 3 2 2 3" xfId="225" xr:uid="{00000000-0005-0000-0000-000001020000}"/>
    <cellStyle name="Normal 3 3 2 2 4" xfId="499" xr:uid="{00000000-0005-0000-0000-000002020000}"/>
    <cellStyle name="Normal 3 3 2 3" xfId="75" xr:uid="{00000000-0005-0000-0000-000003020000}"/>
    <cellStyle name="Normal 3 3 2 3 2" xfId="345" xr:uid="{00000000-0005-0000-0000-000004020000}"/>
    <cellStyle name="Normal 3 3 2 3 2 2" xfId="611" xr:uid="{00000000-0005-0000-0000-000005020000}"/>
    <cellStyle name="Normal 3 3 2 3 3" xfId="254" xr:uid="{00000000-0005-0000-0000-000006020000}"/>
    <cellStyle name="Normal 3 3 2 3 4" xfId="528" xr:uid="{00000000-0005-0000-0000-000007020000}"/>
    <cellStyle name="Normal 3 3 2 4" xfId="110" xr:uid="{00000000-0005-0000-0000-000008020000}"/>
    <cellStyle name="Normal 3 3 2 4 2" xfId="282" xr:uid="{00000000-0005-0000-0000-000009020000}"/>
    <cellStyle name="Normal 3 3 2 4 3" xfId="548" xr:uid="{00000000-0005-0000-0000-00000A020000}"/>
    <cellStyle name="Normal 3 3 2 5" xfId="422" xr:uid="{00000000-0005-0000-0000-00000B020000}"/>
    <cellStyle name="Normal 3 3 2 5 2" xfId="642" xr:uid="{00000000-0005-0000-0000-00000C020000}"/>
    <cellStyle name="Normal 3 3 2 6" xfId="441" xr:uid="{00000000-0005-0000-0000-00000D020000}"/>
    <cellStyle name="Normal 3 3 2 6 2" xfId="661" xr:uid="{00000000-0005-0000-0000-00000E020000}"/>
    <cellStyle name="Normal 3 3 2 7" xfId="190" xr:uid="{00000000-0005-0000-0000-00000F020000}"/>
    <cellStyle name="Normal 3 3 2 8" xfId="465" xr:uid="{00000000-0005-0000-0000-000010020000}"/>
    <cellStyle name="Normal 3 3 3" xfId="51" xr:uid="{00000000-0005-0000-0000-000011020000}"/>
    <cellStyle name="Normal 3 3 3 2" xfId="299" xr:uid="{00000000-0005-0000-0000-000012020000}"/>
    <cellStyle name="Normal 3 3 3 2 2" xfId="565" xr:uid="{00000000-0005-0000-0000-000013020000}"/>
    <cellStyle name="Normal 3 3 3 3" xfId="207" xr:uid="{00000000-0005-0000-0000-000014020000}"/>
    <cellStyle name="Normal 3 3 3 4" xfId="482" xr:uid="{00000000-0005-0000-0000-000015020000}"/>
    <cellStyle name="Normal 3 3 4" xfId="78" xr:uid="{00000000-0005-0000-0000-000016020000}"/>
    <cellStyle name="Normal 3 3 4 2" xfId="328" xr:uid="{00000000-0005-0000-0000-000017020000}"/>
    <cellStyle name="Normal 3 3 4 2 2" xfId="594" xr:uid="{00000000-0005-0000-0000-000018020000}"/>
    <cellStyle name="Normal 3 3 4 3" xfId="237" xr:uid="{00000000-0005-0000-0000-000019020000}"/>
    <cellStyle name="Normal 3 3 4 4" xfId="511" xr:uid="{00000000-0005-0000-0000-00001A020000}"/>
    <cellStyle name="Normal 3 3 5" xfId="103" xr:uid="{00000000-0005-0000-0000-00001B020000}"/>
    <cellStyle name="Normal 3 3 5 2" xfId="275" xr:uid="{00000000-0005-0000-0000-00001C020000}"/>
    <cellStyle name="Normal 3 3 5 3" xfId="541" xr:uid="{00000000-0005-0000-0000-00001D020000}"/>
    <cellStyle name="Normal 3 3 6" xfId="130" xr:uid="{00000000-0005-0000-0000-00001E020000}"/>
    <cellStyle name="Normal 3 3 6 2" xfId="405" xr:uid="{00000000-0005-0000-0000-00001F020000}"/>
    <cellStyle name="Normal 3 3 6 3" xfId="625" xr:uid="{00000000-0005-0000-0000-000020020000}"/>
    <cellStyle name="Normal 3 3 7" xfId="149" xr:uid="{00000000-0005-0000-0000-000021020000}"/>
    <cellStyle name="Normal 3 3 7 2" xfId="434" xr:uid="{00000000-0005-0000-0000-000022020000}"/>
    <cellStyle name="Normal 3 3 7 3" xfId="654" xr:uid="{00000000-0005-0000-0000-000023020000}"/>
    <cellStyle name="Normal 3 3 8" xfId="166" xr:uid="{00000000-0005-0000-0000-000024020000}"/>
    <cellStyle name="Normal 3 3 9" xfId="183" xr:uid="{00000000-0005-0000-0000-000025020000}"/>
    <cellStyle name="Normal 3 4" xfId="27" xr:uid="{00000000-0005-0000-0000-000026020000}"/>
    <cellStyle name="Normal 3 4 10" xfId="459" xr:uid="{00000000-0005-0000-0000-000027020000}"/>
    <cellStyle name="Normal 3 4 2" xfId="38" xr:uid="{00000000-0005-0000-0000-000028020000}"/>
    <cellStyle name="Normal 3 4 2 2" xfId="62" xr:uid="{00000000-0005-0000-0000-000029020000}"/>
    <cellStyle name="Normal 3 4 2 2 2" xfId="317" xr:uid="{00000000-0005-0000-0000-00002A020000}"/>
    <cellStyle name="Normal 3 4 2 2 2 2" xfId="583" xr:uid="{00000000-0005-0000-0000-00002B020000}"/>
    <cellStyle name="Normal 3 4 2 2 3" xfId="226" xr:uid="{00000000-0005-0000-0000-00002C020000}"/>
    <cellStyle name="Normal 3 4 2 2 4" xfId="500" xr:uid="{00000000-0005-0000-0000-00002D020000}"/>
    <cellStyle name="Normal 3 4 2 3" xfId="90" xr:uid="{00000000-0005-0000-0000-00002E020000}"/>
    <cellStyle name="Normal 3 4 2 3 2" xfId="346" xr:uid="{00000000-0005-0000-0000-00002F020000}"/>
    <cellStyle name="Normal 3 4 2 3 2 2" xfId="612" xr:uid="{00000000-0005-0000-0000-000030020000}"/>
    <cellStyle name="Normal 3 4 2 3 3" xfId="255" xr:uid="{00000000-0005-0000-0000-000031020000}"/>
    <cellStyle name="Normal 3 4 2 3 4" xfId="529" xr:uid="{00000000-0005-0000-0000-000032020000}"/>
    <cellStyle name="Normal 3 4 2 4" xfId="114" xr:uid="{00000000-0005-0000-0000-000033020000}"/>
    <cellStyle name="Normal 3 4 2 4 2" xfId="286" xr:uid="{00000000-0005-0000-0000-000034020000}"/>
    <cellStyle name="Normal 3 4 2 4 3" xfId="552" xr:uid="{00000000-0005-0000-0000-000035020000}"/>
    <cellStyle name="Normal 3 4 2 5" xfId="423" xr:uid="{00000000-0005-0000-0000-000036020000}"/>
    <cellStyle name="Normal 3 4 2 5 2" xfId="643" xr:uid="{00000000-0005-0000-0000-000037020000}"/>
    <cellStyle name="Normal 3 4 2 6" xfId="445" xr:uid="{00000000-0005-0000-0000-000038020000}"/>
    <cellStyle name="Normal 3 4 2 6 2" xfId="665" xr:uid="{00000000-0005-0000-0000-000039020000}"/>
    <cellStyle name="Normal 3 4 2 7" xfId="194" xr:uid="{00000000-0005-0000-0000-00003A020000}"/>
    <cellStyle name="Normal 3 4 2 8" xfId="469" xr:uid="{00000000-0005-0000-0000-00003B020000}"/>
    <cellStyle name="Normal 3 4 3" xfId="52" xr:uid="{00000000-0005-0000-0000-00003C020000}"/>
    <cellStyle name="Normal 3 4 3 2" xfId="300" xr:uid="{00000000-0005-0000-0000-00003D020000}"/>
    <cellStyle name="Normal 3 4 3 2 2" xfId="566" xr:uid="{00000000-0005-0000-0000-00003E020000}"/>
    <cellStyle name="Normal 3 4 3 3" xfId="208" xr:uid="{00000000-0005-0000-0000-00003F020000}"/>
    <cellStyle name="Normal 3 4 3 4" xfId="483" xr:uid="{00000000-0005-0000-0000-000040020000}"/>
    <cellStyle name="Normal 3 4 4" xfId="79" xr:uid="{00000000-0005-0000-0000-000041020000}"/>
    <cellStyle name="Normal 3 4 4 2" xfId="329" xr:uid="{00000000-0005-0000-0000-000042020000}"/>
    <cellStyle name="Normal 3 4 4 2 2" xfId="595" xr:uid="{00000000-0005-0000-0000-000043020000}"/>
    <cellStyle name="Normal 3 4 4 3" xfId="238" xr:uid="{00000000-0005-0000-0000-000044020000}"/>
    <cellStyle name="Normal 3 4 4 4" xfId="512" xr:uid="{00000000-0005-0000-0000-000045020000}"/>
    <cellStyle name="Normal 3 4 5" xfId="104" xr:uid="{00000000-0005-0000-0000-000046020000}"/>
    <cellStyle name="Normal 3 4 5 2" xfId="276" xr:uid="{00000000-0005-0000-0000-000047020000}"/>
    <cellStyle name="Normal 3 4 5 3" xfId="542" xr:uid="{00000000-0005-0000-0000-000048020000}"/>
    <cellStyle name="Normal 3 4 6" xfId="131" xr:uid="{00000000-0005-0000-0000-000049020000}"/>
    <cellStyle name="Normal 3 4 6 2" xfId="406" xr:uid="{00000000-0005-0000-0000-00004A020000}"/>
    <cellStyle name="Normal 3 4 6 3" xfId="626" xr:uid="{00000000-0005-0000-0000-00004B020000}"/>
    <cellStyle name="Normal 3 4 7" xfId="150" xr:uid="{00000000-0005-0000-0000-00004C020000}"/>
    <cellStyle name="Normal 3 4 7 2" xfId="435" xr:uid="{00000000-0005-0000-0000-00004D020000}"/>
    <cellStyle name="Normal 3 4 7 3" xfId="655" xr:uid="{00000000-0005-0000-0000-00004E020000}"/>
    <cellStyle name="Normal 3 4 8" xfId="167" xr:uid="{00000000-0005-0000-0000-00004F020000}"/>
    <cellStyle name="Normal 3 4 9" xfId="184" xr:uid="{00000000-0005-0000-0000-000050020000}"/>
    <cellStyle name="Normal 3 5" xfId="30" xr:uid="{00000000-0005-0000-0000-000051020000}"/>
    <cellStyle name="Normal 3 5 2" xfId="54" xr:uid="{00000000-0005-0000-0000-000052020000}"/>
    <cellStyle name="Normal 3 5 2 2" xfId="210" xr:uid="{00000000-0005-0000-0000-000053020000}"/>
    <cellStyle name="Normal 3 5 3" xfId="82" xr:uid="{00000000-0005-0000-0000-000054020000}"/>
    <cellStyle name="Normal 3 5 3 2" xfId="278" xr:uid="{00000000-0005-0000-0000-000055020000}"/>
    <cellStyle name="Normal 3 5 3 3" xfId="544" xr:uid="{00000000-0005-0000-0000-000056020000}"/>
    <cellStyle name="Normal 3 5 4" xfId="65" xr:uid="{00000000-0005-0000-0000-000057020000}"/>
    <cellStyle name="Normal 3 5 4 2" xfId="437" xr:uid="{00000000-0005-0000-0000-000058020000}"/>
    <cellStyle name="Normal 3 5 4 3" xfId="657" xr:uid="{00000000-0005-0000-0000-000059020000}"/>
    <cellStyle name="Normal 3 5 5" xfId="106" xr:uid="{00000000-0005-0000-0000-00005A020000}"/>
    <cellStyle name="Normal 3 5 6" xfId="186" xr:uid="{00000000-0005-0000-0000-00005B020000}"/>
    <cellStyle name="Normal 3 5 7" xfId="461" xr:uid="{00000000-0005-0000-0000-00005C020000}"/>
    <cellStyle name="Normal 3 6" xfId="42" xr:uid="{00000000-0005-0000-0000-00005D020000}"/>
    <cellStyle name="Normal 3 6 2" xfId="85" xr:uid="{00000000-0005-0000-0000-00005E020000}"/>
    <cellStyle name="Normal 3 6 2 2" xfId="332" xr:uid="{00000000-0005-0000-0000-00005F020000}"/>
    <cellStyle name="Normal 3 6 2 2 2" xfId="598" xr:uid="{00000000-0005-0000-0000-000060020000}"/>
    <cellStyle name="Normal 3 6 2 3" xfId="241" xr:uid="{00000000-0005-0000-0000-000061020000}"/>
    <cellStyle name="Normal 3 6 2 4" xfId="515" xr:uid="{00000000-0005-0000-0000-000062020000}"/>
    <cellStyle name="Normal 3 6 3" xfId="134" xr:uid="{00000000-0005-0000-0000-000063020000}"/>
    <cellStyle name="Normal 3 6 3 2" xfId="303" xr:uid="{00000000-0005-0000-0000-000064020000}"/>
    <cellStyle name="Normal 3 6 3 3" xfId="569" xr:uid="{00000000-0005-0000-0000-000065020000}"/>
    <cellStyle name="Normal 3 6 4" xfId="153" xr:uid="{00000000-0005-0000-0000-000066020000}"/>
    <cellStyle name="Normal 3 6 4 2" xfId="409" xr:uid="{00000000-0005-0000-0000-000067020000}"/>
    <cellStyle name="Normal 3 6 4 3" xfId="629" xr:uid="{00000000-0005-0000-0000-000068020000}"/>
    <cellStyle name="Normal 3 6 5" xfId="170" xr:uid="{00000000-0005-0000-0000-000069020000}"/>
    <cellStyle name="Normal 3 6 6" xfId="212" xr:uid="{00000000-0005-0000-0000-00006A020000}"/>
    <cellStyle name="Normal 3 6 7" xfId="486" xr:uid="{00000000-0005-0000-0000-00006B020000}"/>
    <cellStyle name="Normal 3 7" xfId="68" xr:uid="{00000000-0005-0000-0000-00006C020000}"/>
    <cellStyle name="Normal 3 7 2" xfId="245" xr:uid="{00000000-0005-0000-0000-00006D020000}"/>
    <cellStyle name="Normal 3 7 2 2" xfId="336" xr:uid="{00000000-0005-0000-0000-00006E020000}"/>
    <cellStyle name="Normal 3 7 2 2 2" xfId="602" xr:uid="{00000000-0005-0000-0000-00006F020000}"/>
    <cellStyle name="Normal 3 7 2 3" xfId="519" xr:uid="{00000000-0005-0000-0000-000070020000}"/>
    <cellStyle name="Normal 3 7 3" xfId="307" xr:uid="{00000000-0005-0000-0000-000071020000}"/>
    <cellStyle name="Normal 3 7 3 2" xfId="573" xr:uid="{00000000-0005-0000-0000-000072020000}"/>
    <cellStyle name="Normal 3 7 4" xfId="413" xr:uid="{00000000-0005-0000-0000-000073020000}"/>
    <cellStyle name="Normal 3 7 4 2" xfId="633" xr:uid="{00000000-0005-0000-0000-000074020000}"/>
    <cellStyle name="Normal 3 7 5" xfId="216" xr:uid="{00000000-0005-0000-0000-000075020000}"/>
    <cellStyle name="Normal 3 7 6" xfId="490" xr:uid="{00000000-0005-0000-0000-000076020000}"/>
    <cellStyle name="Normal 3 8" xfId="94" xr:uid="{00000000-0005-0000-0000-000077020000}"/>
    <cellStyle name="Normal 3 8 2" xfId="290" xr:uid="{00000000-0005-0000-0000-000078020000}"/>
    <cellStyle name="Normal 3 8 2 2" xfId="556" xr:uid="{00000000-0005-0000-0000-000079020000}"/>
    <cellStyle name="Normal 3 8 3" xfId="198" xr:uid="{00000000-0005-0000-0000-00007A020000}"/>
    <cellStyle name="Normal 3 8 4" xfId="473" xr:uid="{00000000-0005-0000-0000-00007B020000}"/>
    <cellStyle name="Normal 3 9" xfId="121" xr:uid="{00000000-0005-0000-0000-00007C020000}"/>
    <cellStyle name="Normal 3 9 2" xfId="319" xr:uid="{00000000-0005-0000-0000-00007D020000}"/>
    <cellStyle name="Normal 3 9 2 2" xfId="585" xr:uid="{00000000-0005-0000-0000-00007E020000}"/>
    <cellStyle name="Normal 3 9 3" xfId="228" xr:uid="{00000000-0005-0000-0000-00007F020000}"/>
    <cellStyle name="Normal 3 9 4" xfId="502" xr:uid="{00000000-0005-0000-0000-000080020000}"/>
    <cellStyle name="Normal 4" xfId="15" xr:uid="{00000000-0005-0000-0000-000081020000}"/>
    <cellStyle name="Normal 4 2" xfId="28" xr:uid="{00000000-0005-0000-0000-000082020000}"/>
    <cellStyle name="Normal 5" xfId="18" xr:uid="{00000000-0005-0000-0000-000083020000}"/>
    <cellStyle name="Normal 6" xfId="83" xr:uid="{00000000-0005-0000-0000-000084020000}"/>
    <cellStyle name="Normal 7" xfId="117" xr:uid="{00000000-0005-0000-0000-000085020000}"/>
    <cellStyle name="Normal 7 2" xfId="256" xr:uid="{00000000-0005-0000-0000-000086020000}"/>
    <cellStyle name="Normal 8" xfId="119" xr:uid="{00000000-0005-0000-0000-000087020000}"/>
    <cellStyle name="Normal 8 2" xfId="347" xr:uid="{00000000-0005-0000-0000-000088020000}"/>
    <cellStyle name="Normal 8 3" xfId="257" xr:uid="{00000000-0005-0000-0000-000089020000}"/>
    <cellStyle name="Normal 9" xfId="137" xr:uid="{00000000-0005-0000-0000-00008A020000}"/>
    <cellStyle name="Normal 9 2" xfId="261" xr:uid="{00000000-0005-0000-0000-00008B020000}"/>
    <cellStyle name="Normal_3crit_2002-03.xls" xfId="11" xr:uid="{00000000-0005-0000-0000-00008C020000}"/>
    <cellStyle name="Normal_Rendement impôts-2004-SJIC" xfId="669" xr:uid="{E7653E35-5812-41FE-8438-2DBF3D62AFB1}"/>
    <cellStyle name="Pourcentage" xfId="12" builtinId="5"/>
    <cellStyle name="Pourcentage 2" xfId="13" xr:uid="{00000000-0005-0000-0000-000091020000}"/>
    <cellStyle name="Pourcentage 3" xfId="138" xr:uid="{00000000-0005-0000-0000-000092020000}"/>
    <cellStyle name="Pourcentage 3 2" xfId="265" xr:uid="{00000000-0005-0000-0000-000093020000}"/>
    <cellStyle name="Pourcentage 4" xfId="259" xr:uid="{00000000-0005-0000-0000-000094020000}"/>
    <cellStyle name="Satisfaisant 2" xfId="381" xr:uid="{00000000-0005-0000-0000-000095020000}"/>
    <cellStyle name="Sortie 2" xfId="382" xr:uid="{00000000-0005-0000-0000-000096020000}"/>
    <cellStyle name="Texte explicatif 2" xfId="383" xr:uid="{00000000-0005-0000-0000-000097020000}"/>
    <cellStyle name="Titre 2" xfId="384" xr:uid="{00000000-0005-0000-0000-000098020000}"/>
    <cellStyle name="Titre 1 2" xfId="385" xr:uid="{00000000-0005-0000-0000-000099020000}"/>
    <cellStyle name="Titre 2 2" xfId="386" xr:uid="{00000000-0005-0000-0000-00009A020000}"/>
    <cellStyle name="Titre 3 2" xfId="387" xr:uid="{00000000-0005-0000-0000-00009B020000}"/>
    <cellStyle name="Titre 4 2" xfId="388" xr:uid="{00000000-0005-0000-0000-00009C020000}"/>
    <cellStyle name="Total 2" xfId="389" xr:uid="{00000000-0005-0000-0000-00009D020000}"/>
    <cellStyle name="Vérification 2" xfId="390" xr:uid="{00000000-0005-0000-0000-00009E020000}"/>
  </cellStyles>
  <dxfs count="15">
    <dxf>
      <fill>
        <patternFill>
          <bgColor rgb="FF00B050"/>
        </patternFill>
      </fill>
    </dxf>
    <dxf>
      <fill>
        <patternFill>
          <bgColor rgb="FF00B050"/>
        </patternFill>
      </fill>
    </dxf>
    <dxf>
      <fill>
        <patternFill>
          <bgColor rgb="FF00B050"/>
        </patternFill>
      </fill>
    </dxf>
    <dxf>
      <font>
        <color auto="1"/>
      </font>
      <fill>
        <patternFill>
          <bgColor rgb="FFFFFF00"/>
        </patternFill>
      </fill>
    </dxf>
    <dxf>
      <fill>
        <patternFill>
          <bgColor rgb="FFFFFF00"/>
        </patternFill>
      </fill>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ill>
        <patternFill>
          <bgColor rgb="FF00B050"/>
        </patternFill>
      </fill>
    </dxf>
    <dxf>
      <fill>
        <patternFill>
          <bgColor rgb="FF00B050"/>
        </patternFill>
      </fill>
    </dxf>
  </dxfs>
  <tableStyles count="0" defaultTableStyle="TableStyleMedium9" defaultPivotStyle="PivotStyleLight16"/>
  <colors>
    <mruColors>
      <color rgb="FF23CF33"/>
      <color rgb="FF00DE64"/>
      <color rgb="FFBF5201"/>
      <color rgb="FF05FF76"/>
      <color rgb="FFD973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85725</xdr:colOff>
      <xdr:row>2</xdr:row>
      <xdr:rowOff>0</xdr:rowOff>
    </xdr:from>
    <xdr:to>
      <xdr:col>6</xdr:col>
      <xdr:colOff>571501</xdr:colOff>
      <xdr:row>5</xdr:row>
      <xdr:rowOff>28575</xdr:rowOff>
    </xdr:to>
    <xdr:sp macro="" textlink="">
      <xdr:nvSpPr>
        <xdr:cNvPr id="2" name="Rectangle 1">
          <a:extLst>
            <a:ext uri="{FF2B5EF4-FFF2-40B4-BE49-F238E27FC236}">
              <a16:creationId xmlns:a16="http://schemas.microsoft.com/office/drawing/2014/main" id="{3136BAEF-23C5-41D5-A37D-92BCB60E6C9C}"/>
            </a:ext>
          </a:extLst>
        </xdr:cNvPr>
        <xdr:cNvSpPr/>
      </xdr:nvSpPr>
      <xdr:spPr bwMode="auto">
        <a:xfrm>
          <a:off x="4610100" y="581025"/>
          <a:ext cx="2143126" cy="742950"/>
        </a:xfrm>
        <a:prstGeom prst="rect">
          <a:avLst/>
        </a:prstGeom>
        <a:solidFill>
          <a:schemeClr val="accent3">
            <a:lumMod val="60000"/>
            <a:lumOff val="4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lang="fr-CH" sz="1100" b="1"/>
            <a:t>Veuillez</a:t>
          </a:r>
          <a:r>
            <a:rPr lang="fr-CH" sz="1100" b="1" baseline="0"/>
            <a:t> cliquer sur la cellule C3 pour saisir le nom de votre commune ou la selectionner au moyen de la flèche en bas à droite de la cellule</a:t>
          </a:r>
          <a:endParaRPr lang="fr-CH" sz="1100" b="1"/>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17AA1-60A5-488A-A872-466268BDE675}">
  <dimension ref="A1:C20"/>
  <sheetViews>
    <sheetView tabSelected="1" zoomScaleNormal="100" workbookViewId="0"/>
  </sheetViews>
  <sheetFormatPr baseColWidth="10" defaultColWidth="11" defaultRowHeight="12.75" x14ac:dyDescent="0.2"/>
  <cols>
    <col min="1" max="1" width="38" style="299" customWidth="1"/>
    <col min="2" max="2" width="43.625" style="183" customWidth="1"/>
    <col min="3" max="3" width="43.625" style="182" customWidth="1"/>
    <col min="4" max="16384" width="11" style="182"/>
  </cols>
  <sheetData>
    <row r="1" spans="1:3" ht="26.45" customHeight="1" x14ac:dyDescent="0.2">
      <c r="A1" s="322" t="s">
        <v>394</v>
      </c>
    </row>
    <row r="2" spans="1:3" ht="24" customHeight="1" x14ac:dyDescent="0.2">
      <c r="A2" s="300" t="s">
        <v>542</v>
      </c>
      <c r="B2" s="677" t="s">
        <v>408</v>
      </c>
      <c r="C2" s="678"/>
    </row>
    <row r="3" spans="1:3" ht="24" customHeight="1" x14ac:dyDescent="0.2">
      <c r="A3" s="301" t="s">
        <v>517</v>
      </c>
      <c r="B3" s="679" t="s">
        <v>438</v>
      </c>
      <c r="C3" s="679"/>
    </row>
    <row r="4" spans="1:3" ht="24" customHeight="1" x14ac:dyDescent="0.2">
      <c r="A4" s="301" t="s">
        <v>397</v>
      </c>
      <c r="B4" s="679" t="s">
        <v>483</v>
      </c>
      <c r="C4" s="679"/>
    </row>
    <row r="5" spans="1:3" ht="24" customHeight="1" x14ac:dyDescent="0.2">
      <c r="A5" s="301" t="s">
        <v>596</v>
      </c>
      <c r="B5" s="679" t="s">
        <v>595</v>
      </c>
      <c r="C5" s="679"/>
    </row>
    <row r="6" spans="1:3" ht="24" customHeight="1" x14ac:dyDescent="0.2">
      <c r="A6" s="302" t="s">
        <v>407</v>
      </c>
      <c r="B6" s="680" t="s">
        <v>439</v>
      </c>
      <c r="C6" s="681"/>
    </row>
    <row r="7" spans="1:3" ht="7.5" customHeight="1" x14ac:dyDescent="0.2"/>
    <row r="8" spans="1:3" ht="45" customHeight="1" x14ac:dyDescent="0.2">
      <c r="A8" s="351" t="s">
        <v>422</v>
      </c>
      <c r="B8" s="682" t="s">
        <v>533</v>
      </c>
      <c r="C8" s="683"/>
    </row>
    <row r="9" spans="1:3" ht="24" customHeight="1" x14ac:dyDescent="0.2">
      <c r="A9" s="303" t="s">
        <v>532</v>
      </c>
      <c r="B9" s="675" t="s">
        <v>534</v>
      </c>
      <c r="C9" s="676"/>
    </row>
    <row r="10" spans="1:3" ht="7.5" customHeight="1" x14ac:dyDescent="0.2"/>
    <row r="11" spans="1:3" ht="45" customHeight="1" x14ac:dyDescent="0.2">
      <c r="A11" s="359" t="s">
        <v>541</v>
      </c>
      <c r="B11" s="665" t="s">
        <v>535</v>
      </c>
      <c r="C11" s="666"/>
    </row>
    <row r="12" spans="1:3" ht="30" customHeight="1" x14ac:dyDescent="0.2">
      <c r="A12" s="342" t="s">
        <v>257</v>
      </c>
      <c r="B12" s="667" t="s">
        <v>395</v>
      </c>
      <c r="C12" s="668"/>
    </row>
    <row r="13" spans="1:3" ht="30" customHeight="1" x14ac:dyDescent="0.2">
      <c r="A13" s="343" t="s">
        <v>537</v>
      </c>
      <c r="B13" s="669" t="s">
        <v>437</v>
      </c>
      <c r="C13" s="669"/>
    </row>
    <row r="14" spans="1:3" ht="30" customHeight="1" x14ac:dyDescent="0.2">
      <c r="A14" s="343" t="s">
        <v>536</v>
      </c>
      <c r="B14" s="670" t="s">
        <v>396</v>
      </c>
      <c r="C14" s="669"/>
    </row>
    <row r="15" spans="1:3" ht="24" customHeight="1" x14ac:dyDescent="0.2">
      <c r="A15" s="363" t="s">
        <v>398</v>
      </c>
      <c r="B15" s="364" t="s">
        <v>399</v>
      </c>
      <c r="C15" s="365" t="s">
        <v>400</v>
      </c>
    </row>
    <row r="16" spans="1:3" ht="7.5" customHeight="1" x14ac:dyDescent="0.2"/>
    <row r="17" spans="1:3" ht="24" customHeight="1" x14ac:dyDescent="0.2">
      <c r="A17" s="304" t="s">
        <v>406</v>
      </c>
      <c r="B17" s="671" t="s">
        <v>538</v>
      </c>
      <c r="C17" s="672"/>
    </row>
    <row r="18" spans="1:3" ht="7.5" customHeight="1" x14ac:dyDescent="0.2">
      <c r="B18" s="184"/>
    </row>
    <row r="19" spans="1:3" ht="24" customHeight="1" x14ac:dyDescent="0.2">
      <c r="A19" s="300" t="s">
        <v>424</v>
      </c>
      <c r="B19" s="673" t="s">
        <v>539</v>
      </c>
      <c r="C19" s="674"/>
    </row>
    <row r="20" spans="1:3" ht="24" customHeight="1" x14ac:dyDescent="0.2">
      <c r="A20" s="302" t="s">
        <v>401</v>
      </c>
      <c r="B20" s="663" t="s">
        <v>543</v>
      </c>
      <c r="C20" s="664"/>
    </row>
  </sheetData>
  <sheetProtection sheet="1" objects="1" scenarios="1"/>
  <mergeCells count="14">
    <mergeCell ref="B9:C9"/>
    <mergeCell ref="B2:C2"/>
    <mergeCell ref="B3:C3"/>
    <mergeCell ref="B4:C4"/>
    <mergeCell ref="B6:C6"/>
    <mergeCell ref="B8:C8"/>
    <mergeCell ref="B5:C5"/>
    <mergeCell ref="B20:C20"/>
    <mergeCell ref="B11:C11"/>
    <mergeCell ref="B12:C12"/>
    <mergeCell ref="B13:C13"/>
    <mergeCell ref="B14:C14"/>
    <mergeCell ref="B17:C17"/>
    <mergeCell ref="B19:C19"/>
  </mergeCells>
  <hyperlinks>
    <hyperlink ref="A2" location="Paramètres!A1" display="Paramétrage du système" xr:uid="{BBC8A613-61B5-4A5C-8539-BACDC2EB90C1}"/>
    <hyperlink ref="A3" location="Recherche!A1" display="Résumé par commune" xr:uid="{914287E3-17F7-433D-B4A0-0185864640C0}"/>
    <hyperlink ref="A4" location="Données!A1" display="Données saisies" xr:uid="{13B56647-1FE3-41F8-B3FD-A2001CD5863F}"/>
    <hyperlink ref="A6" location="VPI!A1" display="Valeur du point d'impôt péréquatif (VPI)" xr:uid="{EF64F556-BDED-4A47-92A9-01649819B5F2}"/>
    <hyperlink ref="A9" location="Ecrêtage!A1" display="Détail écrêtage" xr:uid="{30313161-3EA3-413C-A1FF-1AA5DF37EBA6}"/>
    <hyperlink ref="A12" location="Population!A1" display="Population" xr:uid="{EB7AF72B-EF98-4405-8D9C-5649DEA917C0}"/>
    <hyperlink ref="A13" location="Solidarité!A1" display="Solidarité" xr:uid="{B4DEC7AC-11F5-433C-AAFF-E84C5E8125E3}"/>
    <hyperlink ref="A14" location="DT!A1" display="Dépenses thématiques (DT)" xr:uid="{BC6E28BE-1F7A-44E2-B13B-DF9AFD02365B}"/>
    <hyperlink ref="A15" location="Effort!A1" display="Plafond de l'effort" xr:uid="{E66483E2-EF22-4C79-995E-014AC22AF508}"/>
    <hyperlink ref="B15" location="Aide!A1" display="Plafond de l'aide" xr:uid="{7F6E5FE6-8556-4E3B-AA4A-1A5388348FAA}"/>
    <hyperlink ref="A17" location="Police!A1" display="Facture policière" xr:uid="{27A18F56-0333-42B2-B4AC-6E784EE84614}"/>
    <hyperlink ref="A19" location="Synthèse!A1" display="Synthèse" xr:uid="{7FC7A801-78C4-4FE0-81C4-0E3F6B07D24F}"/>
    <hyperlink ref="A20" location="'Décompte vs acomptes'!A1" display="Acomptes vs Décompte" xr:uid="{FD8DF11C-672C-4310-A721-79361D41A756}"/>
    <hyperlink ref="C15" location="Taux!A1" display="Plafond du taux" xr:uid="{BC18F71E-E60D-4300-B8D3-91E894DB1FEB}"/>
    <hyperlink ref="A8" location="PCS!A1" display="Participation à la cohésion sociale (PCS)" xr:uid="{E3489D3D-B727-448F-9585-ADA813A95D36}"/>
    <hyperlink ref="A11" location="'Péréquation directe'!A1" display="Péréquation directe" xr:uid="{5FA54ED3-C648-4139-9448-FE897237670D}"/>
    <hyperlink ref="A5" location="Rendements!A1" display="Recherche rendements impôts" xr:uid="{C71B8FFD-485D-42F8-9C4C-765A7F8C69F9}"/>
  </hyperlinks>
  <pageMargins left="0.25" right="0.25"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9">
    <tabColor theme="6" tint="0.39997558519241921"/>
  </sheetPr>
  <dimension ref="A1:L320"/>
  <sheetViews>
    <sheetView workbookViewId="0">
      <pane xSplit="2" ySplit="8" topLeftCell="C9" activePane="bottomRight" state="frozen"/>
      <selection pane="topRight" activeCell="C1" sqref="C1"/>
      <selection pane="bottomLeft" activeCell="A9" sqref="A9"/>
      <selection pane="bottomRight"/>
    </sheetView>
  </sheetViews>
  <sheetFormatPr baseColWidth="10" defaultColWidth="11" defaultRowHeight="15" x14ac:dyDescent="0.25"/>
  <cols>
    <col min="1" max="1" width="7.25" style="10" customWidth="1"/>
    <col min="2" max="2" width="20.25" style="10" bestFit="1" customWidth="1"/>
    <col min="3" max="3" width="10.375" style="10" customWidth="1"/>
    <col min="4" max="10" width="10" style="10" customWidth="1"/>
    <col min="11" max="11" width="13" style="10" customWidth="1"/>
    <col min="12" max="12" width="3.625" style="10" customWidth="1"/>
    <col min="13" max="16384" width="11" style="10"/>
  </cols>
  <sheetData>
    <row r="1" spans="1:12" s="189" customFormat="1" ht="26.25" x14ac:dyDescent="0.4">
      <c r="A1" s="187" t="s">
        <v>563</v>
      </c>
      <c r="B1" s="188"/>
      <c r="C1" s="191"/>
      <c r="G1" s="287" t="s">
        <v>402</v>
      </c>
      <c r="H1" s="208" t="s">
        <v>394</v>
      </c>
      <c r="I1" s="348" t="s">
        <v>403</v>
      </c>
    </row>
    <row r="2" spans="1:12" s="146" customFormat="1" ht="15.75" customHeight="1" x14ac:dyDescent="0.25">
      <c r="A2" s="253" t="str">
        <f>Paramètres!B4</f>
        <v>Décompte 2024</v>
      </c>
      <c r="B2" s="31"/>
      <c r="C2" s="148"/>
      <c r="L2" s="272"/>
    </row>
    <row r="3" spans="1:12" x14ac:dyDescent="0.25">
      <c r="A3" s="21"/>
      <c r="B3" s="39"/>
      <c r="L3" s="272"/>
    </row>
    <row r="4" spans="1:12" ht="18.75" customHeight="1" x14ac:dyDescent="0.25">
      <c r="A4" s="21"/>
      <c r="B4" s="39"/>
      <c r="C4" s="766" t="s">
        <v>259</v>
      </c>
      <c r="D4" s="767"/>
      <c r="E4" s="767"/>
      <c r="F4" s="767"/>
      <c r="G4" s="767"/>
      <c r="H4" s="767"/>
      <c r="I4" s="767"/>
      <c r="J4" s="768"/>
      <c r="L4" s="272"/>
    </row>
    <row r="5" spans="1:12" x14ac:dyDescent="0.25">
      <c r="C5" s="75" t="s">
        <v>258</v>
      </c>
      <c r="D5" s="63">
        <f>Paramètres!B28</f>
        <v>0</v>
      </c>
      <c r="E5" s="63">
        <f>Paramètres!C28</f>
        <v>1000</v>
      </c>
      <c r="F5" s="63">
        <f>Paramètres!D28</f>
        <v>3000</v>
      </c>
      <c r="G5" s="63">
        <f>Paramètres!E28</f>
        <v>5000</v>
      </c>
      <c r="H5" s="63">
        <f>Paramètres!F28</f>
        <v>9000</v>
      </c>
      <c r="I5" s="63">
        <f>Paramètres!G28</f>
        <v>12000</v>
      </c>
      <c r="J5" s="63">
        <f>Paramètres!H28</f>
        <v>15000</v>
      </c>
      <c r="L5" s="272"/>
    </row>
    <row r="6" spans="1:12" x14ac:dyDescent="0.25">
      <c r="C6" s="66" t="s">
        <v>260</v>
      </c>
      <c r="D6" s="63">
        <f>Paramètres!B29</f>
        <v>1000</v>
      </c>
      <c r="E6" s="63">
        <f>Paramètres!C29</f>
        <v>3000</v>
      </c>
      <c r="F6" s="63">
        <f>Paramètres!D29</f>
        <v>5000</v>
      </c>
      <c r="G6" s="63">
        <f>Paramètres!E29</f>
        <v>9000</v>
      </c>
      <c r="H6" s="63">
        <f>Paramètres!F29</f>
        <v>12000</v>
      </c>
      <c r="I6" s="63">
        <f>Paramètres!G29</f>
        <v>15000</v>
      </c>
      <c r="J6" s="63"/>
    </row>
    <row r="7" spans="1:12" ht="30" customHeight="1" x14ac:dyDescent="0.25">
      <c r="A7" s="763" t="s">
        <v>44</v>
      </c>
      <c r="B7" s="763" t="s">
        <v>84</v>
      </c>
      <c r="C7" s="763" t="s">
        <v>257</v>
      </c>
      <c r="D7" s="766" t="s">
        <v>261</v>
      </c>
      <c r="E7" s="767"/>
      <c r="F7" s="767"/>
      <c r="G7" s="767"/>
      <c r="H7" s="767"/>
      <c r="I7" s="767"/>
      <c r="J7" s="768"/>
      <c r="K7" s="763" t="s">
        <v>494</v>
      </c>
    </row>
    <row r="8" spans="1:12" x14ac:dyDescent="0.25">
      <c r="A8" s="764"/>
      <c r="B8" s="765"/>
      <c r="C8" s="765"/>
      <c r="D8" s="119">
        <f>Paramètres!B33</f>
        <v>132.92253521126759</v>
      </c>
      <c r="E8" s="119">
        <f>Paramètres!C33</f>
        <v>372.18309859154925</v>
      </c>
      <c r="F8" s="119">
        <f>Paramètres!D33</f>
        <v>531.69014084507035</v>
      </c>
      <c r="G8" s="119">
        <f>Paramètres!E33</f>
        <v>638.02816901408448</v>
      </c>
      <c r="H8" s="119">
        <f>Paramètres!F33</f>
        <v>903.87323943661966</v>
      </c>
      <c r="I8" s="119">
        <f>Paramètres!G33</f>
        <v>1063.3802816901407</v>
      </c>
      <c r="J8" s="119">
        <f>Paramètres!H33</f>
        <v>1116.5492957746478</v>
      </c>
      <c r="K8" s="765"/>
    </row>
    <row r="9" spans="1:12" x14ac:dyDescent="0.25">
      <c r="A9" s="35">
        <f>Données!A6</f>
        <v>5401</v>
      </c>
      <c r="B9" s="126" t="str">
        <f>Données!B6</f>
        <v>Aigle</v>
      </c>
      <c r="C9" s="40">
        <f>Données!Z6</f>
        <v>11780</v>
      </c>
      <c r="D9" s="7">
        <f>IF($C9&gt;D$5,IF($C9&lt;D$6,$C9-D$5,D$6-D$5),0)</f>
        <v>1000</v>
      </c>
      <c r="E9" s="11">
        <f t="shared" ref="E9:I24" si="0">IF($C9&gt;E$5,IF($C9&lt;E$6,$C9-E$5,E$6-E$5),0)</f>
        <v>2000</v>
      </c>
      <c r="F9" s="7">
        <f t="shared" si="0"/>
        <v>2000</v>
      </c>
      <c r="G9" s="11">
        <f t="shared" si="0"/>
        <v>4000</v>
      </c>
      <c r="H9" s="30">
        <f t="shared" si="0"/>
        <v>2780</v>
      </c>
      <c r="I9" s="7">
        <f t="shared" si="0"/>
        <v>0</v>
      </c>
      <c r="J9" s="7">
        <f>IF(C9&gt;$J$5,C9-$J$5,0)</f>
        <v>0</v>
      </c>
      <c r="K9" s="69">
        <f>-((D9*D$8)+(E9*E$8)+(F9*F$8)+(G9*G$8)+(H9*H$8)+(I9*I$8)+(J9*J$8))</f>
        <v>-7005549.295774648</v>
      </c>
    </row>
    <row r="10" spans="1:12" x14ac:dyDescent="0.25">
      <c r="A10" s="37">
        <f>Données!A7</f>
        <v>5402</v>
      </c>
      <c r="B10" s="126" t="str">
        <f>Données!B7</f>
        <v>Bex</v>
      </c>
      <c r="C10" s="7">
        <f>Données!Z7</f>
        <v>8806</v>
      </c>
      <c r="D10" s="7">
        <f t="shared" ref="D10:I64" si="1">IF($C10&gt;D$5,IF($C10&lt;D$6,$C10-D$5,D$6-D$5),0)</f>
        <v>1000</v>
      </c>
      <c r="E10" s="150">
        <f t="shared" si="0"/>
        <v>2000</v>
      </c>
      <c r="F10" s="7">
        <f t="shared" si="0"/>
        <v>2000</v>
      </c>
      <c r="G10" s="150">
        <f t="shared" si="0"/>
        <v>3806</v>
      </c>
      <c r="H10" s="30">
        <f t="shared" si="0"/>
        <v>0</v>
      </c>
      <c r="I10" s="7">
        <f t="shared" si="0"/>
        <v>0</v>
      </c>
      <c r="J10" s="7">
        <f t="shared" ref="J10:J73" si="2">IF(C10&gt;$J$5,C10-$J$5,0)</f>
        <v>0</v>
      </c>
      <c r="K10" s="69">
        <f t="shared" ref="K10:K73" si="3">-((D10*D$8)+(E10*E$8)+(F10*F$8)+(G10*G$8)+(H10*H$8)+(I10*I$8)+(J10*J$8))</f>
        <v>-4369004.2253521122</v>
      </c>
    </row>
    <row r="11" spans="1:12" s="146" customFormat="1" x14ac:dyDescent="0.25">
      <c r="A11" s="37">
        <f>Données!A8</f>
        <v>5403</v>
      </c>
      <c r="B11" s="126" t="str">
        <f>Données!B8</f>
        <v>Chessel</v>
      </c>
      <c r="C11" s="7">
        <f>Données!Z8</f>
        <v>528</v>
      </c>
      <c r="D11" s="7">
        <f t="shared" si="1"/>
        <v>528</v>
      </c>
      <c r="E11" s="158">
        <f t="shared" si="0"/>
        <v>0</v>
      </c>
      <c r="F11" s="7">
        <f t="shared" si="0"/>
        <v>0</v>
      </c>
      <c r="G11" s="158">
        <f t="shared" si="0"/>
        <v>0</v>
      </c>
      <c r="H11" s="30">
        <f t="shared" si="0"/>
        <v>0</v>
      </c>
      <c r="I11" s="7">
        <f t="shared" si="0"/>
        <v>0</v>
      </c>
      <c r="J11" s="7">
        <f t="shared" si="2"/>
        <v>0</v>
      </c>
      <c r="K11" s="69">
        <f t="shared" si="3"/>
        <v>-70183.098591549293</v>
      </c>
    </row>
    <row r="12" spans="1:12" s="146" customFormat="1" x14ac:dyDescent="0.25">
      <c r="A12" s="37">
        <f>Données!A9</f>
        <v>5404</v>
      </c>
      <c r="B12" s="126" t="str">
        <f>Données!B9</f>
        <v>Corbeyrier</v>
      </c>
      <c r="C12" s="7">
        <f>Données!Z9</f>
        <v>452</v>
      </c>
      <c r="D12" s="7">
        <f t="shared" si="1"/>
        <v>452</v>
      </c>
      <c r="E12" s="158">
        <f t="shared" si="0"/>
        <v>0</v>
      </c>
      <c r="F12" s="7">
        <f t="shared" si="0"/>
        <v>0</v>
      </c>
      <c r="G12" s="158">
        <f t="shared" si="0"/>
        <v>0</v>
      </c>
      <c r="H12" s="30">
        <f t="shared" si="0"/>
        <v>0</v>
      </c>
      <c r="I12" s="7">
        <f t="shared" si="0"/>
        <v>0</v>
      </c>
      <c r="J12" s="7">
        <f t="shared" si="2"/>
        <v>0</v>
      </c>
      <c r="K12" s="69">
        <f t="shared" si="3"/>
        <v>-60080.985915492951</v>
      </c>
    </row>
    <row r="13" spans="1:12" s="146" customFormat="1" x14ac:dyDescent="0.25">
      <c r="A13" s="37">
        <f>Données!A10</f>
        <v>5405</v>
      </c>
      <c r="B13" s="126" t="str">
        <f>Données!B10</f>
        <v>Gryon</v>
      </c>
      <c r="C13" s="7">
        <f>Données!Z10</f>
        <v>1525</v>
      </c>
      <c r="D13" s="7">
        <f t="shared" si="1"/>
        <v>1000</v>
      </c>
      <c r="E13" s="158">
        <f t="shared" si="0"/>
        <v>525</v>
      </c>
      <c r="F13" s="7">
        <f t="shared" si="0"/>
        <v>0</v>
      </c>
      <c r="G13" s="158">
        <f t="shared" si="0"/>
        <v>0</v>
      </c>
      <c r="H13" s="30">
        <f t="shared" si="0"/>
        <v>0</v>
      </c>
      <c r="I13" s="7">
        <f t="shared" si="0"/>
        <v>0</v>
      </c>
      <c r="J13" s="7">
        <f t="shared" si="2"/>
        <v>0</v>
      </c>
      <c r="K13" s="69">
        <f t="shared" si="3"/>
        <v>-328318.66197183094</v>
      </c>
    </row>
    <row r="14" spans="1:12" s="146" customFormat="1" x14ac:dyDescent="0.25">
      <c r="A14" s="37">
        <f>Données!A11</f>
        <v>5406</v>
      </c>
      <c r="B14" s="126" t="str">
        <f>Données!B11</f>
        <v>Lavey-Morcles</v>
      </c>
      <c r="C14" s="7">
        <f>Données!Z11</f>
        <v>1014</v>
      </c>
      <c r="D14" s="7">
        <f t="shared" si="1"/>
        <v>1000</v>
      </c>
      <c r="E14" s="158">
        <f t="shared" si="0"/>
        <v>14</v>
      </c>
      <c r="F14" s="7">
        <f t="shared" si="0"/>
        <v>0</v>
      </c>
      <c r="G14" s="158">
        <f t="shared" si="0"/>
        <v>0</v>
      </c>
      <c r="H14" s="30">
        <f t="shared" si="0"/>
        <v>0</v>
      </c>
      <c r="I14" s="7">
        <f t="shared" si="0"/>
        <v>0</v>
      </c>
      <c r="J14" s="7">
        <f t="shared" si="2"/>
        <v>0</v>
      </c>
      <c r="K14" s="69">
        <f t="shared" si="3"/>
        <v>-138133.09859154929</v>
      </c>
    </row>
    <row r="15" spans="1:12" s="146" customFormat="1" x14ac:dyDescent="0.25">
      <c r="A15" s="37">
        <f>Données!A12</f>
        <v>5407</v>
      </c>
      <c r="B15" s="126" t="str">
        <f>Données!B12</f>
        <v>Leysin</v>
      </c>
      <c r="C15" s="7">
        <f>Données!Z12</f>
        <v>3685</v>
      </c>
      <c r="D15" s="7">
        <f t="shared" si="1"/>
        <v>1000</v>
      </c>
      <c r="E15" s="158">
        <f t="shared" si="0"/>
        <v>2000</v>
      </c>
      <c r="F15" s="7">
        <f t="shared" si="0"/>
        <v>685</v>
      </c>
      <c r="G15" s="158">
        <f t="shared" si="0"/>
        <v>0</v>
      </c>
      <c r="H15" s="30">
        <f t="shared" si="0"/>
        <v>0</v>
      </c>
      <c r="I15" s="7">
        <f t="shared" si="0"/>
        <v>0</v>
      </c>
      <c r="J15" s="7">
        <f t="shared" si="2"/>
        <v>0</v>
      </c>
      <c r="K15" s="69">
        <f t="shared" si="3"/>
        <v>-1241496.4788732394</v>
      </c>
    </row>
    <row r="16" spans="1:12" s="146" customFormat="1" x14ac:dyDescent="0.25">
      <c r="A16" s="37">
        <f>Données!A13</f>
        <v>5408</v>
      </c>
      <c r="B16" s="126" t="str">
        <f>Données!B13</f>
        <v>Noville</v>
      </c>
      <c r="C16" s="7">
        <f>Données!Z13</f>
        <v>1208</v>
      </c>
      <c r="D16" s="7">
        <f t="shared" si="1"/>
        <v>1000</v>
      </c>
      <c r="E16" s="158">
        <f t="shared" si="0"/>
        <v>208</v>
      </c>
      <c r="F16" s="7">
        <f t="shared" si="0"/>
        <v>0</v>
      </c>
      <c r="G16" s="158">
        <f t="shared" si="0"/>
        <v>0</v>
      </c>
      <c r="H16" s="30">
        <f t="shared" si="0"/>
        <v>0</v>
      </c>
      <c r="I16" s="7">
        <f t="shared" si="0"/>
        <v>0</v>
      </c>
      <c r="J16" s="7">
        <f t="shared" si="2"/>
        <v>0</v>
      </c>
      <c r="K16" s="69">
        <f t="shared" si="3"/>
        <v>-210336.61971830984</v>
      </c>
    </row>
    <row r="17" spans="1:11" s="146" customFormat="1" x14ac:dyDescent="0.25">
      <c r="A17" s="37">
        <f>Données!A14</f>
        <v>5409</v>
      </c>
      <c r="B17" s="126" t="str">
        <f>Données!B14</f>
        <v>Ollon</v>
      </c>
      <c r="C17" s="7">
        <f>Données!Z14</f>
        <v>8222</v>
      </c>
      <c r="D17" s="7">
        <f t="shared" si="1"/>
        <v>1000</v>
      </c>
      <c r="E17" s="158">
        <f t="shared" si="0"/>
        <v>2000</v>
      </c>
      <c r="F17" s="7">
        <f t="shared" si="0"/>
        <v>2000</v>
      </c>
      <c r="G17" s="158">
        <f t="shared" si="0"/>
        <v>3222</v>
      </c>
      <c r="H17" s="30">
        <f t="shared" si="0"/>
        <v>0</v>
      </c>
      <c r="I17" s="7">
        <f t="shared" si="0"/>
        <v>0</v>
      </c>
      <c r="J17" s="7">
        <f t="shared" si="2"/>
        <v>0</v>
      </c>
      <c r="K17" s="69">
        <f t="shared" si="3"/>
        <v>-3996395.7746478869</v>
      </c>
    </row>
    <row r="18" spans="1:11" s="146" customFormat="1" x14ac:dyDescent="0.25">
      <c r="A18" s="37">
        <f>Données!A15</f>
        <v>5410</v>
      </c>
      <c r="B18" s="126" t="str">
        <f>Données!B15</f>
        <v>Ormont-Dessous</v>
      </c>
      <c r="C18" s="7">
        <f>Données!Z15</f>
        <v>1244</v>
      </c>
      <c r="D18" s="7">
        <f t="shared" si="1"/>
        <v>1000</v>
      </c>
      <c r="E18" s="158">
        <f t="shared" si="0"/>
        <v>244</v>
      </c>
      <c r="F18" s="7">
        <f t="shared" si="0"/>
        <v>0</v>
      </c>
      <c r="G18" s="158">
        <f t="shared" si="0"/>
        <v>0</v>
      </c>
      <c r="H18" s="30">
        <f t="shared" si="0"/>
        <v>0</v>
      </c>
      <c r="I18" s="7">
        <f t="shared" si="0"/>
        <v>0</v>
      </c>
      <c r="J18" s="7">
        <f t="shared" si="2"/>
        <v>0</v>
      </c>
      <c r="K18" s="69">
        <f t="shared" si="3"/>
        <v>-223735.2112676056</v>
      </c>
    </row>
    <row r="19" spans="1:11" x14ac:dyDescent="0.25">
      <c r="A19" s="37">
        <f>Données!A16</f>
        <v>5411</v>
      </c>
      <c r="B19" s="126" t="str">
        <f>Données!B16</f>
        <v>Ormont-Dessus</v>
      </c>
      <c r="C19" s="7">
        <f>Données!Z16</f>
        <v>1435</v>
      </c>
      <c r="D19" s="7">
        <f t="shared" si="1"/>
        <v>1000</v>
      </c>
      <c r="E19" s="150">
        <f t="shared" si="0"/>
        <v>435</v>
      </c>
      <c r="F19" s="7">
        <f t="shared" si="0"/>
        <v>0</v>
      </c>
      <c r="G19" s="150">
        <f t="shared" si="0"/>
        <v>0</v>
      </c>
      <c r="H19" s="30">
        <f t="shared" si="0"/>
        <v>0</v>
      </c>
      <c r="I19" s="7">
        <f t="shared" si="0"/>
        <v>0</v>
      </c>
      <c r="J19" s="7">
        <f t="shared" si="2"/>
        <v>0</v>
      </c>
      <c r="K19" s="69">
        <f t="shared" si="3"/>
        <v>-294822.18309859151</v>
      </c>
    </row>
    <row r="20" spans="1:11" x14ac:dyDescent="0.25">
      <c r="A20" s="37">
        <f>Données!A17</f>
        <v>5412</v>
      </c>
      <c r="B20" s="126" t="str">
        <f>Données!B17</f>
        <v>Rennaz</v>
      </c>
      <c r="C20" s="7">
        <f>Données!Z17</f>
        <v>949</v>
      </c>
      <c r="D20" s="7">
        <f t="shared" si="1"/>
        <v>949</v>
      </c>
      <c r="E20" s="150">
        <f t="shared" si="0"/>
        <v>0</v>
      </c>
      <c r="F20" s="7">
        <f t="shared" si="0"/>
        <v>0</v>
      </c>
      <c r="G20" s="150">
        <f t="shared" si="0"/>
        <v>0</v>
      </c>
      <c r="H20" s="30">
        <f t="shared" si="0"/>
        <v>0</v>
      </c>
      <c r="I20" s="7">
        <f t="shared" si="0"/>
        <v>0</v>
      </c>
      <c r="J20" s="7">
        <f t="shared" si="2"/>
        <v>0</v>
      </c>
      <c r="K20" s="69">
        <f t="shared" si="3"/>
        <v>-126143.48591549294</v>
      </c>
    </row>
    <row r="21" spans="1:11" x14ac:dyDescent="0.25">
      <c r="A21" s="37">
        <f>Données!A18</f>
        <v>5413</v>
      </c>
      <c r="B21" s="126" t="str">
        <f>Données!B18</f>
        <v>Roche</v>
      </c>
      <c r="C21" s="7">
        <f>Données!Z18</f>
        <v>1996</v>
      </c>
      <c r="D21" s="7">
        <f t="shared" si="1"/>
        <v>1000</v>
      </c>
      <c r="E21" s="150">
        <f t="shared" si="0"/>
        <v>996</v>
      </c>
      <c r="F21" s="7">
        <f t="shared" si="0"/>
        <v>0</v>
      </c>
      <c r="G21" s="150">
        <f t="shared" si="0"/>
        <v>0</v>
      </c>
      <c r="H21" s="30">
        <f t="shared" si="0"/>
        <v>0</v>
      </c>
      <c r="I21" s="7">
        <f t="shared" si="0"/>
        <v>0</v>
      </c>
      <c r="J21" s="7">
        <f t="shared" si="2"/>
        <v>0</v>
      </c>
      <c r="K21" s="69">
        <f t="shared" si="3"/>
        <v>-503616.90140845062</v>
      </c>
    </row>
    <row r="22" spans="1:11" x14ac:dyDescent="0.25">
      <c r="A22" s="37">
        <f>Données!A19</f>
        <v>5414</v>
      </c>
      <c r="B22" s="126" t="str">
        <f>Données!B19</f>
        <v>Villeneuve</v>
      </c>
      <c r="C22" s="7">
        <f>Données!Z19</f>
        <v>6039</v>
      </c>
      <c r="D22" s="7">
        <f t="shared" si="1"/>
        <v>1000</v>
      </c>
      <c r="E22" s="150">
        <f t="shared" si="0"/>
        <v>2000</v>
      </c>
      <c r="F22" s="7">
        <f t="shared" si="0"/>
        <v>2000</v>
      </c>
      <c r="G22" s="150">
        <f t="shared" si="0"/>
        <v>1039</v>
      </c>
      <c r="H22" s="30">
        <f t="shared" si="0"/>
        <v>0</v>
      </c>
      <c r="I22" s="7">
        <f t="shared" si="0"/>
        <v>0</v>
      </c>
      <c r="J22" s="7">
        <f t="shared" si="2"/>
        <v>0</v>
      </c>
      <c r="K22" s="69">
        <f t="shared" si="3"/>
        <v>-2603580.2816901407</v>
      </c>
    </row>
    <row r="23" spans="1:11" x14ac:dyDescent="0.25">
      <c r="A23" s="37">
        <f>Données!A20</f>
        <v>5415</v>
      </c>
      <c r="B23" s="126" t="str">
        <f>Données!B20</f>
        <v>Yvorne</v>
      </c>
      <c r="C23" s="7">
        <f>Données!Z20</f>
        <v>1110</v>
      </c>
      <c r="D23" s="7">
        <f t="shared" si="1"/>
        <v>1000</v>
      </c>
      <c r="E23" s="150">
        <f t="shared" si="0"/>
        <v>110</v>
      </c>
      <c r="F23" s="7">
        <f t="shared" si="0"/>
        <v>0</v>
      </c>
      <c r="G23" s="150">
        <f t="shared" si="0"/>
        <v>0</v>
      </c>
      <c r="H23" s="30">
        <f t="shared" si="0"/>
        <v>0</v>
      </c>
      <c r="I23" s="7">
        <f t="shared" si="0"/>
        <v>0</v>
      </c>
      <c r="J23" s="7">
        <f t="shared" si="2"/>
        <v>0</v>
      </c>
      <c r="K23" s="69">
        <f t="shared" si="3"/>
        <v>-173862.67605633801</v>
      </c>
    </row>
    <row r="24" spans="1:11" x14ac:dyDescent="0.25">
      <c r="A24" s="37">
        <f>Données!A21</f>
        <v>5422</v>
      </c>
      <c r="B24" s="126" t="str">
        <f>Données!B21</f>
        <v>Aubonne</v>
      </c>
      <c r="C24" s="7">
        <f>Données!Z21</f>
        <v>3862</v>
      </c>
      <c r="D24" s="7">
        <f t="shared" si="1"/>
        <v>1000</v>
      </c>
      <c r="E24" s="150">
        <f t="shared" si="0"/>
        <v>2000</v>
      </c>
      <c r="F24" s="7">
        <f t="shared" si="0"/>
        <v>862</v>
      </c>
      <c r="G24" s="150">
        <f t="shared" si="0"/>
        <v>0</v>
      </c>
      <c r="H24" s="30">
        <f t="shared" si="0"/>
        <v>0</v>
      </c>
      <c r="I24" s="7">
        <f t="shared" si="0"/>
        <v>0</v>
      </c>
      <c r="J24" s="7">
        <f t="shared" si="2"/>
        <v>0</v>
      </c>
      <c r="K24" s="69">
        <f t="shared" si="3"/>
        <v>-1335605.6338028167</v>
      </c>
    </row>
    <row r="25" spans="1:11" x14ac:dyDescent="0.25">
      <c r="A25" s="37">
        <f>Données!A22</f>
        <v>5423</v>
      </c>
      <c r="B25" s="126" t="str">
        <f>Données!B22</f>
        <v>Ballens</v>
      </c>
      <c r="C25" s="7">
        <f>Données!Z22</f>
        <v>579</v>
      </c>
      <c r="D25" s="7">
        <f t="shared" si="1"/>
        <v>579</v>
      </c>
      <c r="E25" s="150">
        <f t="shared" si="1"/>
        <v>0</v>
      </c>
      <c r="F25" s="7">
        <f t="shared" si="1"/>
        <v>0</v>
      </c>
      <c r="G25" s="150">
        <f t="shared" si="1"/>
        <v>0</v>
      </c>
      <c r="H25" s="30">
        <f t="shared" si="1"/>
        <v>0</v>
      </c>
      <c r="I25" s="7">
        <f t="shared" si="1"/>
        <v>0</v>
      </c>
      <c r="J25" s="7">
        <f t="shared" si="2"/>
        <v>0</v>
      </c>
      <c r="K25" s="69">
        <f t="shared" si="3"/>
        <v>-76962.147887323939</v>
      </c>
    </row>
    <row r="26" spans="1:11" x14ac:dyDescent="0.25">
      <c r="A26" s="37">
        <f>Données!A23</f>
        <v>5424</v>
      </c>
      <c r="B26" s="126" t="str">
        <f>Données!B23</f>
        <v>Berolle</v>
      </c>
      <c r="C26" s="7">
        <f>Données!Z23</f>
        <v>303</v>
      </c>
      <c r="D26" s="7">
        <f t="shared" si="1"/>
        <v>303</v>
      </c>
      <c r="E26" s="150">
        <f t="shared" si="1"/>
        <v>0</v>
      </c>
      <c r="F26" s="7">
        <f t="shared" si="1"/>
        <v>0</v>
      </c>
      <c r="G26" s="150">
        <f t="shared" si="1"/>
        <v>0</v>
      </c>
      <c r="H26" s="30">
        <f t="shared" si="1"/>
        <v>0</v>
      </c>
      <c r="I26" s="7">
        <f t="shared" si="1"/>
        <v>0</v>
      </c>
      <c r="J26" s="7">
        <f t="shared" si="2"/>
        <v>0</v>
      </c>
      <c r="K26" s="69">
        <f t="shared" si="3"/>
        <v>-40275.528169014076</v>
      </c>
    </row>
    <row r="27" spans="1:11" x14ac:dyDescent="0.25">
      <c r="A27" s="37">
        <f>Données!A24</f>
        <v>5425</v>
      </c>
      <c r="B27" s="126" t="str">
        <f>Données!B24</f>
        <v>Bière</v>
      </c>
      <c r="C27" s="7">
        <f>Données!Z24</f>
        <v>1680</v>
      </c>
      <c r="D27" s="7">
        <f t="shared" si="1"/>
        <v>1000</v>
      </c>
      <c r="E27" s="150">
        <f t="shared" si="1"/>
        <v>680</v>
      </c>
      <c r="F27" s="7">
        <f t="shared" si="1"/>
        <v>0</v>
      </c>
      <c r="G27" s="150">
        <f t="shared" si="1"/>
        <v>0</v>
      </c>
      <c r="H27" s="30">
        <f t="shared" si="1"/>
        <v>0</v>
      </c>
      <c r="I27" s="7">
        <f t="shared" si="1"/>
        <v>0</v>
      </c>
      <c r="J27" s="7">
        <f t="shared" si="2"/>
        <v>0</v>
      </c>
      <c r="K27" s="69">
        <f t="shared" si="3"/>
        <v>-386007.0422535211</v>
      </c>
    </row>
    <row r="28" spans="1:11" x14ac:dyDescent="0.25">
      <c r="A28" s="37">
        <f>Données!A25</f>
        <v>5426</v>
      </c>
      <c r="B28" s="126" t="str">
        <f>Données!B25</f>
        <v>Bougy-Villars</v>
      </c>
      <c r="C28" s="7">
        <f>Données!Z25</f>
        <v>511</v>
      </c>
      <c r="D28" s="7">
        <f t="shared" si="1"/>
        <v>511</v>
      </c>
      <c r="E28" s="150">
        <f t="shared" si="1"/>
        <v>0</v>
      </c>
      <c r="F28" s="7">
        <f t="shared" si="1"/>
        <v>0</v>
      </c>
      <c r="G28" s="150">
        <f t="shared" si="1"/>
        <v>0</v>
      </c>
      <c r="H28" s="30">
        <f t="shared" si="1"/>
        <v>0</v>
      </c>
      <c r="I28" s="7">
        <f t="shared" si="1"/>
        <v>0</v>
      </c>
      <c r="J28" s="7">
        <f t="shared" si="2"/>
        <v>0</v>
      </c>
      <c r="K28" s="69">
        <f t="shared" si="3"/>
        <v>-67923.415492957734</v>
      </c>
    </row>
    <row r="29" spans="1:11" x14ac:dyDescent="0.25">
      <c r="A29" s="37">
        <f>Données!A26</f>
        <v>5427</v>
      </c>
      <c r="B29" s="126" t="str">
        <f>Données!B26</f>
        <v>Féchy</v>
      </c>
      <c r="C29" s="7">
        <f>Données!Z26</f>
        <v>919</v>
      </c>
      <c r="D29" s="7">
        <f t="shared" si="1"/>
        <v>919</v>
      </c>
      <c r="E29" s="150">
        <f t="shared" si="1"/>
        <v>0</v>
      </c>
      <c r="F29" s="7">
        <f t="shared" si="1"/>
        <v>0</v>
      </c>
      <c r="G29" s="150">
        <f t="shared" si="1"/>
        <v>0</v>
      </c>
      <c r="H29" s="30">
        <f t="shared" si="1"/>
        <v>0</v>
      </c>
      <c r="I29" s="7">
        <f t="shared" si="1"/>
        <v>0</v>
      </c>
      <c r="J29" s="7">
        <f t="shared" si="2"/>
        <v>0</v>
      </c>
      <c r="K29" s="69">
        <f t="shared" si="3"/>
        <v>-122155.80985915491</v>
      </c>
    </row>
    <row r="30" spans="1:11" x14ac:dyDescent="0.25">
      <c r="A30" s="37">
        <f>Données!A27</f>
        <v>5428</v>
      </c>
      <c r="B30" s="126" t="str">
        <f>Données!B27</f>
        <v>Gimel</v>
      </c>
      <c r="C30" s="7">
        <f>Données!Z27</f>
        <v>2458</v>
      </c>
      <c r="D30" s="7">
        <f t="shared" si="1"/>
        <v>1000</v>
      </c>
      <c r="E30" s="150">
        <f t="shared" si="1"/>
        <v>1458</v>
      </c>
      <c r="F30" s="7">
        <f t="shared" si="1"/>
        <v>0</v>
      </c>
      <c r="G30" s="150">
        <f t="shared" si="1"/>
        <v>0</v>
      </c>
      <c r="H30" s="30">
        <f t="shared" si="1"/>
        <v>0</v>
      </c>
      <c r="I30" s="7">
        <f t="shared" si="1"/>
        <v>0</v>
      </c>
      <c r="J30" s="7">
        <f t="shared" si="2"/>
        <v>0</v>
      </c>
      <c r="K30" s="69">
        <f t="shared" si="3"/>
        <v>-675565.49295774638</v>
      </c>
    </row>
    <row r="31" spans="1:11" x14ac:dyDescent="0.25">
      <c r="A31" s="37">
        <f>Données!A28</f>
        <v>5429</v>
      </c>
      <c r="B31" s="126" t="str">
        <f>Données!B28</f>
        <v>Longirod</v>
      </c>
      <c r="C31" s="7">
        <f>Données!Z28</f>
        <v>555</v>
      </c>
      <c r="D31" s="7">
        <f t="shared" si="1"/>
        <v>555</v>
      </c>
      <c r="E31" s="150">
        <f t="shared" si="1"/>
        <v>0</v>
      </c>
      <c r="F31" s="7">
        <f t="shared" si="1"/>
        <v>0</v>
      </c>
      <c r="G31" s="150">
        <f t="shared" si="1"/>
        <v>0</v>
      </c>
      <c r="H31" s="30">
        <f t="shared" si="1"/>
        <v>0</v>
      </c>
      <c r="I31" s="7">
        <f t="shared" si="1"/>
        <v>0</v>
      </c>
      <c r="J31" s="7">
        <f t="shared" si="2"/>
        <v>0</v>
      </c>
      <c r="K31" s="69">
        <f t="shared" si="3"/>
        <v>-73772.007042253506</v>
      </c>
    </row>
    <row r="32" spans="1:11" x14ac:dyDescent="0.25">
      <c r="A32" s="37">
        <f>Données!A29</f>
        <v>5430</v>
      </c>
      <c r="B32" s="126" t="str">
        <f>Données!B29</f>
        <v>Marchissy</v>
      </c>
      <c r="C32" s="7">
        <f>Données!Z29</f>
        <v>510</v>
      </c>
      <c r="D32" s="7">
        <f t="shared" si="1"/>
        <v>510</v>
      </c>
      <c r="E32" s="150">
        <f t="shared" si="1"/>
        <v>0</v>
      </c>
      <c r="F32" s="7">
        <f t="shared" si="1"/>
        <v>0</v>
      </c>
      <c r="G32" s="150">
        <f t="shared" si="1"/>
        <v>0</v>
      </c>
      <c r="H32" s="30">
        <f t="shared" si="1"/>
        <v>0</v>
      </c>
      <c r="I32" s="7">
        <f t="shared" si="1"/>
        <v>0</v>
      </c>
      <c r="J32" s="7">
        <f t="shared" si="2"/>
        <v>0</v>
      </c>
      <c r="K32" s="69">
        <f t="shared" si="3"/>
        <v>-67790.492957746465</v>
      </c>
    </row>
    <row r="33" spans="1:11" x14ac:dyDescent="0.25">
      <c r="A33" s="37">
        <f>Données!A30</f>
        <v>5431</v>
      </c>
      <c r="B33" s="126" t="str">
        <f>Données!B30</f>
        <v>Mollens</v>
      </c>
      <c r="C33" s="7">
        <f>Données!Z30</f>
        <v>324</v>
      </c>
      <c r="D33" s="7">
        <f t="shared" si="1"/>
        <v>324</v>
      </c>
      <c r="E33" s="150">
        <f t="shared" si="1"/>
        <v>0</v>
      </c>
      <c r="F33" s="7">
        <f t="shared" si="1"/>
        <v>0</v>
      </c>
      <c r="G33" s="150">
        <f t="shared" si="1"/>
        <v>0</v>
      </c>
      <c r="H33" s="30">
        <f t="shared" si="1"/>
        <v>0</v>
      </c>
      <c r="I33" s="7">
        <f t="shared" si="1"/>
        <v>0</v>
      </c>
      <c r="J33" s="7">
        <f t="shared" si="2"/>
        <v>0</v>
      </c>
      <c r="K33" s="69">
        <f t="shared" si="3"/>
        <v>-43066.9014084507</v>
      </c>
    </row>
    <row r="34" spans="1:11" x14ac:dyDescent="0.25">
      <c r="A34" s="37">
        <f>Données!A31</f>
        <v>5434</v>
      </c>
      <c r="B34" s="126" t="str">
        <f>Données!B31</f>
        <v>Saint-George</v>
      </c>
      <c r="C34" s="7">
        <f>Données!Z31</f>
        <v>1083</v>
      </c>
      <c r="D34" s="7">
        <f t="shared" si="1"/>
        <v>1000</v>
      </c>
      <c r="E34" s="150">
        <f t="shared" si="1"/>
        <v>83</v>
      </c>
      <c r="F34" s="7">
        <f t="shared" si="1"/>
        <v>0</v>
      </c>
      <c r="G34" s="150">
        <f t="shared" si="1"/>
        <v>0</v>
      </c>
      <c r="H34" s="30">
        <f t="shared" si="1"/>
        <v>0</v>
      </c>
      <c r="I34" s="7">
        <f t="shared" si="1"/>
        <v>0</v>
      </c>
      <c r="J34" s="7">
        <f t="shared" si="2"/>
        <v>0</v>
      </c>
      <c r="K34" s="69">
        <f t="shared" si="3"/>
        <v>-163813.73239436618</v>
      </c>
    </row>
    <row r="35" spans="1:11" x14ac:dyDescent="0.25">
      <c r="A35" s="37">
        <f>Données!A32</f>
        <v>5435</v>
      </c>
      <c r="B35" s="126" t="str">
        <f>Données!B32</f>
        <v>Saint-Livres</v>
      </c>
      <c r="C35" s="7">
        <f>Données!Z32</f>
        <v>715</v>
      </c>
      <c r="D35" s="7">
        <f t="shared" si="1"/>
        <v>715</v>
      </c>
      <c r="E35" s="150">
        <f t="shared" si="1"/>
        <v>0</v>
      </c>
      <c r="F35" s="7">
        <f t="shared" si="1"/>
        <v>0</v>
      </c>
      <c r="G35" s="150">
        <f t="shared" si="1"/>
        <v>0</v>
      </c>
      <c r="H35" s="30">
        <f t="shared" si="1"/>
        <v>0</v>
      </c>
      <c r="I35" s="7">
        <f t="shared" si="1"/>
        <v>0</v>
      </c>
      <c r="J35" s="7">
        <f t="shared" si="2"/>
        <v>0</v>
      </c>
      <c r="K35" s="69">
        <f t="shared" si="3"/>
        <v>-95039.61267605632</v>
      </c>
    </row>
    <row r="36" spans="1:11" x14ac:dyDescent="0.25">
      <c r="A36" s="37">
        <f>Données!A33</f>
        <v>5436</v>
      </c>
      <c r="B36" s="126" t="str">
        <f>Données!B33</f>
        <v>Saint-Oyens</v>
      </c>
      <c r="C36" s="7">
        <f>Données!Z33</f>
        <v>457</v>
      </c>
      <c r="D36" s="7">
        <f t="shared" si="1"/>
        <v>457</v>
      </c>
      <c r="E36" s="150">
        <f t="shared" si="1"/>
        <v>0</v>
      </c>
      <c r="F36" s="7">
        <f t="shared" si="1"/>
        <v>0</v>
      </c>
      <c r="G36" s="150">
        <f t="shared" si="1"/>
        <v>0</v>
      </c>
      <c r="H36" s="30">
        <f t="shared" si="1"/>
        <v>0</v>
      </c>
      <c r="I36" s="7">
        <f t="shared" si="1"/>
        <v>0</v>
      </c>
      <c r="J36" s="7">
        <f t="shared" si="2"/>
        <v>0</v>
      </c>
      <c r="K36" s="69">
        <f t="shared" si="3"/>
        <v>-60745.598591549286</v>
      </c>
    </row>
    <row r="37" spans="1:11" x14ac:dyDescent="0.25">
      <c r="A37" s="37">
        <f>Données!A34</f>
        <v>5437</v>
      </c>
      <c r="B37" s="126" t="str">
        <f>Données!B34</f>
        <v>Saubraz</v>
      </c>
      <c r="C37" s="7">
        <f>Données!Z34</f>
        <v>446</v>
      </c>
      <c r="D37" s="7">
        <f t="shared" si="1"/>
        <v>446</v>
      </c>
      <c r="E37" s="150">
        <f t="shared" si="1"/>
        <v>0</v>
      </c>
      <c r="F37" s="7">
        <f t="shared" si="1"/>
        <v>0</v>
      </c>
      <c r="G37" s="150">
        <f t="shared" si="1"/>
        <v>0</v>
      </c>
      <c r="H37" s="30">
        <f t="shared" si="1"/>
        <v>0</v>
      </c>
      <c r="I37" s="7">
        <f t="shared" si="1"/>
        <v>0</v>
      </c>
      <c r="J37" s="7">
        <f t="shared" si="2"/>
        <v>0</v>
      </c>
      <c r="K37" s="69">
        <f t="shared" si="3"/>
        <v>-59283.450704225346</v>
      </c>
    </row>
    <row r="38" spans="1:11" x14ac:dyDescent="0.25">
      <c r="A38" s="37">
        <f>Données!A35</f>
        <v>5451</v>
      </c>
      <c r="B38" s="126" t="str">
        <f>Données!B35</f>
        <v>Avenches</v>
      </c>
      <c r="C38" s="7">
        <f>Données!Z35</f>
        <v>4895</v>
      </c>
      <c r="D38" s="7">
        <f t="shared" si="1"/>
        <v>1000</v>
      </c>
      <c r="E38" s="150">
        <f t="shared" si="1"/>
        <v>2000</v>
      </c>
      <c r="F38" s="7">
        <f t="shared" si="1"/>
        <v>1895</v>
      </c>
      <c r="G38" s="150">
        <f t="shared" si="1"/>
        <v>0</v>
      </c>
      <c r="H38" s="30">
        <f t="shared" si="1"/>
        <v>0</v>
      </c>
      <c r="I38" s="7">
        <f t="shared" si="1"/>
        <v>0</v>
      </c>
      <c r="J38" s="7">
        <f t="shared" si="2"/>
        <v>0</v>
      </c>
      <c r="K38" s="69">
        <f t="shared" si="3"/>
        <v>-1884841.5492957742</v>
      </c>
    </row>
    <row r="39" spans="1:11" x14ac:dyDescent="0.25">
      <c r="A39" s="37">
        <f>Données!A36</f>
        <v>5456</v>
      </c>
      <c r="B39" s="126" t="str">
        <f>Données!B36</f>
        <v>Cudrefin</v>
      </c>
      <c r="C39" s="7">
        <f>Données!Z36</f>
        <v>1885</v>
      </c>
      <c r="D39" s="7">
        <f t="shared" si="1"/>
        <v>1000</v>
      </c>
      <c r="E39" s="150">
        <f t="shared" si="1"/>
        <v>885</v>
      </c>
      <c r="F39" s="7">
        <f t="shared" si="1"/>
        <v>0</v>
      </c>
      <c r="G39" s="150">
        <f t="shared" si="1"/>
        <v>0</v>
      </c>
      <c r="H39" s="30">
        <f t="shared" si="1"/>
        <v>0</v>
      </c>
      <c r="I39" s="7">
        <f t="shared" si="1"/>
        <v>0</v>
      </c>
      <c r="J39" s="7">
        <f t="shared" si="2"/>
        <v>0</v>
      </c>
      <c r="K39" s="69">
        <f t="shared" si="3"/>
        <v>-462304.57746478869</v>
      </c>
    </row>
    <row r="40" spans="1:11" x14ac:dyDescent="0.25">
      <c r="A40" s="37">
        <f>Données!A37</f>
        <v>5458</v>
      </c>
      <c r="B40" s="126" t="str">
        <f>Données!B37</f>
        <v>Faoug</v>
      </c>
      <c r="C40" s="7">
        <f>Données!Z37</f>
        <v>900</v>
      </c>
      <c r="D40" s="7">
        <f t="shared" si="1"/>
        <v>900</v>
      </c>
      <c r="E40" s="150">
        <f t="shared" si="1"/>
        <v>0</v>
      </c>
      <c r="F40" s="7">
        <f t="shared" si="1"/>
        <v>0</v>
      </c>
      <c r="G40" s="150">
        <f t="shared" si="1"/>
        <v>0</v>
      </c>
      <c r="H40" s="30">
        <f t="shared" si="1"/>
        <v>0</v>
      </c>
      <c r="I40" s="7">
        <f t="shared" si="1"/>
        <v>0</v>
      </c>
      <c r="J40" s="7">
        <f t="shared" si="2"/>
        <v>0</v>
      </c>
      <c r="K40" s="69">
        <f t="shared" si="3"/>
        <v>-119630.28169014082</v>
      </c>
    </row>
    <row r="41" spans="1:11" x14ac:dyDescent="0.25">
      <c r="A41" s="37">
        <f>Données!A38</f>
        <v>5464</v>
      </c>
      <c r="B41" s="126" t="str">
        <f>Données!B38</f>
        <v>Vully-les-Lacs</v>
      </c>
      <c r="C41" s="7">
        <f>Données!Z38</f>
        <v>3639</v>
      </c>
      <c r="D41" s="7">
        <f t="shared" si="1"/>
        <v>1000</v>
      </c>
      <c r="E41" s="150">
        <f t="shared" si="1"/>
        <v>2000</v>
      </c>
      <c r="F41" s="7">
        <f t="shared" si="1"/>
        <v>639</v>
      </c>
      <c r="G41" s="150">
        <f t="shared" si="1"/>
        <v>0</v>
      </c>
      <c r="H41" s="30">
        <f t="shared" si="1"/>
        <v>0</v>
      </c>
      <c r="I41" s="7">
        <f t="shared" si="1"/>
        <v>0</v>
      </c>
      <c r="J41" s="7">
        <f t="shared" si="2"/>
        <v>0</v>
      </c>
      <c r="K41" s="69">
        <f t="shared" si="3"/>
        <v>-1217038.7323943661</v>
      </c>
    </row>
    <row r="42" spans="1:11" x14ac:dyDescent="0.25">
      <c r="A42" s="37">
        <f>Données!A39</f>
        <v>5471</v>
      </c>
      <c r="B42" s="126" t="str">
        <f>Données!B39</f>
        <v>Bettens</v>
      </c>
      <c r="C42" s="7">
        <f>Données!Z39</f>
        <v>653</v>
      </c>
      <c r="D42" s="7">
        <f t="shared" si="1"/>
        <v>653</v>
      </c>
      <c r="E42" s="150">
        <f t="shared" si="1"/>
        <v>0</v>
      </c>
      <c r="F42" s="7">
        <f t="shared" si="1"/>
        <v>0</v>
      </c>
      <c r="G42" s="150">
        <f t="shared" si="1"/>
        <v>0</v>
      </c>
      <c r="H42" s="30">
        <f t="shared" si="1"/>
        <v>0</v>
      </c>
      <c r="I42" s="7">
        <f t="shared" si="1"/>
        <v>0</v>
      </c>
      <c r="J42" s="7">
        <f t="shared" si="2"/>
        <v>0</v>
      </c>
      <c r="K42" s="69">
        <f t="shared" si="3"/>
        <v>-86798.415492957734</v>
      </c>
    </row>
    <row r="43" spans="1:11" x14ac:dyDescent="0.25">
      <c r="A43" s="37">
        <f>Données!A40</f>
        <v>5472</v>
      </c>
      <c r="B43" s="126" t="str">
        <f>Données!B40</f>
        <v>Bournens</v>
      </c>
      <c r="C43" s="7">
        <f>Données!Z40</f>
        <v>532</v>
      </c>
      <c r="D43" s="7">
        <f t="shared" si="1"/>
        <v>532</v>
      </c>
      <c r="E43" s="150">
        <f t="shared" si="1"/>
        <v>0</v>
      </c>
      <c r="F43" s="7">
        <f t="shared" si="1"/>
        <v>0</v>
      </c>
      <c r="G43" s="150">
        <f t="shared" si="1"/>
        <v>0</v>
      </c>
      <c r="H43" s="30">
        <f t="shared" si="1"/>
        <v>0</v>
      </c>
      <c r="I43" s="7">
        <f t="shared" si="1"/>
        <v>0</v>
      </c>
      <c r="J43" s="7">
        <f t="shared" si="2"/>
        <v>0</v>
      </c>
      <c r="K43" s="69">
        <f t="shared" si="3"/>
        <v>-70714.788732394358</v>
      </c>
    </row>
    <row r="44" spans="1:11" x14ac:dyDescent="0.25">
      <c r="A44" s="37">
        <f>Données!A41</f>
        <v>5473</v>
      </c>
      <c r="B44" s="126" t="str">
        <f>Données!B41</f>
        <v>Boussens</v>
      </c>
      <c r="C44" s="7">
        <f>Données!Z41</f>
        <v>1007</v>
      </c>
      <c r="D44" s="7">
        <f t="shared" si="1"/>
        <v>1000</v>
      </c>
      <c r="E44" s="150">
        <f t="shared" si="1"/>
        <v>7</v>
      </c>
      <c r="F44" s="7">
        <f t="shared" si="1"/>
        <v>0</v>
      </c>
      <c r="G44" s="150">
        <f t="shared" si="1"/>
        <v>0</v>
      </c>
      <c r="H44" s="30">
        <f t="shared" si="1"/>
        <v>0</v>
      </c>
      <c r="I44" s="7">
        <f t="shared" si="1"/>
        <v>0</v>
      </c>
      <c r="J44" s="7">
        <f t="shared" si="2"/>
        <v>0</v>
      </c>
      <c r="K44" s="69">
        <f t="shared" si="3"/>
        <v>-135527.81690140843</v>
      </c>
    </row>
    <row r="45" spans="1:11" x14ac:dyDescent="0.25">
      <c r="A45" s="37">
        <f>Données!A42</f>
        <v>5474</v>
      </c>
      <c r="B45" s="126" t="str">
        <f>Données!B42</f>
        <v>La Chaux (Cossonay)</v>
      </c>
      <c r="C45" s="7">
        <f>Données!Z42</f>
        <v>436</v>
      </c>
      <c r="D45" s="7">
        <f t="shared" si="1"/>
        <v>436</v>
      </c>
      <c r="E45" s="150">
        <f t="shared" si="1"/>
        <v>0</v>
      </c>
      <c r="F45" s="7">
        <f t="shared" si="1"/>
        <v>0</v>
      </c>
      <c r="G45" s="150">
        <f t="shared" si="1"/>
        <v>0</v>
      </c>
      <c r="H45" s="30">
        <f t="shared" si="1"/>
        <v>0</v>
      </c>
      <c r="I45" s="7">
        <f t="shared" si="1"/>
        <v>0</v>
      </c>
      <c r="J45" s="7">
        <f t="shared" si="2"/>
        <v>0</v>
      </c>
      <c r="K45" s="69">
        <f t="shared" si="3"/>
        <v>-57954.225352112669</v>
      </c>
    </row>
    <row r="46" spans="1:11" x14ac:dyDescent="0.25">
      <c r="A46" s="37">
        <f>Données!A43</f>
        <v>5475</v>
      </c>
      <c r="B46" s="126" t="str">
        <f>Données!B43</f>
        <v>Chavannes-le-Veyron</v>
      </c>
      <c r="C46" s="7">
        <f>Données!Z43</f>
        <v>160</v>
      </c>
      <c r="D46" s="7">
        <f t="shared" si="1"/>
        <v>160</v>
      </c>
      <c r="E46" s="150">
        <f t="shared" si="1"/>
        <v>0</v>
      </c>
      <c r="F46" s="7">
        <f t="shared" si="1"/>
        <v>0</v>
      </c>
      <c r="G46" s="150">
        <f t="shared" si="1"/>
        <v>0</v>
      </c>
      <c r="H46" s="30">
        <f t="shared" si="1"/>
        <v>0</v>
      </c>
      <c r="I46" s="7">
        <f t="shared" si="1"/>
        <v>0</v>
      </c>
      <c r="J46" s="7">
        <f t="shared" si="2"/>
        <v>0</v>
      </c>
      <c r="K46" s="69">
        <f t="shared" si="3"/>
        <v>-21267.605633802814</v>
      </c>
    </row>
    <row r="47" spans="1:11" x14ac:dyDescent="0.25">
      <c r="A47" s="37">
        <f>Données!A44</f>
        <v>5476</v>
      </c>
      <c r="B47" s="126" t="str">
        <f>Données!B44</f>
        <v>Chevilly</v>
      </c>
      <c r="C47" s="7">
        <f>Données!Z44</f>
        <v>346</v>
      </c>
      <c r="D47" s="7">
        <f t="shared" si="1"/>
        <v>346</v>
      </c>
      <c r="E47" s="150">
        <f t="shared" si="1"/>
        <v>0</v>
      </c>
      <c r="F47" s="7">
        <f t="shared" si="1"/>
        <v>0</v>
      </c>
      <c r="G47" s="150">
        <f t="shared" si="1"/>
        <v>0</v>
      </c>
      <c r="H47" s="30">
        <f t="shared" si="1"/>
        <v>0</v>
      </c>
      <c r="I47" s="7">
        <f t="shared" si="1"/>
        <v>0</v>
      </c>
      <c r="J47" s="7">
        <f t="shared" si="2"/>
        <v>0</v>
      </c>
      <c r="K47" s="69">
        <f t="shared" si="3"/>
        <v>-45991.197183098586</v>
      </c>
    </row>
    <row r="48" spans="1:11" x14ac:dyDescent="0.25">
      <c r="A48" s="37">
        <f>Données!A45</f>
        <v>5477</v>
      </c>
      <c r="B48" s="126" t="str">
        <f>Données!B45</f>
        <v>Cossonay</v>
      </c>
      <c r="C48" s="7">
        <f>Données!Z45</f>
        <v>4902</v>
      </c>
      <c r="D48" s="7">
        <f t="shared" si="1"/>
        <v>1000</v>
      </c>
      <c r="E48" s="150">
        <f t="shared" si="1"/>
        <v>2000</v>
      </c>
      <c r="F48" s="7">
        <f t="shared" si="1"/>
        <v>1902</v>
      </c>
      <c r="G48" s="150">
        <f t="shared" si="1"/>
        <v>0</v>
      </c>
      <c r="H48" s="30">
        <f t="shared" si="1"/>
        <v>0</v>
      </c>
      <c r="I48" s="7">
        <f t="shared" si="1"/>
        <v>0</v>
      </c>
      <c r="J48" s="7">
        <f t="shared" si="2"/>
        <v>0</v>
      </c>
      <c r="K48" s="69">
        <f t="shared" si="3"/>
        <v>-1888563.3802816898</v>
      </c>
    </row>
    <row r="49" spans="1:11" x14ac:dyDescent="0.25">
      <c r="A49" s="37">
        <f>Données!A46</f>
        <v>5479</v>
      </c>
      <c r="B49" s="126" t="str">
        <f>Données!B46</f>
        <v>Cuarnens</v>
      </c>
      <c r="C49" s="7">
        <f>Données!Z46</f>
        <v>561</v>
      </c>
      <c r="D49" s="7">
        <f t="shared" si="1"/>
        <v>561</v>
      </c>
      <c r="E49" s="150">
        <f t="shared" si="1"/>
        <v>0</v>
      </c>
      <c r="F49" s="7">
        <f t="shared" si="1"/>
        <v>0</v>
      </c>
      <c r="G49" s="150">
        <f t="shared" si="1"/>
        <v>0</v>
      </c>
      <c r="H49" s="30">
        <f t="shared" si="1"/>
        <v>0</v>
      </c>
      <c r="I49" s="7">
        <f t="shared" si="1"/>
        <v>0</v>
      </c>
      <c r="J49" s="7">
        <f t="shared" si="2"/>
        <v>0</v>
      </c>
      <c r="K49" s="69">
        <f t="shared" si="3"/>
        <v>-74569.542253521111</v>
      </c>
    </row>
    <row r="50" spans="1:11" x14ac:dyDescent="0.25">
      <c r="A50" s="37">
        <f>Données!A47</f>
        <v>5480</v>
      </c>
      <c r="B50" s="126" t="str">
        <f>Données!B47</f>
        <v>Daillens</v>
      </c>
      <c r="C50" s="7">
        <f>Données!Z47</f>
        <v>1099</v>
      </c>
      <c r="D50" s="7">
        <f t="shared" si="1"/>
        <v>1000</v>
      </c>
      <c r="E50" s="150">
        <f t="shared" si="1"/>
        <v>99</v>
      </c>
      <c r="F50" s="7">
        <f t="shared" si="1"/>
        <v>0</v>
      </c>
      <c r="G50" s="150">
        <f t="shared" si="1"/>
        <v>0</v>
      </c>
      <c r="H50" s="30">
        <f t="shared" si="1"/>
        <v>0</v>
      </c>
      <c r="I50" s="7">
        <f t="shared" si="1"/>
        <v>0</v>
      </c>
      <c r="J50" s="7">
        <f t="shared" si="2"/>
        <v>0</v>
      </c>
      <c r="K50" s="69">
        <f t="shared" si="3"/>
        <v>-169768.66197183097</v>
      </c>
    </row>
    <row r="51" spans="1:11" x14ac:dyDescent="0.25">
      <c r="A51" s="37">
        <f>Données!A48</f>
        <v>5481</v>
      </c>
      <c r="B51" s="126" t="str">
        <f>Données!B48</f>
        <v>Dizy</v>
      </c>
      <c r="C51" s="7">
        <f>Données!Z48</f>
        <v>238</v>
      </c>
      <c r="D51" s="7">
        <f t="shared" si="1"/>
        <v>238</v>
      </c>
      <c r="E51" s="150">
        <f t="shared" si="1"/>
        <v>0</v>
      </c>
      <c r="F51" s="7">
        <f t="shared" si="1"/>
        <v>0</v>
      </c>
      <c r="G51" s="150">
        <f t="shared" si="1"/>
        <v>0</v>
      </c>
      <c r="H51" s="30">
        <f t="shared" si="1"/>
        <v>0</v>
      </c>
      <c r="I51" s="7">
        <f t="shared" si="1"/>
        <v>0</v>
      </c>
      <c r="J51" s="7">
        <f t="shared" si="2"/>
        <v>0</v>
      </c>
      <c r="K51" s="69">
        <f t="shared" si="3"/>
        <v>-31635.563380281685</v>
      </c>
    </row>
    <row r="52" spans="1:11" x14ac:dyDescent="0.25">
      <c r="A52" s="37">
        <f>Données!A49</f>
        <v>5482</v>
      </c>
      <c r="B52" s="126" t="str">
        <f>Données!B49</f>
        <v>Eclépens</v>
      </c>
      <c r="C52" s="7">
        <f>Données!Z49</f>
        <v>1211</v>
      </c>
      <c r="D52" s="7">
        <f t="shared" si="1"/>
        <v>1000</v>
      </c>
      <c r="E52" s="150">
        <f t="shared" si="1"/>
        <v>211</v>
      </c>
      <c r="F52" s="7">
        <f t="shared" si="1"/>
        <v>0</v>
      </c>
      <c r="G52" s="150">
        <f t="shared" si="1"/>
        <v>0</v>
      </c>
      <c r="H52" s="30">
        <f t="shared" si="1"/>
        <v>0</v>
      </c>
      <c r="I52" s="7">
        <f t="shared" si="1"/>
        <v>0</v>
      </c>
      <c r="J52" s="7">
        <f t="shared" si="2"/>
        <v>0</v>
      </c>
      <c r="K52" s="69">
        <f t="shared" si="3"/>
        <v>-211453.1690140845</v>
      </c>
    </row>
    <row r="53" spans="1:11" x14ac:dyDescent="0.25">
      <c r="A53" s="37">
        <f>Données!A50</f>
        <v>5483</v>
      </c>
      <c r="B53" s="126" t="str">
        <f>Données!B50</f>
        <v>Ferreyres</v>
      </c>
      <c r="C53" s="7">
        <f>Données!Z50</f>
        <v>309</v>
      </c>
      <c r="D53" s="7">
        <f t="shared" si="1"/>
        <v>309</v>
      </c>
      <c r="E53" s="150">
        <f t="shared" si="1"/>
        <v>0</v>
      </c>
      <c r="F53" s="7">
        <f t="shared" si="1"/>
        <v>0</v>
      </c>
      <c r="G53" s="150">
        <f t="shared" si="1"/>
        <v>0</v>
      </c>
      <c r="H53" s="30">
        <f t="shared" si="1"/>
        <v>0</v>
      </c>
      <c r="I53" s="7">
        <f t="shared" si="1"/>
        <v>0</v>
      </c>
      <c r="J53" s="7">
        <f t="shared" si="2"/>
        <v>0</v>
      </c>
      <c r="K53" s="69">
        <f t="shared" si="3"/>
        <v>-41073.063380281681</v>
      </c>
    </row>
    <row r="54" spans="1:11" x14ac:dyDescent="0.25">
      <c r="A54" s="37">
        <f>Données!A51</f>
        <v>5484</v>
      </c>
      <c r="B54" s="126" t="str">
        <f>Données!B51</f>
        <v>Gollion</v>
      </c>
      <c r="C54" s="7">
        <f>Données!Z51</f>
        <v>1064</v>
      </c>
      <c r="D54" s="7">
        <f t="shared" si="1"/>
        <v>1000</v>
      </c>
      <c r="E54" s="150">
        <f t="shared" si="1"/>
        <v>64</v>
      </c>
      <c r="F54" s="7">
        <f t="shared" si="1"/>
        <v>0</v>
      </c>
      <c r="G54" s="150">
        <f t="shared" si="1"/>
        <v>0</v>
      </c>
      <c r="H54" s="30">
        <f t="shared" si="1"/>
        <v>0</v>
      </c>
      <c r="I54" s="7">
        <f t="shared" si="1"/>
        <v>0</v>
      </c>
      <c r="J54" s="7">
        <f t="shared" si="2"/>
        <v>0</v>
      </c>
      <c r="K54" s="69">
        <f t="shared" si="3"/>
        <v>-156742.25352112675</v>
      </c>
    </row>
    <row r="55" spans="1:11" x14ac:dyDescent="0.25">
      <c r="A55" s="37">
        <f>Données!A52</f>
        <v>5485</v>
      </c>
      <c r="B55" s="126" t="str">
        <f>Données!B52</f>
        <v>Grancy</v>
      </c>
      <c r="C55" s="7">
        <f>Données!Z52</f>
        <v>540</v>
      </c>
      <c r="D55" s="7">
        <f t="shared" si="1"/>
        <v>540</v>
      </c>
      <c r="E55" s="150">
        <f t="shared" si="1"/>
        <v>0</v>
      </c>
      <c r="F55" s="7">
        <f t="shared" si="1"/>
        <v>0</v>
      </c>
      <c r="G55" s="150">
        <f t="shared" si="1"/>
        <v>0</v>
      </c>
      <c r="H55" s="30">
        <f t="shared" si="1"/>
        <v>0</v>
      </c>
      <c r="I55" s="7">
        <f t="shared" si="1"/>
        <v>0</v>
      </c>
      <c r="J55" s="7">
        <f t="shared" si="2"/>
        <v>0</v>
      </c>
      <c r="K55" s="69">
        <f t="shared" si="3"/>
        <v>-71778.169014084502</v>
      </c>
    </row>
    <row r="56" spans="1:11" x14ac:dyDescent="0.25">
      <c r="A56" s="37">
        <f>Données!A53</f>
        <v>5486</v>
      </c>
      <c r="B56" s="126" t="str">
        <f>Données!B53</f>
        <v>L'Isle</v>
      </c>
      <c r="C56" s="7">
        <f>Données!Z53</f>
        <v>1096</v>
      </c>
      <c r="D56" s="7">
        <f t="shared" si="1"/>
        <v>1000</v>
      </c>
      <c r="E56" s="150">
        <f t="shared" si="1"/>
        <v>96</v>
      </c>
      <c r="F56" s="7">
        <f t="shared" si="1"/>
        <v>0</v>
      </c>
      <c r="G56" s="150">
        <f t="shared" si="1"/>
        <v>0</v>
      </c>
      <c r="H56" s="30">
        <f t="shared" si="1"/>
        <v>0</v>
      </c>
      <c r="I56" s="7">
        <f t="shared" si="1"/>
        <v>0</v>
      </c>
      <c r="J56" s="7">
        <f t="shared" si="2"/>
        <v>0</v>
      </c>
      <c r="K56" s="69">
        <f t="shared" si="3"/>
        <v>-168652.11267605633</v>
      </c>
    </row>
    <row r="57" spans="1:11" x14ac:dyDescent="0.25">
      <c r="A57" s="37">
        <f>Données!A54</f>
        <v>5487</v>
      </c>
      <c r="B57" s="126" t="str">
        <f>Données!B54</f>
        <v>Lussery-Villars</v>
      </c>
      <c r="C57" s="7">
        <f>Données!Z54</f>
        <v>468</v>
      </c>
      <c r="D57" s="7">
        <f t="shared" si="1"/>
        <v>468</v>
      </c>
      <c r="E57" s="150">
        <f t="shared" si="1"/>
        <v>0</v>
      </c>
      <c r="F57" s="7">
        <f t="shared" si="1"/>
        <v>0</v>
      </c>
      <c r="G57" s="150">
        <f t="shared" si="1"/>
        <v>0</v>
      </c>
      <c r="H57" s="30">
        <f t="shared" si="1"/>
        <v>0</v>
      </c>
      <c r="I57" s="7">
        <f t="shared" si="1"/>
        <v>0</v>
      </c>
      <c r="J57" s="7">
        <f t="shared" si="2"/>
        <v>0</v>
      </c>
      <c r="K57" s="69">
        <f t="shared" si="3"/>
        <v>-62207.746478873232</v>
      </c>
    </row>
    <row r="58" spans="1:11" x14ac:dyDescent="0.25">
      <c r="A58" s="37">
        <f>Données!A55</f>
        <v>5488</v>
      </c>
      <c r="B58" s="126" t="str">
        <f>Données!B55</f>
        <v>Mauraz</v>
      </c>
      <c r="C58" s="7">
        <f>Données!Z55</f>
        <v>67</v>
      </c>
      <c r="D58" s="7">
        <f t="shared" si="1"/>
        <v>67</v>
      </c>
      <c r="E58" s="150">
        <f t="shared" si="1"/>
        <v>0</v>
      </c>
      <c r="F58" s="7">
        <f t="shared" si="1"/>
        <v>0</v>
      </c>
      <c r="G58" s="150">
        <f t="shared" si="1"/>
        <v>0</v>
      </c>
      <c r="H58" s="30">
        <f t="shared" si="1"/>
        <v>0</v>
      </c>
      <c r="I58" s="7">
        <f t="shared" si="1"/>
        <v>0</v>
      </c>
      <c r="J58" s="7">
        <f t="shared" si="2"/>
        <v>0</v>
      </c>
      <c r="K58" s="69">
        <f t="shared" si="3"/>
        <v>-8905.8098591549278</v>
      </c>
    </row>
    <row r="59" spans="1:11" x14ac:dyDescent="0.25">
      <c r="A59" s="37">
        <f>Données!A56</f>
        <v>5489</v>
      </c>
      <c r="B59" s="126" t="str">
        <f>Données!B56</f>
        <v>Mex</v>
      </c>
      <c r="C59" s="7">
        <f>Données!Z56</f>
        <v>809</v>
      </c>
      <c r="D59" s="7">
        <f t="shared" si="1"/>
        <v>809</v>
      </c>
      <c r="E59" s="150">
        <f t="shared" si="1"/>
        <v>0</v>
      </c>
      <c r="F59" s="7">
        <f t="shared" si="1"/>
        <v>0</v>
      </c>
      <c r="G59" s="150">
        <f t="shared" si="1"/>
        <v>0</v>
      </c>
      <c r="H59" s="30">
        <f t="shared" si="1"/>
        <v>0</v>
      </c>
      <c r="I59" s="7">
        <f t="shared" si="1"/>
        <v>0</v>
      </c>
      <c r="J59" s="7">
        <f t="shared" si="2"/>
        <v>0</v>
      </c>
      <c r="K59" s="69">
        <f t="shared" si="3"/>
        <v>-107534.33098591548</v>
      </c>
    </row>
    <row r="60" spans="1:11" x14ac:dyDescent="0.25">
      <c r="A60" s="37">
        <f>Données!A57</f>
        <v>5490</v>
      </c>
      <c r="B60" s="126" t="str">
        <f>Données!B57</f>
        <v>Moiry</v>
      </c>
      <c r="C60" s="7">
        <f>Données!Z57</f>
        <v>299</v>
      </c>
      <c r="D60" s="7">
        <f t="shared" si="1"/>
        <v>299</v>
      </c>
      <c r="E60" s="150">
        <f t="shared" si="1"/>
        <v>0</v>
      </c>
      <c r="F60" s="7">
        <f t="shared" si="1"/>
        <v>0</v>
      </c>
      <c r="G60" s="150">
        <f t="shared" si="1"/>
        <v>0</v>
      </c>
      <c r="H60" s="30">
        <f t="shared" si="1"/>
        <v>0</v>
      </c>
      <c r="I60" s="7">
        <f t="shared" si="1"/>
        <v>0</v>
      </c>
      <c r="J60" s="7">
        <f t="shared" si="2"/>
        <v>0</v>
      </c>
      <c r="K60" s="69">
        <f t="shared" si="3"/>
        <v>-39743.838028169012</v>
      </c>
    </row>
    <row r="61" spans="1:11" x14ac:dyDescent="0.25">
      <c r="A61" s="37">
        <f>Données!A58</f>
        <v>5491</v>
      </c>
      <c r="B61" s="126" t="str">
        <f>Données!B58</f>
        <v>Mont-la-Ville</v>
      </c>
      <c r="C61" s="7">
        <f>Données!Z58</f>
        <v>495</v>
      </c>
      <c r="D61" s="7">
        <f t="shared" si="1"/>
        <v>495</v>
      </c>
      <c r="E61" s="150">
        <f t="shared" si="1"/>
        <v>0</v>
      </c>
      <c r="F61" s="7">
        <f t="shared" si="1"/>
        <v>0</v>
      </c>
      <c r="G61" s="150">
        <f t="shared" si="1"/>
        <v>0</v>
      </c>
      <c r="H61" s="30">
        <f t="shared" si="1"/>
        <v>0</v>
      </c>
      <c r="I61" s="7">
        <f t="shared" si="1"/>
        <v>0</v>
      </c>
      <c r="J61" s="7">
        <f t="shared" si="2"/>
        <v>0</v>
      </c>
      <c r="K61" s="69">
        <f t="shared" si="3"/>
        <v>-65796.65492957746</v>
      </c>
    </row>
    <row r="62" spans="1:11" x14ac:dyDescent="0.25">
      <c r="A62" s="37">
        <f>Données!A59</f>
        <v>5492</v>
      </c>
      <c r="B62" s="126" t="str">
        <f>Données!B59</f>
        <v>Montricher</v>
      </c>
      <c r="C62" s="7">
        <f>Données!Z59</f>
        <v>943</v>
      </c>
      <c r="D62" s="7">
        <f t="shared" si="1"/>
        <v>943</v>
      </c>
      <c r="E62" s="150">
        <f t="shared" si="1"/>
        <v>0</v>
      </c>
      <c r="F62" s="7">
        <f t="shared" si="1"/>
        <v>0</v>
      </c>
      <c r="G62" s="150">
        <f t="shared" si="1"/>
        <v>0</v>
      </c>
      <c r="H62" s="30">
        <f t="shared" si="1"/>
        <v>0</v>
      </c>
      <c r="I62" s="7">
        <f t="shared" si="1"/>
        <v>0</v>
      </c>
      <c r="J62" s="7">
        <f t="shared" si="2"/>
        <v>0</v>
      </c>
      <c r="K62" s="69">
        <f t="shared" si="3"/>
        <v>-125345.95070422534</v>
      </c>
    </row>
    <row r="63" spans="1:11" x14ac:dyDescent="0.25">
      <c r="A63" s="37">
        <f>Données!A60</f>
        <v>5493</v>
      </c>
      <c r="B63" s="126" t="str">
        <f>Données!B60</f>
        <v>Orny</v>
      </c>
      <c r="C63" s="7">
        <f>Données!Z60</f>
        <v>497</v>
      </c>
      <c r="D63" s="7">
        <f t="shared" si="1"/>
        <v>497</v>
      </c>
      <c r="E63" s="150">
        <f t="shared" si="1"/>
        <v>0</v>
      </c>
      <c r="F63" s="7">
        <f t="shared" si="1"/>
        <v>0</v>
      </c>
      <c r="G63" s="150">
        <f t="shared" si="1"/>
        <v>0</v>
      </c>
      <c r="H63" s="30">
        <f t="shared" si="1"/>
        <v>0</v>
      </c>
      <c r="I63" s="7">
        <f t="shared" si="1"/>
        <v>0</v>
      </c>
      <c r="J63" s="7">
        <f t="shared" si="2"/>
        <v>0</v>
      </c>
      <c r="K63" s="69">
        <f t="shared" si="3"/>
        <v>-66062.499999999985</v>
      </c>
    </row>
    <row r="64" spans="1:11" x14ac:dyDescent="0.25">
      <c r="A64" s="37">
        <f>Données!A61</f>
        <v>5495</v>
      </c>
      <c r="B64" s="126" t="str">
        <f>Données!B61</f>
        <v>Penthalaz</v>
      </c>
      <c r="C64" s="7">
        <f>Données!Z61</f>
        <v>3177</v>
      </c>
      <c r="D64" s="7">
        <f t="shared" si="1"/>
        <v>1000</v>
      </c>
      <c r="E64" s="150">
        <f t="shared" si="1"/>
        <v>2000</v>
      </c>
      <c r="F64" s="7">
        <f t="shared" si="1"/>
        <v>177</v>
      </c>
      <c r="G64" s="150">
        <f t="shared" si="1"/>
        <v>0</v>
      </c>
      <c r="H64" s="30">
        <f t="shared" si="1"/>
        <v>0</v>
      </c>
      <c r="I64" s="7">
        <f t="shared" si="1"/>
        <v>0</v>
      </c>
      <c r="J64" s="7">
        <f t="shared" si="2"/>
        <v>0</v>
      </c>
      <c r="K64" s="69">
        <f t="shared" si="3"/>
        <v>-971397.88732394355</v>
      </c>
    </row>
    <row r="65" spans="1:11" x14ac:dyDescent="0.25">
      <c r="A65" s="37">
        <f>Données!A62</f>
        <v>5496</v>
      </c>
      <c r="B65" s="126" t="str">
        <f>Données!B62</f>
        <v>Penthaz</v>
      </c>
      <c r="C65" s="7">
        <f>Données!Z62</f>
        <v>1946</v>
      </c>
      <c r="D65" s="7">
        <f t="shared" ref="D65:I107" si="4">IF($C65&gt;D$5,IF($C65&lt;D$6,$C65-D$5,D$6-D$5),0)</f>
        <v>1000</v>
      </c>
      <c r="E65" s="150">
        <f t="shared" si="4"/>
        <v>946</v>
      </c>
      <c r="F65" s="7">
        <f t="shared" si="4"/>
        <v>0</v>
      </c>
      <c r="G65" s="150">
        <f t="shared" si="4"/>
        <v>0</v>
      </c>
      <c r="H65" s="30">
        <f t="shared" si="4"/>
        <v>0</v>
      </c>
      <c r="I65" s="7">
        <f t="shared" si="4"/>
        <v>0</v>
      </c>
      <c r="J65" s="7">
        <f t="shared" si="2"/>
        <v>0</v>
      </c>
      <c r="K65" s="69">
        <f t="shared" si="3"/>
        <v>-485007.74647887319</v>
      </c>
    </row>
    <row r="66" spans="1:11" x14ac:dyDescent="0.25">
      <c r="A66" s="37">
        <f>Données!A63</f>
        <v>5497</v>
      </c>
      <c r="B66" s="126" t="str">
        <f>Données!B63</f>
        <v>Pompaples</v>
      </c>
      <c r="C66" s="7">
        <f>Données!Z63</f>
        <v>930</v>
      </c>
      <c r="D66" s="7">
        <f t="shared" si="4"/>
        <v>930</v>
      </c>
      <c r="E66" s="150">
        <f t="shared" si="4"/>
        <v>0</v>
      </c>
      <c r="F66" s="7">
        <f t="shared" si="4"/>
        <v>0</v>
      </c>
      <c r="G66" s="150">
        <f t="shared" si="4"/>
        <v>0</v>
      </c>
      <c r="H66" s="30">
        <f t="shared" si="4"/>
        <v>0</v>
      </c>
      <c r="I66" s="7">
        <f t="shared" si="4"/>
        <v>0</v>
      </c>
      <c r="J66" s="7">
        <f t="shared" si="2"/>
        <v>0</v>
      </c>
      <c r="K66" s="69">
        <f t="shared" si="3"/>
        <v>-123617.95774647886</v>
      </c>
    </row>
    <row r="67" spans="1:11" x14ac:dyDescent="0.25">
      <c r="A67" s="37">
        <f>Données!A64</f>
        <v>5498</v>
      </c>
      <c r="B67" s="126" t="str">
        <f>Données!B64</f>
        <v>La Sarraz</v>
      </c>
      <c r="C67" s="7">
        <f>Données!Z64</f>
        <v>2618</v>
      </c>
      <c r="D67" s="7">
        <f t="shared" si="4"/>
        <v>1000</v>
      </c>
      <c r="E67" s="150">
        <f t="shared" si="4"/>
        <v>1618</v>
      </c>
      <c r="F67" s="7">
        <f t="shared" si="4"/>
        <v>0</v>
      </c>
      <c r="G67" s="150">
        <f t="shared" si="4"/>
        <v>0</v>
      </c>
      <c r="H67" s="30">
        <f t="shared" si="4"/>
        <v>0</v>
      </c>
      <c r="I67" s="7">
        <f t="shared" si="4"/>
        <v>0</v>
      </c>
      <c r="J67" s="7">
        <f t="shared" si="2"/>
        <v>0</v>
      </c>
      <c r="K67" s="69">
        <f t="shared" si="3"/>
        <v>-735114.78873239434</v>
      </c>
    </row>
    <row r="68" spans="1:11" x14ac:dyDescent="0.25">
      <c r="A68" s="37">
        <f>Données!A65</f>
        <v>5499</v>
      </c>
      <c r="B68" s="126" t="str">
        <f>Données!B65</f>
        <v>Senarclens</v>
      </c>
      <c r="C68" s="7">
        <f>Données!Z65</f>
        <v>480</v>
      </c>
      <c r="D68" s="7">
        <f t="shared" si="4"/>
        <v>480</v>
      </c>
      <c r="E68" s="150">
        <f t="shared" si="4"/>
        <v>0</v>
      </c>
      <c r="F68" s="7">
        <f t="shared" si="4"/>
        <v>0</v>
      </c>
      <c r="G68" s="150">
        <f t="shared" si="4"/>
        <v>0</v>
      </c>
      <c r="H68" s="30">
        <f t="shared" si="4"/>
        <v>0</v>
      </c>
      <c r="I68" s="7">
        <f t="shared" si="4"/>
        <v>0</v>
      </c>
      <c r="J68" s="7">
        <f t="shared" si="2"/>
        <v>0</v>
      </c>
      <c r="K68" s="69">
        <f t="shared" si="3"/>
        <v>-63802.816901408441</v>
      </c>
    </row>
    <row r="69" spans="1:11" x14ac:dyDescent="0.25">
      <c r="A69" s="37">
        <f>Données!A66</f>
        <v>5501</v>
      </c>
      <c r="B69" s="126" t="str">
        <f>Données!B66</f>
        <v>Sullens</v>
      </c>
      <c r="C69" s="7">
        <f>Données!Z66</f>
        <v>1225</v>
      </c>
      <c r="D69" s="7">
        <f t="shared" si="4"/>
        <v>1000</v>
      </c>
      <c r="E69" s="150">
        <f t="shared" si="4"/>
        <v>225</v>
      </c>
      <c r="F69" s="7">
        <f t="shared" si="4"/>
        <v>0</v>
      </c>
      <c r="G69" s="150">
        <f t="shared" si="4"/>
        <v>0</v>
      </c>
      <c r="H69" s="30">
        <f t="shared" si="4"/>
        <v>0</v>
      </c>
      <c r="I69" s="7">
        <f t="shared" si="4"/>
        <v>0</v>
      </c>
      <c r="J69" s="7">
        <f t="shared" si="2"/>
        <v>0</v>
      </c>
      <c r="K69" s="69">
        <f t="shared" si="3"/>
        <v>-216663.73239436618</v>
      </c>
    </row>
    <row r="70" spans="1:11" x14ac:dyDescent="0.25">
      <c r="A70" s="37">
        <f>Données!A67</f>
        <v>5503</v>
      </c>
      <c r="B70" s="126" t="str">
        <f>Données!B67</f>
        <v>Vufflens-la-Ville</v>
      </c>
      <c r="C70" s="7">
        <f>Données!Z67</f>
        <v>1342</v>
      </c>
      <c r="D70" s="7">
        <f t="shared" si="4"/>
        <v>1000</v>
      </c>
      <c r="E70" s="150">
        <f t="shared" si="4"/>
        <v>342</v>
      </c>
      <c r="F70" s="7">
        <f t="shared" si="4"/>
        <v>0</v>
      </c>
      <c r="G70" s="150">
        <f t="shared" si="4"/>
        <v>0</v>
      </c>
      <c r="H70" s="30">
        <f t="shared" si="4"/>
        <v>0</v>
      </c>
      <c r="I70" s="7">
        <f t="shared" si="4"/>
        <v>0</v>
      </c>
      <c r="J70" s="7">
        <f t="shared" si="2"/>
        <v>0</v>
      </c>
      <c r="K70" s="69">
        <f t="shared" si="3"/>
        <v>-260209.15492957743</v>
      </c>
    </row>
    <row r="71" spans="1:11" x14ac:dyDescent="0.25">
      <c r="A71" s="37">
        <f>Données!A68</f>
        <v>5511</v>
      </c>
      <c r="B71" s="126" t="str">
        <f>Données!B68</f>
        <v>Assens</v>
      </c>
      <c r="C71" s="7">
        <f>Données!Z68</f>
        <v>1711</v>
      </c>
      <c r="D71" s="7">
        <f t="shared" si="4"/>
        <v>1000</v>
      </c>
      <c r="E71" s="150">
        <f t="shared" si="4"/>
        <v>711</v>
      </c>
      <c r="F71" s="7">
        <f t="shared" si="4"/>
        <v>0</v>
      </c>
      <c r="G71" s="150">
        <f t="shared" si="4"/>
        <v>0</v>
      </c>
      <c r="H71" s="30">
        <f t="shared" si="4"/>
        <v>0</v>
      </c>
      <c r="I71" s="7">
        <f t="shared" si="4"/>
        <v>0</v>
      </c>
      <c r="J71" s="7">
        <f t="shared" si="2"/>
        <v>0</v>
      </c>
      <c r="K71" s="69">
        <f t="shared" si="3"/>
        <v>-397544.7183098591</v>
      </c>
    </row>
    <row r="72" spans="1:11" x14ac:dyDescent="0.25">
      <c r="A72" s="37">
        <f>Données!A69</f>
        <v>5512</v>
      </c>
      <c r="B72" s="126" t="str">
        <f>Données!B69</f>
        <v>Bercher</v>
      </c>
      <c r="C72" s="7">
        <f>Données!Z69</f>
        <v>1344</v>
      </c>
      <c r="D72" s="7">
        <f t="shared" si="4"/>
        <v>1000</v>
      </c>
      <c r="E72" s="150">
        <f t="shared" si="4"/>
        <v>344</v>
      </c>
      <c r="F72" s="7">
        <f t="shared" si="4"/>
        <v>0</v>
      </c>
      <c r="G72" s="150">
        <f t="shared" si="4"/>
        <v>0</v>
      </c>
      <c r="H72" s="30">
        <f t="shared" si="4"/>
        <v>0</v>
      </c>
      <c r="I72" s="7">
        <f t="shared" si="4"/>
        <v>0</v>
      </c>
      <c r="J72" s="7">
        <f t="shared" si="2"/>
        <v>0</v>
      </c>
      <c r="K72" s="69">
        <f t="shared" si="3"/>
        <v>-260953.52112676052</v>
      </c>
    </row>
    <row r="73" spans="1:11" x14ac:dyDescent="0.25">
      <c r="A73" s="37">
        <f>Données!A70</f>
        <v>5514</v>
      </c>
      <c r="B73" s="126" t="str">
        <f>Données!B70</f>
        <v>Bottens</v>
      </c>
      <c r="C73" s="7">
        <f>Données!Z70</f>
        <v>1358</v>
      </c>
      <c r="D73" s="7">
        <f t="shared" si="4"/>
        <v>1000</v>
      </c>
      <c r="E73" s="150">
        <f t="shared" si="4"/>
        <v>358</v>
      </c>
      <c r="F73" s="7">
        <f t="shared" si="4"/>
        <v>0</v>
      </c>
      <c r="G73" s="150">
        <f t="shared" si="4"/>
        <v>0</v>
      </c>
      <c r="H73" s="30">
        <f t="shared" si="4"/>
        <v>0</v>
      </c>
      <c r="I73" s="7">
        <f t="shared" si="4"/>
        <v>0</v>
      </c>
      <c r="J73" s="7">
        <f t="shared" si="2"/>
        <v>0</v>
      </c>
      <c r="K73" s="69">
        <f t="shared" si="3"/>
        <v>-266164.08450704219</v>
      </c>
    </row>
    <row r="74" spans="1:11" x14ac:dyDescent="0.25">
      <c r="A74" s="37">
        <f>Données!A71</f>
        <v>5515</v>
      </c>
      <c r="B74" s="126" t="str">
        <f>Données!B71</f>
        <v>Bretigny-sur-Morrens</v>
      </c>
      <c r="C74" s="7">
        <f>Données!Z71</f>
        <v>898</v>
      </c>
      <c r="D74" s="7">
        <f t="shared" si="4"/>
        <v>898</v>
      </c>
      <c r="E74" s="150">
        <f t="shared" si="4"/>
        <v>0</v>
      </c>
      <c r="F74" s="7">
        <f t="shared" si="4"/>
        <v>0</v>
      </c>
      <c r="G74" s="150">
        <f t="shared" si="4"/>
        <v>0</v>
      </c>
      <c r="H74" s="30">
        <f t="shared" si="4"/>
        <v>0</v>
      </c>
      <c r="I74" s="7">
        <f t="shared" si="4"/>
        <v>0</v>
      </c>
      <c r="J74" s="7">
        <f t="shared" ref="J74:J137" si="5">IF(C74&gt;$J$5,C74-$J$5,0)</f>
        <v>0</v>
      </c>
      <c r="K74" s="69">
        <f t="shared" ref="K74:K137" si="6">-((D74*D$8)+(E74*E$8)+(F74*F$8)+(G74*G$8)+(H74*H$8)+(I74*I$8)+(J74*J$8))</f>
        <v>-119364.4366197183</v>
      </c>
    </row>
    <row r="75" spans="1:11" x14ac:dyDescent="0.25">
      <c r="A75" s="37">
        <f>Données!A72</f>
        <v>5516</v>
      </c>
      <c r="B75" s="126" t="str">
        <f>Données!B72</f>
        <v>Cugy</v>
      </c>
      <c r="C75" s="7">
        <f>Données!Z72</f>
        <v>2790</v>
      </c>
      <c r="D75" s="7">
        <f t="shared" si="4"/>
        <v>1000</v>
      </c>
      <c r="E75" s="150">
        <f t="shared" si="4"/>
        <v>1790</v>
      </c>
      <c r="F75" s="7">
        <f t="shared" si="4"/>
        <v>0</v>
      </c>
      <c r="G75" s="150">
        <f t="shared" si="4"/>
        <v>0</v>
      </c>
      <c r="H75" s="30">
        <f t="shared" si="4"/>
        <v>0</v>
      </c>
      <c r="I75" s="7">
        <f t="shared" si="4"/>
        <v>0</v>
      </c>
      <c r="J75" s="7">
        <f t="shared" si="5"/>
        <v>0</v>
      </c>
      <c r="K75" s="69">
        <f t="shared" si="6"/>
        <v>-799130.28169014072</v>
      </c>
    </row>
    <row r="76" spans="1:11" x14ac:dyDescent="0.25">
      <c r="A76" s="37">
        <f>Données!A73</f>
        <v>5518</v>
      </c>
      <c r="B76" s="126" t="str">
        <f>Données!B73</f>
        <v>Echallens</v>
      </c>
      <c r="C76" s="7">
        <f>Données!Z73</f>
        <v>6722</v>
      </c>
      <c r="D76" s="7">
        <f t="shared" si="4"/>
        <v>1000</v>
      </c>
      <c r="E76" s="150">
        <f t="shared" si="4"/>
        <v>2000</v>
      </c>
      <c r="F76" s="7">
        <f t="shared" si="4"/>
        <v>2000</v>
      </c>
      <c r="G76" s="150">
        <f t="shared" si="4"/>
        <v>1722</v>
      </c>
      <c r="H76" s="30">
        <f t="shared" si="4"/>
        <v>0</v>
      </c>
      <c r="I76" s="7">
        <f t="shared" si="4"/>
        <v>0</v>
      </c>
      <c r="J76" s="7">
        <f t="shared" si="5"/>
        <v>0</v>
      </c>
      <c r="K76" s="69">
        <f t="shared" si="6"/>
        <v>-3039353.5211267602</v>
      </c>
    </row>
    <row r="77" spans="1:11" x14ac:dyDescent="0.25">
      <c r="A77" s="37">
        <f>Données!A74</f>
        <v>5520</v>
      </c>
      <c r="B77" s="126" t="str">
        <f>Données!B74</f>
        <v>Essertines-sur-Yverdon</v>
      </c>
      <c r="C77" s="7">
        <f>Données!Z74</f>
        <v>1148</v>
      </c>
      <c r="D77" s="7">
        <f t="shared" si="4"/>
        <v>1000</v>
      </c>
      <c r="E77" s="150">
        <f t="shared" si="4"/>
        <v>148</v>
      </c>
      <c r="F77" s="7">
        <f t="shared" si="4"/>
        <v>0</v>
      </c>
      <c r="G77" s="150">
        <f t="shared" si="4"/>
        <v>0</v>
      </c>
      <c r="H77" s="30">
        <f t="shared" si="4"/>
        <v>0</v>
      </c>
      <c r="I77" s="7">
        <f t="shared" si="4"/>
        <v>0</v>
      </c>
      <c r="J77" s="7">
        <f t="shared" si="5"/>
        <v>0</v>
      </c>
      <c r="K77" s="69">
        <f t="shared" si="6"/>
        <v>-188005.63380281688</v>
      </c>
    </row>
    <row r="78" spans="1:11" x14ac:dyDescent="0.25">
      <c r="A78" s="37">
        <f>Données!A75</f>
        <v>5521</v>
      </c>
      <c r="B78" s="126" t="str">
        <f>Données!B75</f>
        <v>Etagnières</v>
      </c>
      <c r="C78" s="7">
        <f>Données!Z75</f>
        <v>1189</v>
      </c>
      <c r="D78" s="7">
        <f t="shared" si="4"/>
        <v>1000</v>
      </c>
      <c r="E78" s="150">
        <f t="shared" si="4"/>
        <v>189</v>
      </c>
      <c r="F78" s="7">
        <f t="shared" si="4"/>
        <v>0</v>
      </c>
      <c r="G78" s="150">
        <f t="shared" si="4"/>
        <v>0</v>
      </c>
      <c r="H78" s="30">
        <f t="shared" si="4"/>
        <v>0</v>
      </c>
      <c r="I78" s="7">
        <f t="shared" si="4"/>
        <v>0</v>
      </c>
      <c r="J78" s="7">
        <f t="shared" si="5"/>
        <v>0</v>
      </c>
      <c r="K78" s="69">
        <f t="shared" si="6"/>
        <v>-203265.14084507042</v>
      </c>
    </row>
    <row r="79" spans="1:11" x14ac:dyDescent="0.25">
      <c r="A79" s="37">
        <f>Données!A76</f>
        <v>5522</v>
      </c>
      <c r="B79" s="126" t="str">
        <f>Données!B76</f>
        <v>Fey</v>
      </c>
      <c r="C79" s="7">
        <f>Données!Z76</f>
        <v>789</v>
      </c>
      <c r="D79" s="7">
        <f t="shared" si="4"/>
        <v>789</v>
      </c>
      <c r="E79" s="150">
        <f t="shared" si="4"/>
        <v>0</v>
      </c>
      <c r="F79" s="7">
        <f t="shared" si="4"/>
        <v>0</v>
      </c>
      <c r="G79" s="150">
        <f t="shared" si="4"/>
        <v>0</v>
      </c>
      <c r="H79" s="30">
        <f t="shared" si="4"/>
        <v>0</v>
      </c>
      <c r="I79" s="7">
        <f t="shared" si="4"/>
        <v>0</v>
      </c>
      <c r="J79" s="7">
        <f t="shared" si="5"/>
        <v>0</v>
      </c>
      <c r="K79" s="69">
        <f t="shared" si="6"/>
        <v>-104875.88028169013</v>
      </c>
    </row>
    <row r="80" spans="1:11" x14ac:dyDescent="0.25">
      <c r="A80" s="37">
        <f>Données!A77</f>
        <v>5523</v>
      </c>
      <c r="B80" s="126" t="str">
        <f>Données!B77</f>
        <v>Froideville</v>
      </c>
      <c r="C80" s="7">
        <f>Données!Z77</f>
        <v>2731</v>
      </c>
      <c r="D80" s="7">
        <f t="shared" si="4"/>
        <v>1000</v>
      </c>
      <c r="E80" s="150">
        <f t="shared" si="4"/>
        <v>1731</v>
      </c>
      <c r="F80" s="7">
        <f t="shared" si="4"/>
        <v>0</v>
      </c>
      <c r="G80" s="150">
        <f t="shared" si="4"/>
        <v>0</v>
      </c>
      <c r="H80" s="30">
        <f t="shared" si="4"/>
        <v>0</v>
      </c>
      <c r="I80" s="7">
        <f t="shared" si="4"/>
        <v>0</v>
      </c>
      <c r="J80" s="7">
        <f t="shared" si="5"/>
        <v>0</v>
      </c>
      <c r="K80" s="69">
        <f t="shared" si="6"/>
        <v>-777171.47887323936</v>
      </c>
    </row>
    <row r="81" spans="1:11" x14ac:dyDescent="0.25">
      <c r="A81" s="37">
        <f>Données!A78</f>
        <v>5527</v>
      </c>
      <c r="B81" s="126" t="str">
        <f>Données!B78</f>
        <v>Morrens</v>
      </c>
      <c r="C81" s="7">
        <f>Données!Z78</f>
        <v>1153</v>
      </c>
      <c r="D81" s="7">
        <f t="shared" si="4"/>
        <v>1000</v>
      </c>
      <c r="E81" s="150">
        <f t="shared" si="4"/>
        <v>153</v>
      </c>
      <c r="F81" s="7">
        <f t="shared" si="4"/>
        <v>0</v>
      </c>
      <c r="G81" s="150">
        <f t="shared" si="4"/>
        <v>0</v>
      </c>
      <c r="H81" s="30">
        <f t="shared" si="4"/>
        <v>0</v>
      </c>
      <c r="I81" s="7">
        <f t="shared" si="4"/>
        <v>0</v>
      </c>
      <c r="J81" s="7">
        <f t="shared" si="5"/>
        <v>0</v>
      </c>
      <c r="K81" s="69">
        <f t="shared" si="6"/>
        <v>-189866.54929577463</v>
      </c>
    </row>
    <row r="82" spans="1:11" x14ac:dyDescent="0.25">
      <c r="A82" s="37">
        <f>Données!A79</f>
        <v>5529</v>
      </c>
      <c r="B82" s="126" t="str">
        <f>Données!B79</f>
        <v>Oulens-sous-Echallens</v>
      </c>
      <c r="C82" s="7">
        <f>Données!Z79</f>
        <v>607</v>
      </c>
      <c r="D82" s="7">
        <f t="shared" si="4"/>
        <v>607</v>
      </c>
      <c r="E82" s="150">
        <f t="shared" si="4"/>
        <v>0</v>
      </c>
      <c r="F82" s="7">
        <f t="shared" si="4"/>
        <v>0</v>
      </c>
      <c r="G82" s="150">
        <f t="shared" si="4"/>
        <v>0</v>
      </c>
      <c r="H82" s="30">
        <f t="shared" si="4"/>
        <v>0</v>
      </c>
      <c r="I82" s="7">
        <f t="shared" si="4"/>
        <v>0</v>
      </c>
      <c r="J82" s="7">
        <f t="shared" si="5"/>
        <v>0</v>
      </c>
      <c r="K82" s="69">
        <f t="shared" si="6"/>
        <v>-80683.978873239423</v>
      </c>
    </row>
    <row r="83" spans="1:11" x14ac:dyDescent="0.25">
      <c r="A83" s="37">
        <f>Données!A80</f>
        <v>5530</v>
      </c>
      <c r="B83" s="126" t="str">
        <f>Données!B80</f>
        <v>Pailly</v>
      </c>
      <c r="C83" s="7">
        <f>Données!Z80</f>
        <v>576</v>
      </c>
      <c r="D83" s="7">
        <f t="shared" si="4"/>
        <v>576</v>
      </c>
      <c r="E83" s="150">
        <f t="shared" si="4"/>
        <v>0</v>
      </c>
      <c r="F83" s="7">
        <f t="shared" si="4"/>
        <v>0</v>
      </c>
      <c r="G83" s="150">
        <f t="shared" si="4"/>
        <v>0</v>
      </c>
      <c r="H83" s="30">
        <f t="shared" si="4"/>
        <v>0</v>
      </c>
      <c r="I83" s="7">
        <f t="shared" si="4"/>
        <v>0</v>
      </c>
      <c r="J83" s="7">
        <f t="shared" si="5"/>
        <v>0</v>
      </c>
      <c r="K83" s="69">
        <f t="shared" si="6"/>
        <v>-76563.38028169013</v>
      </c>
    </row>
    <row r="84" spans="1:11" x14ac:dyDescent="0.25">
      <c r="A84" s="37">
        <f>Données!A81</f>
        <v>5531</v>
      </c>
      <c r="B84" s="126" t="str">
        <f>Données!B81</f>
        <v>Penthéréaz</v>
      </c>
      <c r="C84" s="7">
        <f>Données!Z81</f>
        <v>430</v>
      </c>
      <c r="D84" s="7">
        <f t="shared" si="4"/>
        <v>430</v>
      </c>
      <c r="E84" s="150">
        <f t="shared" si="4"/>
        <v>0</v>
      </c>
      <c r="F84" s="7">
        <f t="shared" si="4"/>
        <v>0</v>
      </c>
      <c r="G84" s="150">
        <f t="shared" si="4"/>
        <v>0</v>
      </c>
      <c r="H84" s="30">
        <f t="shared" si="4"/>
        <v>0</v>
      </c>
      <c r="I84" s="7">
        <f t="shared" si="4"/>
        <v>0</v>
      </c>
      <c r="J84" s="7">
        <f t="shared" si="5"/>
        <v>0</v>
      </c>
      <c r="K84" s="69">
        <f t="shared" si="6"/>
        <v>-57156.690140845065</v>
      </c>
    </row>
    <row r="85" spans="1:11" x14ac:dyDescent="0.25">
      <c r="A85" s="37">
        <f>Données!A82</f>
        <v>5533</v>
      </c>
      <c r="B85" s="126" t="str">
        <f>Données!B82</f>
        <v>Poliez-Pittet</v>
      </c>
      <c r="C85" s="7">
        <f>Données!Z82</f>
        <v>850</v>
      </c>
      <c r="D85" s="7">
        <f t="shared" si="4"/>
        <v>850</v>
      </c>
      <c r="E85" s="150">
        <f t="shared" si="4"/>
        <v>0</v>
      </c>
      <c r="F85" s="7">
        <f t="shared" si="4"/>
        <v>0</v>
      </c>
      <c r="G85" s="150">
        <f t="shared" si="4"/>
        <v>0</v>
      </c>
      <c r="H85" s="30">
        <f t="shared" si="4"/>
        <v>0</v>
      </c>
      <c r="I85" s="7">
        <f t="shared" si="4"/>
        <v>0</v>
      </c>
      <c r="J85" s="7">
        <f t="shared" si="5"/>
        <v>0</v>
      </c>
      <c r="K85" s="69">
        <f t="shared" si="6"/>
        <v>-112984.15492957745</v>
      </c>
    </row>
    <row r="86" spans="1:11" x14ac:dyDescent="0.25">
      <c r="A86" s="37">
        <f>Données!A83</f>
        <v>5534</v>
      </c>
      <c r="B86" s="126" t="str">
        <f>Données!B83</f>
        <v>Rueyres</v>
      </c>
      <c r="C86" s="7">
        <f>Données!Z83</f>
        <v>304</v>
      </c>
      <c r="D86" s="7">
        <f t="shared" si="4"/>
        <v>304</v>
      </c>
      <c r="E86" s="150">
        <f t="shared" si="4"/>
        <v>0</v>
      </c>
      <c r="F86" s="7">
        <f t="shared" si="4"/>
        <v>0</v>
      </c>
      <c r="G86" s="150">
        <f t="shared" si="4"/>
        <v>0</v>
      </c>
      <c r="H86" s="30">
        <f t="shared" si="4"/>
        <v>0</v>
      </c>
      <c r="I86" s="7">
        <f t="shared" si="4"/>
        <v>0</v>
      </c>
      <c r="J86" s="7">
        <f t="shared" si="5"/>
        <v>0</v>
      </c>
      <c r="K86" s="69">
        <f t="shared" si="6"/>
        <v>-40408.450704225346</v>
      </c>
    </row>
    <row r="87" spans="1:11" x14ac:dyDescent="0.25">
      <c r="A87" s="37">
        <f>Données!A84</f>
        <v>5535</v>
      </c>
      <c r="B87" s="126" t="str">
        <f>Données!B84</f>
        <v>Saint-Barthélemy</v>
      </c>
      <c r="C87" s="7">
        <f>Données!Z84</f>
        <v>837</v>
      </c>
      <c r="D87" s="7">
        <f t="shared" si="4"/>
        <v>837</v>
      </c>
      <c r="E87" s="150">
        <f t="shared" si="4"/>
        <v>0</v>
      </c>
      <c r="F87" s="7">
        <f t="shared" si="4"/>
        <v>0</v>
      </c>
      <c r="G87" s="150">
        <f t="shared" si="4"/>
        <v>0</v>
      </c>
      <c r="H87" s="30">
        <f t="shared" si="4"/>
        <v>0</v>
      </c>
      <c r="I87" s="7">
        <f t="shared" si="4"/>
        <v>0</v>
      </c>
      <c r="J87" s="7">
        <f t="shared" si="5"/>
        <v>0</v>
      </c>
      <c r="K87" s="69">
        <f t="shared" si="6"/>
        <v>-111256.16197183097</v>
      </c>
    </row>
    <row r="88" spans="1:11" x14ac:dyDescent="0.25">
      <c r="A88" s="37">
        <f>Données!A85</f>
        <v>5537</v>
      </c>
      <c r="B88" s="126" t="str">
        <f>Données!B85</f>
        <v>Villars-le-Terroir</v>
      </c>
      <c r="C88" s="7">
        <f>Données!Z85</f>
        <v>1307</v>
      </c>
      <c r="D88" s="7">
        <f t="shared" si="4"/>
        <v>1000</v>
      </c>
      <c r="E88" s="150">
        <f t="shared" si="4"/>
        <v>307</v>
      </c>
      <c r="F88" s="7">
        <f t="shared" si="4"/>
        <v>0</v>
      </c>
      <c r="G88" s="150">
        <f t="shared" si="4"/>
        <v>0</v>
      </c>
      <c r="H88" s="30">
        <f t="shared" si="4"/>
        <v>0</v>
      </c>
      <c r="I88" s="7">
        <f t="shared" si="4"/>
        <v>0</v>
      </c>
      <c r="J88" s="7">
        <f t="shared" si="5"/>
        <v>0</v>
      </c>
      <c r="K88" s="69">
        <f t="shared" si="6"/>
        <v>-247182.74647887322</v>
      </c>
    </row>
    <row r="89" spans="1:11" x14ac:dyDescent="0.25">
      <c r="A89" s="37">
        <f>Données!A86</f>
        <v>5539</v>
      </c>
      <c r="B89" s="126" t="str">
        <f>Données!B86</f>
        <v>Vuarrens</v>
      </c>
      <c r="C89" s="7">
        <f>Données!Z86</f>
        <v>1120</v>
      </c>
      <c r="D89" s="7">
        <f t="shared" si="4"/>
        <v>1000</v>
      </c>
      <c r="E89" s="150">
        <f t="shared" si="4"/>
        <v>120</v>
      </c>
      <c r="F89" s="7">
        <f t="shared" si="4"/>
        <v>0</v>
      </c>
      <c r="G89" s="150">
        <f t="shared" si="4"/>
        <v>0</v>
      </c>
      <c r="H89" s="30">
        <f t="shared" si="4"/>
        <v>0</v>
      </c>
      <c r="I89" s="7">
        <f t="shared" si="4"/>
        <v>0</v>
      </c>
      <c r="J89" s="7">
        <f t="shared" si="5"/>
        <v>0</v>
      </c>
      <c r="K89" s="69">
        <f t="shared" si="6"/>
        <v>-177584.50704225351</v>
      </c>
    </row>
    <row r="90" spans="1:11" x14ac:dyDescent="0.25">
      <c r="A90" s="37">
        <f>Données!A87</f>
        <v>5540</v>
      </c>
      <c r="B90" s="126" t="str">
        <f>Données!B87</f>
        <v>Montilliez</v>
      </c>
      <c r="C90" s="7">
        <f>Données!Z87</f>
        <v>1874</v>
      </c>
      <c r="D90" s="7">
        <f t="shared" si="4"/>
        <v>1000</v>
      </c>
      <c r="E90" s="150">
        <f t="shared" si="4"/>
        <v>874</v>
      </c>
      <c r="F90" s="7">
        <f t="shared" si="4"/>
        <v>0</v>
      </c>
      <c r="G90" s="150">
        <f t="shared" si="4"/>
        <v>0</v>
      </c>
      <c r="H90" s="30">
        <f t="shared" si="4"/>
        <v>0</v>
      </c>
      <c r="I90" s="7">
        <f t="shared" si="4"/>
        <v>0</v>
      </c>
      <c r="J90" s="7">
        <f t="shared" si="5"/>
        <v>0</v>
      </c>
      <c r="K90" s="69">
        <f t="shared" si="6"/>
        <v>-458210.56338028162</v>
      </c>
    </row>
    <row r="91" spans="1:11" x14ac:dyDescent="0.25">
      <c r="A91" s="37">
        <f>Données!A88</f>
        <v>5541</v>
      </c>
      <c r="B91" s="126" t="str">
        <f>Données!B88</f>
        <v>Goumoëns</v>
      </c>
      <c r="C91" s="7">
        <f>Données!Z88</f>
        <v>1211</v>
      </c>
      <c r="D91" s="7">
        <f t="shared" si="4"/>
        <v>1000</v>
      </c>
      <c r="E91" s="150">
        <f t="shared" si="4"/>
        <v>211</v>
      </c>
      <c r="F91" s="7">
        <f t="shared" si="4"/>
        <v>0</v>
      </c>
      <c r="G91" s="150">
        <f t="shared" si="4"/>
        <v>0</v>
      </c>
      <c r="H91" s="30">
        <f t="shared" si="4"/>
        <v>0</v>
      </c>
      <c r="I91" s="7">
        <f t="shared" si="4"/>
        <v>0</v>
      </c>
      <c r="J91" s="7">
        <f t="shared" si="5"/>
        <v>0</v>
      </c>
      <c r="K91" s="69">
        <f t="shared" si="6"/>
        <v>-211453.1690140845</v>
      </c>
    </row>
    <row r="92" spans="1:11" x14ac:dyDescent="0.25">
      <c r="A92" s="37">
        <f>Données!A89</f>
        <v>5551</v>
      </c>
      <c r="B92" s="126" t="str">
        <f>Données!B89</f>
        <v>Bonvillars</v>
      </c>
      <c r="C92" s="7">
        <f>Données!Z89</f>
        <v>518</v>
      </c>
      <c r="D92" s="7">
        <f t="shared" si="4"/>
        <v>518</v>
      </c>
      <c r="E92" s="150">
        <f t="shared" si="4"/>
        <v>0</v>
      </c>
      <c r="F92" s="7">
        <f t="shared" si="4"/>
        <v>0</v>
      </c>
      <c r="G92" s="150">
        <f t="shared" si="4"/>
        <v>0</v>
      </c>
      <c r="H92" s="30">
        <f t="shared" si="4"/>
        <v>0</v>
      </c>
      <c r="I92" s="7">
        <f t="shared" si="4"/>
        <v>0</v>
      </c>
      <c r="J92" s="7">
        <f t="shared" si="5"/>
        <v>0</v>
      </c>
      <c r="K92" s="69">
        <f t="shared" si="6"/>
        <v>-68853.873239436609</v>
      </c>
    </row>
    <row r="93" spans="1:11" x14ac:dyDescent="0.25">
      <c r="A93" s="37">
        <f>Données!A90</f>
        <v>5552</v>
      </c>
      <c r="B93" s="126" t="str">
        <f>Données!B90</f>
        <v>Bullet</v>
      </c>
      <c r="C93" s="7">
        <f>Données!Z90</f>
        <v>682</v>
      </c>
      <c r="D93" s="7">
        <f t="shared" si="4"/>
        <v>682</v>
      </c>
      <c r="E93" s="150">
        <f t="shared" si="4"/>
        <v>0</v>
      </c>
      <c r="F93" s="7">
        <f t="shared" si="4"/>
        <v>0</v>
      </c>
      <c r="G93" s="150">
        <f t="shared" si="4"/>
        <v>0</v>
      </c>
      <c r="H93" s="30">
        <f t="shared" si="4"/>
        <v>0</v>
      </c>
      <c r="I93" s="7">
        <f t="shared" si="4"/>
        <v>0</v>
      </c>
      <c r="J93" s="7">
        <f t="shared" si="5"/>
        <v>0</v>
      </c>
      <c r="K93" s="69">
        <f t="shared" si="6"/>
        <v>-90653.169014084488</v>
      </c>
    </row>
    <row r="94" spans="1:11" x14ac:dyDescent="0.25">
      <c r="A94" s="37">
        <f>Données!A91</f>
        <v>5553</v>
      </c>
      <c r="B94" s="126" t="str">
        <f>Données!B91</f>
        <v>Champagne</v>
      </c>
      <c r="C94" s="7">
        <f>Données!Z91</f>
        <v>1071</v>
      </c>
      <c r="D94" s="7">
        <f t="shared" si="4"/>
        <v>1000</v>
      </c>
      <c r="E94" s="150">
        <f t="shared" si="4"/>
        <v>71</v>
      </c>
      <c r="F94" s="7">
        <f t="shared" si="4"/>
        <v>0</v>
      </c>
      <c r="G94" s="150">
        <f t="shared" si="4"/>
        <v>0</v>
      </c>
      <c r="H94" s="30">
        <f t="shared" si="4"/>
        <v>0</v>
      </c>
      <c r="I94" s="7">
        <f t="shared" si="4"/>
        <v>0</v>
      </c>
      <c r="J94" s="7">
        <f t="shared" si="5"/>
        <v>0</v>
      </c>
      <c r="K94" s="69">
        <f t="shared" si="6"/>
        <v>-159347.53521126759</v>
      </c>
    </row>
    <row r="95" spans="1:11" x14ac:dyDescent="0.25">
      <c r="A95" s="37">
        <f>Données!A92</f>
        <v>5554</v>
      </c>
      <c r="B95" s="126" t="str">
        <f>Données!B92</f>
        <v>Concise</v>
      </c>
      <c r="C95" s="7">
        <f>Données!Z92</f>
        <v>1025</v>
      </c>
      <c r="D95" s="7">
        <f t="shared" si="4"/>
        <v>1000</v>
      </c>
      <c r="E95" s="150">
        <f t="shared" si="4"/>
        <v>25</v>
      </c>
      <c r="F95" s="7">
        <f t="shared" si="4"/>
        <v>0</v>
      </c>
      <c r="G95" s="150">
        <f t="shared" si="4"/>
        <v>0</v>
      </c>
      <c r="H95" s="30">
        <f t="shared" si="4"/>
        <v>0</v>
      </c>
      <c r="I95" s="7">
        <f t="shared" si="4"/>
        <v>0</v>
      </c>
      <c r="J95" s="7">
        <f t="shared" si="5"/>
        <v>0</v>
      </c>
      <c r="K95" s="69">
        <f t="shared" si="6"/>
        <v>-142227.11267605633</v>
      </c>
    </row>
    <row r="96" spans="1:11" x14ac:dyDescent="0.25">
      <c r="A96" s="37">
        <f>Données!A93</f>
        <v>5555</v>
      </c>
      <c r="B96" s="126" t="str">
        <f>Données!B93</f>
        <v>Corcelles-près-Concise</v>
      </c>
      <c r="C96" s="7">
        <f>Données!Z93</f>
        <v>438</v>
      </c>
      <c r="D96" s="7">
        <f t="shared" si="4"/>
        <v>438</v>
      </c>
      <c r="E96" s="150">
        <f t="shared" si="4"/>
        <v>0</v>
      </c>
      <c r="F96" s="7">
        <f t="shared" si="4"/>
        <v>0</v>
      </c>
      <c r="G96" s="150">
        <f t="shared" si="4"/>
        <v>0</v>
      </c>
      <c r="H96" s="30">
        <f t="shared" si="4"/>
        <v>0</v>
      </c>
      <c r="I96" s="7">
        <f t="shared" si="4"/>
        <v>0</v>
      </c>
      <c r="J96" s="7">
        <f t="shared" si="5"/>
        <v>0</v>
      </c>
      <c r="K96" s="69">
        <f t="shared" si="6"/>
        <v>-58220.070422535202</v>
      </c>
    </row>
    <row r="97" spans="1:11" x14ac:dyDescent="0.25">
      <c r="A97" s="37">
        <f>Données!A94</f>
        <v>5556</v>
      </c>
      <c r="B97" s="126" t="str">
        <f>Données!B94</f>
        <v>Fiez</v>
      </c>
      <c r="C97" s="7">
        <f>Données!Z94</f>
        <v>431</v>
      </c>
      <c r="D97" s="7">
        <f t="shared" si="4"/>
        <v>431</v>
      </c>
      <c r="E97" s="150">
        <f t="shared" si="4"/>
        <v>0</v>
      </c>
      <c r="F97" s="7">
        <f t="shared" si="4"/>
        <v>0</v>
      </c>
      <c r="G97" s="150">
        <f t="shared" si="4"/>
        <v>0</v>
      </c>
      <c r="H97" s="30">
        <f t="shared" si="4"/>
        <v>0</v>
      </c>
      <c r="I97" s="7">
        <f t="shared" si="4"/>
        <v>0</v>
      </c>
      <c r="J97" s="7">
        <f t="shared" si="5"/>
        <v>0</v>
      </c>
      <c r="K97" s="69">
        <f t="shared" si="6"/>
        <v>-57289.612676056327</v>
      </c>
    </row>
    <row r="98" spans="1:11" x14ac:dyDescent="0.25">
      <c r="A98" s="37">
        <f>Données!A95</f>
        <v>5557</v>
      </c>
      <c r="B98" s="126" t="str">
        <f>Données!B95</f>
        <v>Fontaines-sur-Grandson</v>
      </c>
      <c r="C98" s="7">
        <f>Données!Z95</f>
        <v>220</v>
      </c>
      <c r="D98" s="7">
        <f t="shared" si="4"/>
        <v>220</v>
      </c>
      <c r="E98" s="150">
        <f t="shared" si="4"/>
        <v>0</v>
      </c>
      <c r="F98" s="7">
        <f t="shared" si="4"/>
        <v>0</v>
      </c>
      <c r="G98" s="150">
        <f t="shared" si="4"/>
        <v>0</v>
      </c>
      <c r="H98" s="30">
        <f t="shared" si="4"/>
        <v>0</v>
      </c>
      <c r="I98" s="7">
        <f t="shared" si="4"/>
        <v>0</v>
      </c>
      <c r="J98" s="7">
        <f t="shared" si="5"/>
        <v>0</v>
      </c>
      <c r="K98" s="69">
        <f t="shared" si="6"/>
        <v>-29242.957746478867</v>
      </c>
    </row>
    <row r="99" spans="1:11" x14ac:dyDescent="0.25">
      <c r="A99" s="37">
        <f>Données!A96</f>
        <v>5559</v>
      </c>
      <c r="B99" s="126" t="str">
        <f>Données!B96</f>
        <v>Giez</v>
      </c>
      <c r="C99" s="7">
        <f>Données!Z96</f>
        <v>464</v>
      </c>
      <c r="D99" s="7">
        <f t="shared" si="4"/>
        <v>464</v>
      </c>
      <c r="E99" s="150">
        <f t="shared" si="4"/>
        <v>0</v>
      </c>
      <c r="F99" s="7">
        <f t="shared" si="4"/>
        <v>0</v>
      </c>
      <c r="G99" s="150">
        <f t="shared" si="4"/>
        <v>0</v>
      </c>
      <c r="H99" s="30">
        <f t="shared" si="4"/>
        <v>0</v>
      </c>
      <c r="I99" s="7">
        <f t="shared" si="4"/>
        <v>0</v>
      </c>
      <c r="J99" s="7">
        <f t="shared" si="5"/>
        <v>0</v>
      </c>
      <c r="K99" s="69">
        <f t="shared" si="6"/>
        <v>-61676.05633802816</v>
      </c>
    </row>
    <row r="100" spans="1:11" x14ac:dyDescent="0.25">
      <c r="A100" s="37">
        <f>Données!A97</f>
        <v>5560</v>
      </c>
      <c r="B100" s="126" t="str">
        <f>Données!B97</f>
        <v>Grandevent</v>
      </c>
      <c r="C100" s="7">
        <f>Données!Z97</f>
        <v>241</v>
      </c>
      <c r="D100" s="7">
        <f t="shared" si="4"/>
        <v>241</v>
      </c>
      <c r="E100" s="150">
        <f t="shared" si="4"/>
        <v>0</v>
      </c>
      <c r="F100" s="7">
        <f t="shared" si="4"/>
        <v>0</v>
      </c>
      <c r="G100" s="150">
        <f t="shared" si="4"/>
        <v>0</v>
      </c>
      <c r="H100" s="30">
        <f t="shared" si="4"/>
        <v>0</v>
      </c>
      <c r="I100" s="7">
        <f t="shared" si="4"/>
        <v>0</v>
      </c>
      <c r="J100" s="7">
        <f t="shared" si="5"/>
        <v>0</v>
      </c>
      <c r="K100" s="69">
        <f t="shared" si="6"/>
        <v>-32034.330985915487</v>
      </c>
    </row>
    <row r="101" spans="1:11" x14ac:dyDescent="0.25">
      <c r="A101" s="37">
        <f>Données!A98</f>
        <v>5561</v>
      </c>
      <c r="B101" s="126" t="str">
        <f>Données!B98</f>
        <v>Grandson</v>
      </c>
      <c r="C101" s="7">
        <f>Données!Z98</f>
        <v>3396</v>
      </c>
      <c r="D101" s="7">
        <f t="shared" si="4"/>
        <v>1000</v>
      </c>
      <c r="E101" s="150">
        <f t="shared" si="4"/>
        <v>2000</v>
      </c>
      <c r="F101" s="7">
        <f t="shared" si="4"/>
        <v>396</v>
      </c>
      <c r="G101" s="150">
        <f t="shared" si="4"/>
        <v>0</v>
      </c>
      <c r="H101" s="30">
        <f t="shared" si="4"/>
        <v>0</v>
      </c>
      <c r="I101" s="7">
        <f t="shared" si="4"/>
        <v>0</v>
      </c>
      <c r="J101" s="7">
        <f t="shared" si="5"/>
        <v>0</v>
      </c>
      <c r="K101" s="69">
        <f t="shared" si="6"/>
        <v>-1087838.028169014</v>
      </c>
    </row>
    <row r="102" spans="1:11" x14ac:dyDescent="0.25">
      <c r="A102" s="37">
        <f>Données!A99</f>
        <v>5562</v>
      </c>
      <c r="B102" s="126" t="str">
        <f>Données!B99</f>
        <v>Mauborget</v>
      </c>
      <c r="C102" s="7">
        <f>Données!Z99</f>
        <v>145</v>
      </c>
      <c r="D102" s="7">
        <f t="shared" si="4"/>
        <v>145</v>
      </c>
      <c r="E102" s="150">
        <f t="shared" si="4"/>
        <v>0</v>
      </c>
      <c r="F102" s="7">
        <f t="shared" si="4"/>
        <v>0</v>
      </c>
      <c r="G102" s="150">
        <f t="shared" si="4"/>
        <v>0</v>
      </c>
      <c r="H102" s="30">
        <f t="shared" si="4"/>
        <v>0</v>
      </c>
      <c r="I102" s="7">
        <f t="shared" si="4"/>
        <v>0</v>
      </c>
      <c r="J102" s="7">
        <f t="shared" si="5"/>
        <v>0</v>
      </c>
      <c r="K102" s="69">
        <f t="shared" si="6"/>
        <v>-19273.767605633799</v>
      </c>
    </row>
    <row r="103" spans="1:11" x14ac:dyDescent="0.25">
      <c r="A103" s="37">
        <f>Données!A100</f>
        <v>5563</v>
      </c>
      <c r="B103" s="126" t="str">
        <f>Données!B100</f>
        <v>Mutrux</v>
      </c>
      <c r="C103" s="7">
        <f>Données!Z100</f>
        <v>144</v>
      </c>
      <c r="D103" s="7">
        <f t="shared" si="4"/>
        <v>144</v>
      </c>
      <c r="E103" s="150">
        <f t="shared" si="4"/>
        <v>0</v>
      </c>
      <c r="F103" s="7">
        <f t="shared" si="4"/>
        <v>0</v>
      </c>
      <c r="G103" s="150">
        <f t="shared" si="4"/>
        <v>0</v>
      </c>
      <c r="H103" s="30">
        <f t="shared" si="4"/>
        <v>0</v>
      </c>
      <c r="I103" s="7">
        <f t="shared" si="4"/>
        <v>0</v>
      </c>
      <c r="J103" s="7">
        <f t="shared" si="5"/>
        <v>0</v>
      </c>
      <c r="K103" s="69">
        <f t="shared" si="6"/>
        <v>-19140.845070422532</v>
      </c>
    </row>
    <row r="104" spans="1:11" x14ac:dyDescent="0.25">
      <c r="A104" s="37">
        <f>Données!A101</f>
        <v>5564</v>
      </c>
      <c r="B104" s="126" t="str">
        <f>Données!B101</f>
        <v>Novalles</v>
      </c>
      <c r="C104" s="7">
        <f>Données!Z101</f>
        <v>106</v>
      </c>
      <c r="D104" s="7">
        <f t="shared" si="4"/>
        <v>106</v>
      </c>
      <c r="E104" s="150">
        <f t="shared" si="4"/>
        <v>0</v>
      </c>
      <c r="F104" s="7">
        <f t="shared" si="4"/>
        <v>0</v>
      </c>
      <c r="G104" s="150">
        <f t="shared" si="4"/>
        <v>0</v>
      </c>
      <c r="H104" s="30">
        <f t="shared" si="4"/>
        <v>0</v>
      </c>
      <c r="I104" s="7">
        <f t="shared" si="4"/>
        <v>0</v>
      </c>
      <c r="J104" s="7">
        <f t="shared" si="5"/>
        <v>0</v>
      </c>
      <c r="K104" s="69">
        <f t="shared" si="6"/>
        <v>-14089.788732394365</v>
      </c>
    </row>
    <row r="105" spans="1:11" x14ac:dyDescent="0.25">
      <c r="A105" s="37">
        <f>Données!A102</f>
        <v>5565</v>
      </c>
      <c r="B105" s="126" t="str">
        <f>Données!B102</f>
        <v>Onnens</v>
      </c>
      <c r="C105" s="7">
        <f>Données!Z102</f>
        <v>520</v>
      </c>
      <c r="D105" s="7">
        <f t="shared" si="4"/>
        <v>520</v>
      </c>
      <c r="E105" s="150">
        <f t="shared" si="4"/>
        <v>0</v>
      </c>
      <c r="F105" s="7">
        <f t="shared" si="4"/>
        <v>0</v>
      </c>
      <c r="G105" s="150">
        <f t="shared" si="4"/>
        <v>0</v>
      </c>
      <c r="H105" s="30">
        <f t="shared" si="4"/>
        <v>0</v>
      </c>
      <c r="I105" s="7">
        <f t="shared" si="4"/>
        <v>0</v>
      </c>
      <c r="J105" s="7">
        <f t="shared" si="5"/>
        <v>0</v>
      </c>
      <c r="K105" s="69">
        <f t="shared" si="6"/>
        <v>-69119.718309859149</v>
      </c>
    </row>
    <row r="106" spans="1:11" x14ac:dyDescent="0.25">
      <c r="A106" s="37">
        <f>Données!A103</f>
        <v>5566</v>
      </c>
      <c r="B106" s="126" t="str">
        <f>Données!B103</f>
        <v>Provence</v>
      </c>
      <c r="C106" s="7">
        <f>Données!Z103</f>
        <v>411</v>
      </c>
      <c r="D106" s="7">
        <f t="shared" si="4"/>
        <v>411</v>
      </c>
      <c r="E106" s="150">
        <f t="shared" si="4"/>
        <v>0</v>
      </c>
      <c r="F106" s="7">
        <f t="shared" si="4"/>
        <v>0</v>
      </c>
      <c r="G106" s="150">
        <f t="shared" si="4"/>
        <v>0</v>
      </c>
      <c r="H106" s="30">
        <f t="shared" si="4"/>
        <v>0</v>
      </c>
      <c r="I106" s="7">
        <f t="shared" si="4"/>
        <v>0</v>
      </c>
      <c r="J106" s="7">
        <f t="shared" si="5"/>
        <v>0</v>
      </c>
      <c r="K106" s="69">
        <f t="shared" si="6"/>
        <v>-54631.161971830981</v>
      </c>
    </row>
    <row r="107" spans="1:11" x14ac:dyDescent="0.25">
      <c r="A107" s="37">
        <f>Données!A104</f>
        <v>5568</v>
      </c>
      <c r="B107" s="126" t="str">
        <f>Données!B104</f>
        <v>Sainte-Croix</v>
      </c>
      <c r="C107" s="7">
        <f>Données!Z104</f>
        <v>5130</v>
      </c>
      <c r="D107" s="7">
        <f t="shared" si="4"/>
        <v>1000</v>
      </c>
      <c r="E107" s="150">
        <f t="shared" si="4"/>
        <v>2000</v>
      </c>
      <c r="F107" s="7">
        <f t="shared" si="4"/>
        <v>2000</v>
      </c>
      <c r="G107" s="150">
        <f t="shared" ref="E107:I158" si="7">IF($C107&gt;G$5,IF($C107&lt;G$6,$C107-G$5,G$6-G$5),0)</f>
        <v>130</v>
      </c>
      <c r="H107" s="30">
        <f t="shared" si="7"/>
        <v>0</v>
      </c>
      <c r="I107" s="7">
        <f t="shared" si="7"/>
        <v>0</v>
      </c>
      <c r="J107" s="7">
        <f t="shared" si="5"/>
        <v>0</v>
      </c>
      <c r="K107" s="69">
        <f t="shared" si="6"/>
        <v>-2023612.6760563378</v>
      </c>
    </row>
    <row r="108" spans="1:11" x14ac:dyDescent="0.25">
      <c r="A108" s="37">
        <f>Données!A105</f>
        <v>5571</v>
      </c>
      <c r="B108" s="126" t="str">
        <f>Données!B105</f>
        <v>Tévenon</v>
      </c>
      <c r="C108" s="7">
        <f>Données!Z105</f>
        <v>861</v>
      </c>
      <c r="D108" s="7">
        <f t="shared" ref="D108:D171" si="8">IF($C108&gt;D$5,IF($C108&lt;D$6,$C108-D$5,D$6-D$5),0)</f>
        <v>861</v>
      </c>
      <c r="E108" s="150">
        <f t="shared" si="7"/>
        <v>0</v>
      </c>
      <c r="F108" s="7">
        <f t="shared" si="7"/>
        <v>0</v>
      </c>
      <c r="G108" s="150">
        <f t="shared" si="7"/>
        <v>0</v>
      </c>
      <c r="H108" s="30">
        <f t="shared" si="7"/>
        <v>0</v>
      </c>
      <c r="I108" s="7">
        <f t="shared" si="7"/>
        <v>0</v>
      </c>
      <c r="J108" s="7">
        <f t="shared" si="5"/>
        <v>0</v>
      </c>
      <c r="K108" s="69">
        <f t="shared" si="6"/>
        <v>-114446.30281690139</v>
      </c>
    </row>
    <row r="109" spans="1:11" x14ac:dyDescent="0.25">
      <c r="A109" s="37">
        <f>Données!A106</f>
        <v>5581</v>
      </c>
      <c r="B109" s="126" t="str">
        <f>Données!B106</f>
        <v>Belmont-sur-Lausanne</v>
      </c>
      <c r="C109" s="7">
        <f>Données!Z106</f>
        <v>3922</v>
      </c>
      <c r="D109" s="7">
        <f t="shared" si="8"/>
        <v>1000</v>
      </c>
      <c r="E109" s="150">
        <f t="shared" si="7"/>
        <v>2000</v>
      </c>
      <c r="F109" s="7">
        <f t="shared" si="7"/>
        <v>922</v>
      </c>
      <c r="G109" s="150">
        <f t="shared" si="7"/>
        <v>0</v>
      </c>
      <c r="H109" s="30">
        <f t="shared" si="7"/>
        <v>0</v>
      </c>
      <c r="I109" s="7">
        <f t="shared" si="7"/>
        <v>0</v>
      </c>
      <c r="J109" s="7">
        <f t="shared" si="5"/>
        <v>0</v>
      </c>
      <c r="K109" s="69">
        <f t="shared" si="6"/>
        <v>-1367507.0422535208</v>
      </c>
    </row>
    <row r="110" spans="1:11" x14ac:dyDescent="0.25">
      <c r="A110" s="37">
        <f>Données!A107</f>
        <v>5582</v>
      </c>
      <c r="B110" s="126" t="str">
        <f>Données!B107</f>
        <v>Cheseaux-sur-Lausanne</v>
      </c>
      <c r="C110" s="7">
        <f>Données!Z107</f>
        <v>4855</v>
      </c>
      <c r="D110" s="7">
        <f t="shared" si="8"/>
        <v>1000</v>
      </c>
      <c r="E110" s="150">
        <f t="shared" si="7"/>
        <v>2000</v>
      </c>
      <c r="F110" s="7">
        <f t="shared" si="7"/>
        <v>1855</v>
      </c>
      <c r="G110" s="150">
        <f t="shared" si="7"/>
        <v>0</v>
      </c>
      <c r="H110" s="30">
        <f t="shared" si="7"/>
        <v>0</v>
      </c>
      <c r="I110" s="7">
        <f t="shared" si="7"/>
        <v>0</v>
      </c>
      <c r="J110" s="7">
        <f t="shared" si="5"/>
        <v>0</v>
      </c>
      <c r="K110" s="69">
        <f t="shared" si="6"/>
        <v>-1863573.9436619715</v>
      </c>
    </row>
    <row r="111" spans="1:11" x14ac:dyDescent="0.25">
      <c r="A111" s="37">
        <f>Données!A108</f>
        <v>5583</v>
      </c>
      <c r="B111" s="126" t="str">
        <f>Données!B108</f>
        <v>Crissier</v>
      </c>
      <c r="C111" s="7">
        <f>Données!Z108</f>
        <v>10680</v>
      </c>
      <c r="D111" s="7">
        <f t="shared" si="8"/>
        <v>1000</v>
      </c>
      <c r="E111" s="150">
        <f t="shared" si="7"/>
        <v>2000</v>
      </c>
      <c r="F111" s="7">
        <f t="shared" si="7"/>
        <v>2000</v>
      </c>
      <c r="G111" s="150">
        <f t="shared" si="7"/>
        <v>4000</v>
      </c>
      <c r="H111" s="30">
        <f t="shared" si="7"/>
        <v>1680</v>
      </c>
      <c r="I111" s="7">
        <f t="shared" si="7"/>
        <v>0</v>
      </c>
      <c r="J111" s="7">
        <f t="shared" si="5"/>
        <v>0</v>
      </c>
      <c r="K111" s="69">
        <f t="shared" si="6"/>
        <v>-6011288.7323943665</v>
      </c>
    </row>
    <row r="112" spans="1:11" x14ac:dyDescent="0.25">
      <c r="A112" s="37">
        <f>Données!A109</f>
        <v>5584</v>
      </c>
      <c r="B112" s="126" t="str">
        <f>Données!B109</f>
        <v>Epalinges</v>
      </c>
      <c r="C112" s="7">
        <f>Données!Z109</f>
        <v>9905</v>
      </c>
      <c r="D112" s="7">
        <f t="shared" si="8"/>
        <v>1000</v>
      </c>
      <c r="E112" s="150">
        <f t="shared" si="7"/>
        <v>2000</v>
      </c>
      <c r="F112" s="7">
        <f t="shared" si="7"/>
        <v>2000</v>
      </c>
      <c r="G112" s="150">
        <f t="shared" si="7"/>
        <v>4000</v>
      </c>
      <c r="H112" s="30">
        <f t="shared" si="7"/>
        <v>905</v>
      </c>
      <c r="I112" s="7">
        <f t="shared" si="7"/>
        <v>0</v>
      </c>
      <c r="J112" s="7">
        <f t="shared" si="5"/>
        <v>0</v>
      </c>
      <c r="K112" s="69">
        <f t="shared" si="6"/>
        <v>-5310786.9718309864</v>
      </c>
    </row>
    <row r="113" spans="1:11" x14ac:dyDescent="0.25">
      <c r="A113" s="37">
        <f>Données!A110</f>
        <v>5585</v>
      </c>
      <c r="B113" s="126" t="str">
        <f>Données!B110</f>
        <v>Jouxtens-Mézery</v>
      </c>
      <c r="C113" s="7">
        <f>Données!Z110</f>
        <v>1482</v>
      </c>
      <c r="D113" s="7">
        <f t="shared" si="8"/>
        <v>1000</v>
      </c>
      <c r="E113" s="150">
        <f t="shared" si="7"/>
        <v>482</v>
      </c>
      <c r="F113" s="7">
        <f t="shared" si="7"/>
        <v>0</v>
      </c>
      <c r="G113" s="150">
        <f t="shared" si="7"/>
        <v>0</v>
      </c>
      <c r="H113" s="30">
        <f t="shared" si="7"/>
        <v>0</v>
      </c>
      <c r="I113" s="7">
        <f t="shared" si="7"/>
        <v>0</v>
      </c>
      <c r="J113" s="7">
        <f t="shared" si="5"/>
        <v>0</v>
      </c>
      <c r="K113" s="69">
        <f t="shared" si="6"/>
        <v>-312314.78873239434</v>
      </c>
    </row>
    <row r="114" spans="1:11" x14ac:dyDescent="0.25">
      <c r="A114" s="37">
        <f>Données!A111</f>
        <v>5586</v>
      </c>
      <c r="B114" s="126" t="str">
        <f>Données!B111</f>
        <v>Lausanne</v>
      </c>
      <c r="C114" s="7">
        <f>Données!Z111</f>
        <v>145037</v>
      </c>
      <c r="D114" s="7">
        <f t="shared" si="8"/>
        <v>1000</v>
      </c>
      <c r="E114" s="150">
        <f t="shared" si="7"/>
        <v>2000</v>
      </c>
      <c r="F114" s="7">
        <f t="shared" si="7"/>
        <v>2000</v>
      </c>
      <c r="G114" s="150">
        <f t="shared" si="7"/>
        <v>4000</v>
      </c>
      <c r="H114" s="30">
        <f t="shared" si="7"/>
        <v>3000</v>
      </c>
      <c r="I114" s="7">
        <f t="shared" si="7"/>
        <v>3000</v>
      </c>
      <c r="J114" s="7">
        <f t="shared" si="5"/>
        <v>130037</v>
      </c>
      <c r="K114" s="69">
        <f t="shared" si="6"/>
        <v>-155587263.02816901</v>
      </c>
    </row>
    <row r="115" spans="1:11" x14ac:dyDescent="0.25">
      <c r="A115" s="37">
        <f>Données!A112</f>
        <v>5587</v>
      </c>
      <c r="B115" s="126" t="str">
        <f>Données!B112</f>
        <v>Le Mont-sur-Lausanne</v>
      </c>
      <c r="C115" s="7">
        <f>Données!Z112</f>
        <v>9543</v>
      </c>
      <c r="D115" s="7">
        <f t="shared" si="8"/>
        <v>1000</v>
      </c>
      <c r="E115" s="150">
        <f t="shared" si="7"/>
        <v>2000</v>
      </c>
      <c r="F115" s="7">
        <f t="shared" si="7"/>
        <v>2000</v>
      </c>
      <c r="G115" s="150">
        <f t="shared" si="7"/>
        <v>4000</v>
      </c>
      <c r="H115" s="30">
        <f t="shared" si="7"/>
        <v>543</v>
      </c>
      <c r="I115" s="7">
        <f t="shared" si="7"/>
        <v>0</v>
      </c>
      <c r="J115" s="7">
        <f t="shared" si="5"/>
        <v>0</v>
      </c>
      <c r="K115" s="69">
        <f t="shared" si="6"/>
        <v>-4983584.8591549294</v>
      </c>
    </row>
    <row r="116" spans="1:11" x14ac:dyDescent="0.25">
      <c r="A116" s="37">
        <f>Données!A113</f>
        <v>5588</v>
      </c>
      <c r="B116" s="126" t="str">
        <f>Données!B113</f>
        <v>Paudex</v>
      </c>
      <c r="C116" s="7">
        <f>Données!Z113</f>
        <v>1512</v>
      </c>
      <c r="D116" s="7">
        <f t="shared" si="8"/>
        <v>1000</v>
      </c>
      <c r="E116" s="150">
        <f t="shared" si="7"/>
        <v>512</v>
      </c>
      <c r="F116" s="7">
        <f t="shared" si="7"/>
        <v>0</v>
      </c>
      <c r="G116" s="150">
        <f t="shared" si="7"/>
        <v>0</v>
      </c>
      <c r="H116" s="30">
        <f t="shared" si="7"/>
        <v>0</v>
      </c>
      <c r="I116" s="7">
        <f t="shared" si="7"/>
        <v>0</v>
      </c>
      <c r="J116" s="7">
        <f t="shared" si="5"/>
        <v>0</v>
      </c>
      <c r="K116" s="69">
        <f t="shared" si="6"/>
        <v>-323480.28169014084</v>
      </c>
    </row>
    <row r="117" spans="1:11" x14ac:dyDescent="0.25">
      <c r="A117" s="37">
        <f>Données!A114</f>
        <v>5589</v>
      </c>
      <c r="B117" s="126" t="str">
        <f>Données!B114</f>
        <v>Prilly</v>
      </c>
      <c r="C117" s="7">
        <f>Données!Z114</f>
        <v>12766</v>
      </c>
      <c r="D117" s="7">
        <f t="shared" si="8"/>
        <v>1000</v>
      </c>
      <c r="E117" s="150">
        <f t="shared" si="7"/>
        <v>2000</v>
      </c>
      <c r="F117" s="7">
        <f t="shared" si="7"/>
        <v>2000</v>
      </c>
      <c r="G117" s="150">
        <f t="shared" si="7"/>
        <v>4000</v>
      </c>
      <c r="H117" s="30">
        <f t="shared" si="7"/>
        <v>3000</v>
      </c>
      <c r="I117" s="7">
        <f t="shared" si="7"/>
        <v>766</v>
      </c>
      <c r="J117" s="7">
        <f t="shared" si="5"/>
        <v>0</v>
      </c>
      <c r="K117" s="69">
        <f t="shared" si="6"/>
        <v>-8018950.704225352</v>
      </c>
    </row>
    <row r="118" spans="1:11" x14ac:dyDescent="0.25">
      <c r="A118" s="37">
        <f>Données!A115</f>
        <v>5590</v>
      </c>
      <c r="B118" s="126" t="str">
        <f>Données!B115</f>
        <v>Pully</v>
      </c>
      <c r="C118" s="7">
        <f>Données!Z115</f>
        <v>19545</v>
      </c>
      <c r="D118" s="7">
        <f t="shared" si="8"/>
        <v>1000</v>
      </c>
      <c r="E118" s="150">
        <f t="shared" si="7"/>
        <v>2000</v>
      </c>
      <c r="F118" s="7">
        <f t="shared" si="7"/>
        <v>2000</v>
      </c>
      <c r="G118" s="150">
        <f t="shared" si="7"/>
        <v>4000</v>
      </c>
      <c r="H118" s="30">
        <f t="shared" si="7"/>
        <v>3000</v>
      </c>
      <c r="I118" s="7">
        <f t="shared" si="7"/>
        <v>3000</v>
      </c>
      <c r="J118" s="7">
        <f t="shared" si="5"/>
        <v>4545</v>
      </c>
      <c r="K118" s="69">
        <f t="shared" si="6"/>
        <v>-15469258.802816901</v>
      </c>
    </row>
    <row r="119" spans="1:11" x14ac:dyDescent="0.25">
      <c r="A119" s="37">
        <f>Données!A116</f>
        <v>5591</v>
      </c>
      <c r="B119" s="126" t="str">
        <f>Données!B116</f>
        <v>Renens</v>
      </c>
      <c r="C119" s="7">
        <f>Données!Z116</f>
        <v>21568</v>
      </c>
      <c r="D119" s="7">
        <f t="shared" si="8"/>
        <v>1000</v>
      </c>
      <c r="E119" s="150">
        <f t="shared" si="7"/>
        <v>2000</v>
      </c>
      <c r="F119" s="7">
        <f t="shared" si="7"/>
        <v>2000</v>
      </c>
      <c r="G119" s="150">
        <f t="shared" si="7"/>
        <v>4000</v>
      </c>
      <c r="H119" s="30">
        <f t="shared" si="7"/>
        <v>3000</v>
      </c>
      <c r="I119" s="7">
        <f t="shared" si="7"/>
        <v>3000</v>
      </c>
      <c r="J119" s="7">
        <f t="shared" si="5"/>
        <v>6568</v>
      </c>
      <c r="K119" s="69">
        <f t="shared" si="6"/>
        <v>-17728038.028169014</v>
      </c>
    </row>
    <row r="120" spans="1:11" x14ac:dyDescent="0.25">
      <c r="A120" s="37">
        <f>Données!A117</f>
        <v>5592</v>
      </c>
      <c r="B120" s="126" t="str">
        <f>Données!B117</f>
        <v>Romanel-sur-Lausanne</v>
      </c>
      <c r="C120" s="7">
        <f>Données!Z117</f>
        <v>4325</v>
      </c>
      <c r="D120" s="7">
        <f t="shared" si="8"/>
        <v>1000</v>
      </c>
      <c r="E120" s="150">
        <f t="shared" si="7"/>
        <v>2000</v>
      </c>
      <c r="F120" s="7">
        <f t="shared" si="7"/>
        <v>1325</v>
      </c>
      <c r="G120" s="150">
        <f t="shared" si="7"/>
        <v>0</v>
      </c>
      <c r="H120" s="30">
        <f t="shared" si="7"/>
        <v>0</v>
      </c>
      <c r="I120" s="7">
        <f t="shared" si="7"/>
        <v>0</v>
      </c>
      <c r="J120" s="7">
        <f t="shared" si="5"/>
        <v>0</v>
      </c>
      <c r="K120" s="69">
        <f t="shared" si="6"/>
        <v>-1581778.1690140842</v>
      </c>
    </row>
    <row r="121" spans="1:11" x14ac:dyDescent="0.25">
      <c r="A121" s="37">
        <f>Données!A118</f>
        <v>5601</v>
      </c>
      <c r="B121" s="126" t="str">
        <f>Données!B118</f>
        <v>Chexbres</v>
      </c>
      <c r="C121" s="7">
        <f>Données!Z118</f>
        <v>2263</v>
      </c>
      <c r="D121" s="7">
        <f t="shared" si="8"/>
        <v>1000</v>
      </c>
      <c r="E121" s="150">
        <f t="shared" si="7"/>
        <v>1263</v>
      </c>
      <c r="F121" s="7">
        <f t="shared" si="7"/>
        <v>0</v>
      </c>
      <c r="G121" s="150">
        <f t="shared" si="7"/>
        <v>0</v>
      </c>
      <c r="H121" s="30">
        <f t="shared" si="7"/>
        <v>0</v>
      </c>
      <c r="I121" s="7">
        <f t="shared" si="7"/>
        <v>0</v>
      </c>
      <c r="J121" s="7">
        <f t="shared" si="5"/>
        <v>0</v>
      </c>
      <c r="K121" s="69">
        <f t="shared" si="6"/>
        <v>-602989.78873239434</v>
      </c>
    </row>
    <row r="122" spans="1:11" x14ac:dyDescent="0.25">
      <c r="A122" s="37">
        <f>Données!A119</f>
        <v>5604</v>
      </c>
      <c r="B122" s="126" t="str">
        <f>Données!B119</f>
        <v>Forel (Lavaux)</v>
      </c>
      <c r="C122" s="7">
        <f>Données!Z119</f>
        <v>2088</v>
      </c>
      <c r="D122" s="7">
        <f t="shared" si="8"/>
        <v>1000</v>
      </c>
      <c r="E122" s="150">
        <f t="shared" si="7"/>
        <v>1088</v>
      </c>
      <c r="F122" s="7">
        <f t="shared" si="7"/>
        <v>0</v>
      </c>
      <c r="G122" s="150">
        <f t="shared" si="7"/>
        <v>0</v>
      </c>
      <c r="H122" s="30">
        <f t="shared" si="7"/>
        <v>0</v>
      </c>
      <c r="I122" s="7">
        <f t="shared" si="7"/>
        <v>0</v>
      </c>
      <c r="J122" s="7">
        <f t="shared" si="5"/>
        <v>0</v>
      </c>
      <c r="K122" s="69">
        <f t="shared" si="6"/>
        <v>-537857.74647887319</v>
      </c>
    </row>
    <row r="123" spans="1:11" x14ac:dyDescent="0.25">
      <c r="A123" s="37">
        <f>Données!A120</f>
        <v>5606</v>
      </c>
      <c r="B123" s="126" t="str">
        <f>Données!B120</f>
        <v>Lutry</v>
      </c>
      <c r="C123" s="7">
        <f>Données!Z120</f>
        <v>10750</v>
      </c>
      <c r="D123" s="7">
        <f t="shared" si="8"/>
        <v>1000</v>
      </c>
      <c r="E123" s="150">
        <f t="shared" si="7"/>
        <v>2000</v>
      </c>
      <c r="F123" s="7">
        <f t="shared" si="7"/>
        <v>2000</v>
      </c>
      <c r="G123" s="150">
        <f t="shared" si="7"/>
        <v>4000</v>
      </c>
      <c r="H123" s="30">
        <f t="shared" si="7"/>
        <v>1750</v>
      </c>
      <c r="I123" s="7">
        <f t="shared" si="7"/>
        <v>0</v>
      </c>
      <c r="J123" s="7">
        <f t="shared" si="5"/>
        <v>0</v>
      </c>
      <c r="K123" s="69">
        <f t="shared" si="6"/>
        <v>-6074559.8591549294</v>
      </c>
    </row>
    <row r="124" spans="1:11" x14ac:dyDescent="0.25">
      <c r="A124" s="37">
        <f>Données!A121</f>
        <v>5607</v>
      </c>
      <c r="B124" s="126" t="str">
        <f>Données!B121</f>
        <v>Puidoux</v>
      </c>
      <c r="C124" s="7">
        <f>Données!Z121</f>
        <v>2976</v>
      </c>
      <c r="D124" s="7">
        <f t="shared" si="8"/>
        <v>1000</v>
      </c>
      <c r="E124" s="150">
        <f t="shared" si="7"/>
        <v>1976</v>
      </c>
      <c r="F124" s="7">
        <f t="shared" si="7"/>
        <v>0</v>
      </c>
      <c r="G124" s="150">
        <f t="shared" si="7"/>
        <v>0</v>
      </c>
      <c r="H124" s="30">
        <f t="shared" si="7"/>
        <v>0</v>
      </c>
      <c r="I124" s="7">
        <f t="shared" si="7"/>
        <v>0</v>
      </c>
      <c r="J124" s="7">
        <f t="shared" si="5"/>
        <v>0</v>
      </c>
      <c r="K124" s="69">
        <f t="shared" si="6"/>
        <v>-868356.338028169</v>
      </c>
    </row>
    <row r="125" spans="1:11" x14ac:dyDescent="0.25">
      <c r="A125" s="37">
        <f>Données!A122</f>
        <v>5609</v>
      </c>
      <c r="B125" s="126" t="str">
        <f>Données!B122</f>
        <v>Rivaz</v>
      </c>
      <c r="C125" s="7">
        <f>Données!Z122</f>
        <v>329</v>
      </c>
      <c r="D125" s="7">
        <f t="shared" si="8"/>
        <v>329</v>
      </c>
      <c r="E125" s="150">
        <f t="shared" si="7"/>
        <v>0</v>
      </c>
      <c r="F125" s="7">
        <f t="shared" si="7"/>
        <v>0</v>
      </c>
      <c r="G125" s="150">
        <f t="shared" si="7"/>
        <v>0</v>
      </c>
      <c r="H125" s="30">
        <f t="shared" si="7"/>
        <v>0</v>
      </c>
      <c r="I125" s="7">
        <f t="shared" si="7"/>
        <v>0</v>
      </c>
      <c r="J125" s="7">
        <f t="shared" si="5"/>
        <v>0</v>
      </c>
      <c r="K125" s="69">
        <f t="shared" si="6"/>
        <v>-43731.514084507035</v>
      </c>
    </row>
    <row r="126" spans="1:11" x14ac:dyDescent="0.25">
      <c r="A126" s="37">
        <f>Données!A123</f>
        <v>5610</v>
      </c>
      <c r="B126" s="126" t="str">
        <f>Données!B123</f>
        <v>St-Saphorin (Lavaux)</v>
      </c>
      <c r="C126" s="7">
        <f>Données!Z123</f>
        <v>389</v>
      </c>
      <c r="D126" s="7">
        <f t="shared" si="8"/>
        <v>389</v>
      </c>
      <c r="E126" s="150">
        <f t="shared" si="7"/>
        <v>0</v>
      </c>
      <c r="F126" s="7">
        <f t="shared" si="7"/>
        <v>0</v>
      </c>
      <c r="G126" s="150">
        <f t="shared" si="7"/>
        <v>0</v>
      </c>
      <c r="H126" s="30">
        <f t="shared" si="7"/>
        <v>0</v>
      </c>
      <c r="I126" s="7">
        <f t="shared" si="7"/>
        <v>0</v>
      </c>
      <c r="J126" s="7">
        <f t="shared" si="5"/>
        <v>0</v>
      </c>
      <c r="K126" s="69">
        <f t="shared" si="6"/>
        <v>-51706.866197183088</v>
      </c>
    </row>
    <row r="127" spans="1:11" x14ac:dyDescent="0.25">
      <c r="A127" s="37">
        <f>Données!A124</f>
        <v>5611</v>
      </c>
      <c r="B127" s="126" t="str">
        <f>Données!B124</f>
        <v>Savigny</v>
      </c>
      <c r="C127" s="7">
        <f>Données!Z124</f>
        <v>3506</v>
      </c>
      <c r="D127" s="7">
        <f t="shared" si="8"/>
        <v>1000</v>
      </c>
      <c r="E127" s="150">
        <f t="shared" si="7"/>
        <v>2000</v>
      </c>
      <c r="F127" s="7">
        <f t="shared" si="7"/>
        <v>506</v>
      </c>
      <c r="G127" s="150">
        <f t="shared" si="7"/>
        <v>0</v>
      </c>
      <c r="H127" s="30">
        <f t="shared" si="7"/>
        <v>0</v>
      </c>
      <c r="I127" s="7">
        <f t="shared" si="7"/>
        <v>0</v>
      </c>
      <c r="J127" s="7">
        <f t="shared" si="5"/>
        <v>0</v>
      </c>
      <c r="K127" s="69">
        <f t="shared" si="6"/>
        <v>-1146323.9436619717</v>
      </c>
    </row>
    <row r="128" spans="1:11" x14ac:dyDescent="0.25">
      <c r="A128" s="37">
        <f>Données!A125</f>
        <v>5613</v>
      </c>
      <c r="B128" s="126" t="str">
        <f>Données!B125</f>
        <v>Bourg-en-Lavaux</v>
      </c>
      <c r="C128" s="7">
        <f>Données!Z125</f>
        <v>5465</v>
      </c>
      <c r="D128" s="7">
        <f t="shared" si="8"/>
        <v>1000</v>
      </c>
      <c r="E128" s="150">
        <f t="shared" si="7"/>
        <v>2000</v>
      </c>
      <c r="F128" s="7">
        <f t="shared" si="7"/>
        <v>2000</v>
      </c>
      <c r="G128" s="150">
        <f t="shared" si="7"/>
        <v>465</v>
      </c>
      <c r="H128" s="30">
        <f t="shared" si="7"/>
        <v>0</v>
      </c>
      <c r="I128" s="7">
        <f t="shared" si="7"/>
        <v>0</v>
      </c>
      <c r="J128" s="7">
        <f t="shared" si="5"/>
        <v>0</v>
      </c>
      <c r="K128" s="69">
        <f t="shared" si="6"/>
        <v>-2237352.1126760561</v>
      </c>
    </row>
    <row r="129" spans="1:11" x14ac:dyDescent="0.25">
      <c r="A129" s="37">
        <f>Données!A126</f>
        <v>5621</v>
      </c>
      <c r="B129" s="126" t="str">
        <f>Données!B126</f>
        <v>Aclens</v>
      </c>
      <c r="C129" s="7">
        <f>Données!Z126</f>
        <v>587</v>
      </c>
      <c r="D129" s="7">
        <f t="shared" si="8"/>
        <v>587</v>
      </c>
      <c r="E129" s="150">
        <f t="shared" si="7"/>
        <v>0</v>
      </c>
      <c r="F129" s="7">
        <f t="shared" si="7"/>
        <v>0</v>
      </c>
      <c r="G129" s="150">
        <f t="shared" si="7"/>
        <v>0</v>
      </c>
      <c r="H129" s="30">
        <f t="shared" si="7"/>
        <v>0</v>
      </c>
      <c r="I129" s="7">
        <f t="shared" si="7"/>
        <v>0</v>
      </c>
      <c r="J129" s="7">
        <f t="shared" si="5"/>
        <v>0</v>
      </c>
      <c r="K129" s="69">
        <f t="shared" si="6"/>
        <v>-78025.528169014069</v>
      </c>
    </row>
    <row r="130" spans="1:11" x14ac:dyDescent="0.25">
      <c r="A130" s="37">
        <f>Données!A127</f>
        <v>5622</v>
      </c>
      <c r="B130" s="126" t="str">
        <f>Données!B127</f>
        <v>Bremblens</v>
      </c>
      <c r="C130" s="7">
        <f>Données!Z127</f>
        <v>615</v>
      </c>
      <c r="D130" s="7">
        <f t="shared" si="8"/>
        <v>615</v>
      </c>
      <c r="E130" s="150">
        <f t="shared" si="7"/>
        <v>0</v>
      </c>
      <c r="F130" s="7">
        <f t="shared" si="7"/>
        <v>0</v>
      </c>
      <c r="G130" s="150">
        <f t="shared" si="7"/>
        <v>0</v>
      </c>
      <c r="H130" s="30">
        <f t="shared" si="7"/>
        <v>0</v>
      </c>
      <c r="I130" s="7">
        <f t="shared" si="7"/>
        <v>0</v>
      </c>
      <c r="J130" s="7">
        <f t="shared" si="5"/>
        <v>0</v>
      </c>
      <c r="K130" s="69">
        <f t="shared" si="6"/>
        <v>-81747.359154929567</v>
      </c>
    </row>
    <row r="131" spans="1:11" x14ac:dyDescent="0.25">
      <c r="A131" s="37">
        <f>Données!A128</f>
        <v>5623</v>
      </c>
      <c r="B131" s="126" t="str">
        <f>Données!B128</f>
        <v>Buchillon</v>
      </c>
      <c r="C131" s="7">
        <f>Données!Z128</f>
        <v>686</v>
      </c>
      <c r="D131" s="7">
        <f t="shared" si="8"/>
        <v>686</v>
      </c>
      <c r="E131" s="150">
        <f t="shared" si="7"/>
        <v>0</v>
      </c>
      <c r="F131" s="7">
        <f t="shared" si="7"/>
        <v>0</v>
      </c>
      <c r="G131" s="150">
        <f t="shared" si="7"/>
        <v>0</v>
      </c>
      <c r="H131" s="30">
        <f t="shared" si="7"/>
        <v>0</v>
      </c>
      <c r="I131" s="7">
        <f t="shared" si="7"/>
        <v>0</v>
      </c>
      <c r="J131" s="7">
        <f t="shared" si="5"/>
        <v>0</v>
      </c>
      <c r="K131" s="69">
        <f t="shared" si="6"/>
        <v>-91184.859154929567</v>
      </c>
    </row>
    <row r="132" spans="1:11" x14ac:dyDescent="0.25">
      <c r="A132" s="37">
        <f>Données!A129</f>
        <v>5624</v>
      </c>
      <c r="B132" s="126" t="str">
        <f>Données!B129</f>
        <v>Bussigny</v>
      </c>
      <c r="C132" s="7">
        <f>Données!Z129</f>
        <v>11667</v>
      </c>
      <c r="D132" s="7">
        <f t="shared" si="8"/>
        <v>1000</v>
      </c>
      <c r="E132" s="150">
        <f t="shared" si="7"/>
        <v>2000</v>
      </c>
      <c r="F132" s="7">
        <f t="shared" si="7"/>
        <v>2000</v>
      </c>
      <c r="G132" s="150">
        <f t="shared" si="7"/>
        <v>4000</v>
      </c>
      <c r="H132" s="30">
        <f t="shared" si="7"/>
        <v>2667</v>
      </c>
      <c r="I132" s="7">
        <f t="shared" si="7"/>
        <v>0</v>
      </c>
      <c r="J132" s="7">
        <f t="shared" si="5"/>
        <v>0</v>
      </c>
      <c r="K132" s="69">
        <f t="shared" si="6"/>
        <v>-6903411.6197183095</v>
      </c>
    </row>
    <row r="133" spans="1:11" x14ac:dyDescent="0.25">
      <c r="A133" s="37">
        <f>Données!A130</f>
        <v>5627</v>
      </c>
      <c r="B133" s="126" t="str">
        <f>Données!B130</f>
        <v>Chavannes-près-Renens</v>
      </c>
      <c r="C133" s="7">
        <f>Données!Z130</f>
        <v>9771</v>
      </c>
      <c r="D133" s="7">
        <f t="shared" si="8"/>
        <v>1000</v>
      </c>
      <c r="E133" s="150">
        <f t="shared" si="7"/>
        <v>2000</v>
      </c>
      <c r="F133" s="7">
        <f t="shared" si="7"/>
        <v>2000</v>
      </c>
      <c r="G133" s="150">
        <f t="shared" si="7"/>
        <v>4000</v>
      </c>
      <c r="H133" s="30">
        <f t="shared" si="7"/>
        <v>771</v>
      </c>
      <c r="I133" s="7">
        <f t="shared" si="7"/>
        <v>0</v>
      </c>
      <c r="J133" s="7">
        <f t="shared" si="5"/>
        <v>0</v>
      </c>
      <c r="K133" s="69">
        <f t="shared" si="6"/>
        <v>-5189667.9577464787</v>
      </c>
    </row>
    <row r="134" spans="1:11" x14ac:dyDescent="0.25">
      <c r="A134" s="37">
        <f>Données!A131</f>
        <v>5628</v>
      </c>
      <c r="B134" s="126" t="str">
        <f>Données!B131</f>
        <v>Chigny</v>
      </c>
      <c r="C134" s="7">
        <f>Données!Z131</f>
        <v>420</v>
      </c>
      <c r="D134" s="7">
        <f t="shared" si="8"/>
        <v>420</v>
      </c>
      <c r="E134" s="150">
        <f t="shared" si="7"/>
        <v>0</v>
      </c>
      <c r="F134" s="7">
        <f t="shared" si="7"/>
        <v>0</v>
      </c>
      <c r="G134" s="150">
        <f t="shared" si="7"/>
        <v>0</v>
      </c>
      <c r="H134" s="30">
        <f t="shared" si="7"/>
        <v>0</v>
      </c>
      <c r="I134" s="7">
        <f t="shared" si="7"/>
        <v>0</v>
      </c>
      <c r="J134" s="7">
        <f t="shared" si="5"/>
        <v>0</v>
      </c>
      <c r="K134" s="69">
        <f t="shared" si="6"/>
        <v>-55827.464788732388</v>
      </c>
    </row>
    <row r="135" spans="1:11" x14ac:dyDescent="0.25">
      <c r="A135" s="37">
        <f>Données!A132</f>
        <v>5629</v>
      </c>
      <c r="B135" s="126" t="str">
        <f>Données!B132</f>
        <v>Clarmont</v>
      </c>
      <c r="C135" s="7">
        <f>Données!Z132</f>
        <v>228</v>
      </c>
      <c r="D135" s="7">
        <f t="shared" si="8"/>
        <v>228</v>
      </c>
      <c r="E135" s="150">
        <f t="shared" si="7"/>
        <v>0</v>
      </c>
      <c r="F135" s="7">
        <f t="shared" si="7"/>
        <v>0</v>
      </c>
      <c r="G135" s="150">
        <f t="shared" si="7"/>
        <v>0</v>
      </c>
      <c r="H135" s="30">
        <f t="shared" si="7"/>
        <v>0</v>
      </c>
      <c r="I135" s="7">
        <f t="shared" si="7"/>
        <v>0</v>
      </c>
      <c r="J135" s="7">
        <f t="shared" si="5"/>
        <v>0</v>
      </c>
      <c r="K135" s="69">
        <f t="shared" si="6"/>
        <v>-30306.338028169012</v>
      </c>
    </row>
    <row r="136" spans="1:11" x14ac:dyDescent="0.25">
      <c r="A136" s="37">
        <f>Données!A133</f>
        <v>5631</v>
      </c>
      <c r="B136" s="126" t="str">
        <f>Données!B133</f>
        <v>Denens</v>
      </c>
      <c r="C136" s="7">
        <f>Données!Z133</f>
        <v>742</v>
      </c>
      <c r="D136" s="7">
        <f t="shared" si="8"/>
        <v>742</v>
      </c>
      <c r="E136" s="150">
        <f t="shared" si="7"/>
        <v>0</v>
      </c>
      <c r="F136" s="7">
        <f t="shared" si="7"/>
        <v>0</v>
      </c>
      <c r="G136" s="150">
        <f t="shared" si="7"/>
        <v>0</v>
      </c>
      <c r="H136" s="30">
        <f t="shared" si="7"/>
        <v>0</v>
      </c>
      <c r="I136" s="7">
        <f t="shared" si="7"/>
        <v>0</v>
      </c>
      <c r="J136" s="7">
        <f t="shared" si="5"/>
        <v>0</v>
      </c>
      <c r="K136" s="69">
        <f t="shared" si="6"/>
        <v>-98628.521126760548</v>
      </c>
    </row>
    <row r="137" spans="1:11" x14ac:dyDescent="0.25">
      <c r="A137" s="37">
        <f>Données!A134</f>
        <v>5632</v>
      </c>
      <c r="B137" s="126" t="str">
        <f>Données!B134</f>
        <v>Denges</v>
      </c>
      <c r="C137" s="7">
        <f>Données!Z134</f>
        <v>1837</v>
      </c>
      <c r="D137" s="7">
        <f t="shared" si="8"/>
        <v>1000</v>
      </c>
      <c r="E137" s="150">
        <f t="shared" si="7"/>
        <v>837</v>
      </c>
      <c r="F137" s="7">
        <f t="shared" si="7"/>
        <v>0</v>
      </c>
      <c r="G137" s="150">
        <f t="shared" si="7"/>
        <v>0</v>
      </c>
      <c r="H137" s="30">
        <f t="shared" si="7"/>
        <v>0</v>
      </c>
      <c r="I137" s="7">
        <f t="shared" si="7"/>
        <v>0</v>
      </c>
      <c r="J137" s="7">
        <f t="shared" si="5"/>
        <v>0</v>
      </c>
      <c r="K137" s="69">
        <f t="shared" si="6"/>
        <v>-444439.78873239434</v>
      </c>
    </row>
    <row r="138" spans="1:11" x14ac:dyDescent="0.25">
      <c r="A138" s="37">
        <f>Données!A135</f>
        <v>5633</v>
      </c>
      <c r="B138" s="126" t="str">
        <f>Données!B135</f>
        <v>Echandens</v>
      </c>
      <c r="C138" s="7">
        <f>Données!Z135</f>
        <v>3004</v>
      </c>
      <c r="D138" s="7">
        <f t="shared" si="8"/>
        <v>1000</v>
      </c>
      <c r="E138" s="150">
        <f t="shared" si="7"/>
        <v>2000</v>
      </c>
      <c r="F138" s="7">
        <f t="shared" si="7"/>
        <v>4</v>
      </c>
      <c r="G138" s="150">
        <f t="shared" si="7"/>
        <v>0</v>
      </c>
      <c r="H138" s="30">
        <f t="shared" si="7"/>
        <v>0</v>
      </c>
      <c r="I138" s="7">
        <f t="shared" si="7"/>
        <v>0</v>
      </c>
      <c r="J138" s="7">
        <f t="shared" ref="J138:J201" si="9">IF(C138&gt;$J$5,C138-$J$5,0)</f>
        <v>0</v>
      </c>
      <c r="K138" s="69">
        <f t="shared" ref="K138:K201" si="10">-((D138*D$8)+(E138*E$8)+(F138*F$8)+(G138*G$8)+(H138*H$8)+(I138*I$8)+(J138*J$8))</f>
        <v>-879415.49295774638</v>
      </c>
    </row>
    <row r="139" spans="1:11" x14ac:dyDescent="0.25">
      <c r="A139" s="37">
        <f>Données!A136</f>
        <v>5634</v>
      </c>
      <c r="B139" s="126" t="str">
        <f>Données!B136</f>
        <v>Echichens</v>
      </c>
      <c r="C139" s="7">
        <f>Données!Z136</f>
        <v>3218</v>
      </c>
      <c r="D139" s="7">
        <f t="shared" si="8"/>
        <v>1000</v>
      </c>
      <c r="E139" s="150">
        <f t="shared" si="7"/>
        <v>2000</v>
      </c>
      <c r="F139" s="7">
        <f t="shared" si="7"/>
        <v>218</v>
      </c>
      <c r="G139" s="150">
        <f t="shared" si="7"/>
        <v>0</v>
      </c>
      <c r="H139" s="30">
        <f t="shared" si="7"/>
        <v>0</v>
      </c>
      <c r="I139" s="7">
        <f t="shared" si="7"/>
        <v>0</v>
      </c>
      <c r="J139" s="7">
        <f t="shared" si="9"/>
        <v>0</v>
      </c>
      <c r="K139" s="69">
        <f t="shared" si="10"/>
        <v>-993197.1830985914</v>
      </c>
    </row>
    <row r="140" spans="1:11" x14ac:dyDescent="0.25">
      <c r="A140" s="37">
        <f>Données!A137</f>
        <v>5635</v>
      </c>
      <c r="B140" s="126" t="str">
        <f>Données!B137</f>
        <v>Ecublens</v>
      </c>
      <c r="C140" s="7">
        <f>Données!Z137</f>
        <v>13391</v>
      </c>
      <c r="D140" s="7">
        <f t="shared" si="8"/>
        <v>1000</v>
      </c>
      <c r="E140" s="150">
        <f t="shared" si="7"/>
        <v>2000</v>
      </c>
      <c r="F140" s="7">
        <f t="shared" si="7"/>
        <v>2000</v>
      </c>
      <c r="G140" s="150">
        <f t="shared" si="7"/>
        <v>4000</v>
      </c>
      <c r="H140" s="30">
        <f t="shared" si="7"/>
        <v>3000</v>
      </c>
      <c r="I140" s="7">
        <f t="shared" si="7"/>
        <v>1391</v>
      </c>
      <c r="J140" s="7">
        <f t="shared" si="9"/>
        <v>0</v>
      </c>
      <c r="K140" s="69">
        <f t="shared" si="10"/>
        <v>-8683563.3802816905</v>
      </c>
    </row>
    <row r="141" spans="1:11" x14ac:dyDescent="0.25">
      <c r="A141" s="37">
        <f>Données!A138</f>
        <v>5636</v>
      </c>
      <c r="B141" s="126" t="str">
        <f>Données!B138</f>
        <v>Etoy</v>
      </c>
      <c r="C141" s="7">
        <f>Données!Z138</f>
        <v>2966</v>
      </c>
      <c r="D141" s="7">
        <f t="shared" si="8"/>
        <v>1000</v>
      </c>
      <c r="E141" s="150">
        <f t="shared" si="7"/>
        <v>1966</v>
      </c>
      <c r="F141" s="7">
        <f t="shared" si="7"/>
        <v>0</v>
      </c>
      <c r="G141" s="150">
        <f t="shared" si="7"/>
        <v>0</v>
      </c>
      <c r="H141" s="30">
        <f t="shared" si="7"/>
        <v>0</v>
      </c>
      <c r="I141" s="7">
        <f t="shared" si="7"/>
        <v>0</v>
      </c>
      <c r="J141" s="7">
        <f t="shared" si="9"/>
        <v>0</v>
      </c>
      <c r="K141" s="69">
        <f t="shared" si="10"/>
        <v>-864634.50704225339</v>
      </c>
    </row>
    <row r="142" spans="1:11" x14ac:dyDescent="0.25">
      <c r="A142" s="37">
        <f>Données!A139</f>
        <v>5637</v>
      </c>
      <c r="B142" s="126" t="str">
        <f>Données!B139</f>
        <v>Lavigny</v>
      </c>
      <c r="C142" s="7">
        <f>Données!Z139</f>
        <v>1100</v>
      </c>
      <c r="D142" s="7">
        <f t="shared" si="8"/>
        <v>1000</v>
      </c>
      <c r="E142" s="150">
        <f t="shared" si="7"/>
        <v>100</v>
      </c>
      <c r="F142" s="7">
        <f t="shared" si="7"/>
        <v>0</v>
      </c>
      <c r="G142" s="150">
        <f t="shared" si="7"/>
        <v>0</v>
      </c>
      <c r="H142" s="30">
        <f t="shared" si="7"/>
        <v>0</v>
      </c>
      <c r="I142" s="7">
        <f t="shared" si="7"/>
        <v>0</v>
      </c>
      <c r="J142" s="7">
        <f t="shared" si="9"/>
        <v>0</v>
      </c>
      <c r="K142" s="69">
        <f t="shared" si="10"/>
        <v>-170140.84507042251</v>
      </c>
    </row>
    <row r="143" spans="1:11" x14ac:dyDescent="0.25">
      <c r="A143" s="37">
        <f>Données!A140</f>
        <v>5638</v>
      </c>
      <c r="B143" s="126" t="str">
        <f>Données!B140</f>
        <v>Lonay</v>
      </c>
      <c r="C143" s="7">
        <f>Données!Z140</f>
        <v>2733</v>
      </c>
      <c r="D143" s="7">
        <f t="shared" si="8"/>
        <v>1000</v>
      </c>
      <c r="E143" s="150">
        <f t="shared" si="7"/>
        <v>1733</v>
      </c>
      <c r="F143" s="7">
        <f t="shared" si="7"/>
        <v>0</v>
      </c>
      <c r="G143" s="150">
        <f t="shared" si="7"/>
        <v>0</v>
      </c>
      <c r="H143" s="30">
        <f t="shared" si="7"/>
        <v>0</v>
      </c>
      <c r="I143" s="7">
        <f t="shared" si="7"/>
        <v>0</v>
      </c>
      <c r="J143" s="7">
        <f t="shared" si="9"/>
        <v>0</v>
      </c>
      <c r="K143" s="69">
        <f t="shared" si="10"/>
        <v>-777915.84507042239</v>
      </c>
    </row>
    <row r="144" spans="1:11" x14ac:dyDescent="0.25">
      <c r="A144" s="37">
        <f>Données!A141</f>
        <v>5639</v>
      </c>
      <c r="B144" s="126" t="str">
        <f>Données!B141</f>
        <v>Lully</v>
      </c>
      <c r="C144" s="7">
        <f>Données!Z141</f>
        <v>838</v>
      </c>
      <c r="D144" s="7">
        <f t="shared" si="8"/>
        <v>838</v>
      </c>
      <c r="E144" s="150">
        <f t="shared" si="7"/>
        <v>0</v>
      </c>
      <c r="F144" s="7">
        <f t="shared" si="7"/>
        <v>0</v>
      </c>
      <c r="G144" s="150">
        <f t="shared" si="7"/>
        <v>0</v>
      </c>
      <c r="H144" s="30">
        <f t="shared" si="7"/>
        <v>0</v>
      </c>
      <c r="I144" s="7">
        <f t="shared" si="7"/>
        <v>0</v>
      </c>
      <c r="J144" s="7">
        <f t="shared" si="9"/>
        <v>0</v>
      </c>
      <c r="K144" s="69">
        <f t="shared" si="10"/>
        <v>-111389.08450704224</v>
      </c>
    </row>
    <row r="145" spans="1:11" x14ac:dyDescent="0.25">
      <c r="A145" s="37">
        <f>Données!A142</f>
        <v>5640</v>
      </c>
      <c r="B145" s="126" t="str">
        <f>Données!B142</f>
        <v>Lussy-sur-Morges</v>
      </c>
      <c r="C145" s="7">
        <f>Données!Z142</f>
        <v>719</v>
      </c>
      <c r="D145" s="7">
        <f t="shared" si="8"/>
        <v>719</v>
      </c>
      <c r="E145" s="150">
        <f t="shared" si="7"/>
        <v>0</v>
      </c>
      <c r="F145" s="7">
        <f t="shared" si="7"/>
        <v>0</v>
      </c>
      <c r="G145" s="150">
        <f t="shared" si="7"/>
        <v>0</v>
      </c>
      <c r="H145" s="30">
        <f t="shared" si="7"/>
        <v>0</v>
      </c>
      <c r="I145" s="7">
        <f t="shared" si="7"/>
        <v>0</v>
      </c>
      <c r="J145" s="7">
        <f t="shared" si="9"/>
        <v>0</v>
      </c>
      <c r="K145" s="69">
        <f t="shared" si="10"/>
        <v>-95571.3028169014</v>
      </c>
    </row>
    <row r="146" spans="1:11" x14ac:dyDescent="0.25">
      <c r="A146" s="37">
        <f>Données!A143</f>
        <v>5642</v>
      </c>
      <c r="B146" s="126" t="str">
        <f>Données!B143</f>
        <v>Morges</v>
      </c>
      <c r="C146" s="7">
        <f>Données!Z143</f>
        <v>17715</v>
      </c>
      <c r="D146" s="7">
        <f t="shared" si="8"/>
        <v>1000</v>
      </c>
      <c r="E146" s="150">
        <f t="shared" si="7"/>
        <v>2000</v>
      </c>
      <c r="F146" s="7">
        <f t="shared" si="7"/>
        <v>2000</v>
      </c>
      <c r="G146" s="150">
        <f t="shared" si="7"/>
        <v>4000</v>
      </c>
      <c r="H146" s="30">
        <f t="shared" si="7"/>
        <v>3000</v>
      </c>
      <c r="I146" s="7">
        <f t="shared" si="7"/>
        <v>3000</v>
      </c>
      <c r="J146" s="7">
        <f t="shared" si="9"/>
        <v>2715</v>
      </c>
      <c r="K146" s="69">
        <f t="shared" si="10"/>
        <v>-13425973.591549294</v>
      </c>
    </row>
    <row r="147" spans="1:11" x14ac:dyDescent="0.25">
      <c r="A147" s="37">
        <f>Données!A144</f>
        <v>5643</v>
      </c>
      <c r="B147" s="126" t="str">
        <f>Données!B144</f>
        <v>Préverenges</v>
      </c>
      <c r="C147" s="7">
        <f>Données!Z144</f>
        <v>5273</v>
      </c>
      <c r="D147" s="7">
        <f t="shared" si="8"/>
        <v>1000</v>
      </c>
      <c r="E147" s="150">
        <f t="shared" si="7"/>
        <v>2000</v>
      </c>
      <c r="F147" s="7">
        <f t="shared" si="7"/>
        <v>2000</v>
      </c>
      <c r="G147" s="150">
        <f t="shared" si="7"/>
        <v>273</v>
      </c>
      <c r="H147" s="30">
        <f t="shared" si="7"/>
        <v>0</v>
      </c>
      <c r="I147" s="7">
        <f t="shared" si="7"/>
        <v>0</v>
      </c>
      <c r="J147" s="7">
        <f t="shared" si="9"/>
        <v>0</v>
      </c>
      <c r="K147" s="69">
        <f t="shared" si="10"/>
        <v>-2114850.704225352</v>
      </c>
    </row>
    <row r="148" spans="1:11" x14ac:dyDescent="0.25">
      <c r="A148" s="37">
        <f>Données!A145</f>
        <v>5645</v>
      </c>
      <c r="B148" s="126" t="str">
        <f>Données!B145</f>
        <v>Romanel-sur-Morges</v>
      </c>
      <c r="C148" s="7">
        <f>Données!Z145</f>
        <v>454</v>
      </c>
      <c r="D148" s="7">
        <f t="shared" si="8"/>
        <v>454</v>
      </c>
      <c r="E148" s="150">
        <f t="shared" si="7"/>
        <v>0</v>
      </c>
      <c r="F148" s="7">
        <f t="shared" si="7"/>
        <v>0</v>
      </c>
      <c r="G148" s="150">
        <f t="shared" si="7"/>
        <v>0</v>
      </c>
      <c r="H148" s="30">
        <f t="shared" si="7"/>
        <v>0</v>
      </c>
      <c r="I148" s="7">
        <f t="shared" si="7"/>
        <v>0</v>
      </c>
      <c r="J148" s="7">
        <f t="shared" si="9"/>
        <v>0</v>
      </c>
      <c r="K148" s="69">
        <f t="shared" si="10"/>
        <v>-60346.830985915483</v>
      </c>
    </row>
    <row r="149" spans="1:11" x14ac:dyDescent="0.25">
      <c r="A149" s="37">
        <f>Données!A146</f>
        <v>5646</v>
      </c>
      <c r="B149" s="126" t="str">
        <f>Données!B146</f>
        <v>Saint-Prex</v>
      </c>
      <c r="C149" s="7">
        <f>Données!Z146</f>
        <v>5868</v>
      </c>
      <c r="D149" s="7">
        <f t="shared" si="8"/>
        <v>1000</v>
      </c>
      <c r="E149" s="150">
        <f t="shared" si="7"/>
        <v>2000</v>
      </c>
      <c r="F149" s="7">
        <f t="shared" si="7"/>
        <v>2000</v>
      </c>
      <c r="G149" s="150">
        <f t="shared" si="7"/>
        <v>868</v>
      </c>
      <c r="H149" s="30">
        <f t="shared" si="7"/>
        <v>0</v>
      </c>
      <c r="I149" s="7">
        <f t="shared" si="7"/>
        <v>0</v>
      </c>
      <c r="J149" s="7">
        <f t="shared" si="9"/>
        <v>0</v>
      </c>
      <c r="K149" s="69">
        <f t="shared" si="10"/>
        <v>-2494477.4647887321</v>
      </c>
    </row>
    <row r="150" spans="1:11" x14ac:dyDescent="0.25">
      <c r="A150" s="37">
        <f>Données!A147</f>
        <v>5648</v>
      </c>
      <c r="B150" s="126" t="str">
        <f>Données!B147</f>
        <v>Saint-Sulpice</v>
      </c>
      <c r="C150" s="7">
        <f>Données!Z147</f>
        <v>5157</v>
      </c>
      <c r="D150" s="7">
        <f t="shared" si="8"/>
        <v>1000</v>
      </c>
      <c r="E150" s="150">
        <f t="shared" si="7"/>
        <v>2000</v>
      </c>
      <c r="F150" s="7">
        <f t="shared" si="7"/>
        <v>2000</v>
      </c>
      <c r="G150" s="150">
        <f t="shared" si="7"/>
        <v>157</v>
      </c>
      <c r="H150" s="30">
        <f t="shared" si="7"/>
        <v>0</v>
      </c>
      <c r="I150" s="7">
        <f t="shared" si="7"/>
        <v>0</v>
      </c>
      <c r="J150" s="7">
        <f t="shared" si="9"/>
        <v>0</v>
      </c>
      <c r="K150" s="69">
        <f t="shared" si="10"/>
        <v>-2040839.4366197181</v>
      </c>
    </row>
    <row r="151" spans="1:11" x14ac:dyDescent="0.25">
      <c r="A151" s="37">
        <f>Données!A148</f>
        <v>5649</v>
      </c>
      <c r="B151" s="126" t="str">
        <f>Données!B148</f>
        <v>Tolochenaz</v>
      </c>
      <c r="C151" s="7">
        <f>Données!Z148</f>
        <v>1934</v>
      </c>
      <c r="D151" s="7">
        <f t="shared" si="8"/>
        <v>1000</v>
      </c>
      <c r="E151" s="150">
        <f t="shared" si="7"/>
        <v>934</v>
      </c>
      <c r="F151" s="7">
        <f t="shared" si="7"/>
        <v>0</v>
      </c>
      <c r="G151" s="150">
        <f t="shared" si="7"/>
        <v>0</v>
      </c>
      <c r="H151" s="30">
        <f t="shared" si="7"/>
        <v>0</v>
      </c>
      <c r="I151" s="7">
        <f t="shared" si="7"/>
        <v>0</v>
      </c>
      <c r="J151" s="7">
        <f t="shared" si="9"/>
        <v>0</v>
      </c>
      <c r="K151" s="69">
        <f t="shared" si="10"/>
        <v>-480541.5492957746</v>
      </c>
    </row>
    <row r="152" spans="1:11" x14ac:dyDescent="0.25">
      <c r="A152" s="37">
        <f>Données!A149</f>
        <v>5650</v>
      </c>
      <c r="B152" s="126" t="str">
        <f>Données!B149</f>
        <v>Vaux-sur-Morges</v>
      </c>
      <c r="C152" s="7">
        <f>Données!Z149</f>
        <v>185</v>
      </c>
      <c r="D152" s="7">
        <f t="shared" si="8"/>
        <v>185</v>
      </c>
      <c r="E152" s="150">
        <f t="shared" si="7"/>
        <v>0</v>
      </c>
      <c r="F152" s="7">
        <f t="shared" si="7"/>
        <v>0</v>
      </c>
      <c r="G152" s="150">
        <f t="shared" si="7"/>
        <v>0</v>
      </c>
      <c r="H152" s="30">
        <f t="shared" si="7"/>
        <v>0</v>
      </c>
      <c r="I152" s="7">
        <f t="shared" si="7"/>
        <v>0</v>
      </c>
      <c r="J152" s="7">
        <f t="shared" si="9"/>
        <v>0</v>
      </c>
      <c r="K152" s="69">
        <f t="shared" si="10"/>
        <v>-24590.669014084502</v>
      </c>
    </row>
    <row r="153" spans="1:11" x14ac:dyDescent="0.25">
      <c r="A153" s="37">
        <f>Données!A150</f>
        <v>5651</v>
      </c>
      <c r="B153" s="126" t="str">
        <f>Données!B150</f>
        <v>Villars-Sainte-Croix</v>
      </c>
      <c r="C153" s="7">
        <f>Données!Z150</f>
        <v>955</v>
      </c>
      <c r="D153" s="7">
        <f t="shared" si="8"/>
        <v>955</v>
      </c>
      <c r="E153" s="150">
        <f t="shared" si="7"/>
        <v>0</v>
      </c>
      <c r="F153" s="7">
        <f t="shared" si="7"/>
        <v>0</v>
      </c>
      <c r="G153" s="150">
        <f t="shared" si="7"/>
        <v>0</v>
      </c>
      <c r="H153" s="30">
        <f t="shared" si="7"/>
        <v>0</v>
      </c>
      <c r="I153" s="7">
        <f t="shared" si="7"/>
        <v>0</v>
      </c>
      <c r="J153" s="7">
        <f t="shared" si="9"/>
        <v>0</v>
      </c>
      <c r="K153" s="69">
        <f t="shared" si="10"/>
        <v>-126941.02112676055</v>
      </c>
    </row>
    <row r="154" spans="1:11" x14ac:dyDescent="0.25">
      <c r="A154" s="37">
        <f>Données!A151</f>
        <v>5652</v>
      </c>
      <c r="B154" s="126" t="str">
        <f>Données!B151</f>
        <v>Villars-sous-Yens</v>
      </c>
      <c r="C154" s="7">
        <f>Données!Z151</f>
        <v>602</v>
      </c>
      <c r="D154" s="7">
        <f t="shared" si="8"/>
        <v>602</v>
      </c>
      <c r="E154" s="150">
        <f t="shared" si="7"/>
        <v>0</v>
      </c>
      <c r="F154" s="7">
        <f t="shared" si="7"/>
        <v>0</v>
      </c>
      <c r="G154" s="150">
        <f t="shared" si="7"/>
        <v>0</v>
      </c>
      <c r="H154" s="30">
        <f t="shared" si="7"/>
        <v>0</v>
      </c>
      <c r="I154" s="7">
        <f t="shared" si="7"/>
        <v>0</v>
      </c>
      <c r="J154" s="7">
        <f t="shared" si="9"/>
        <v>0</v>
      </c>
      <c r="K154" s="69">
        <f t="shared" si="10"/>
        <v>-80019.366197183088</v>
      </c>
    </row>
    <row r="155" spans="1:11" x14ac:dyDescent="0.25">
      <c r="A155" s="37">
        <f>Données!A152</f>
        <v>5653</v>
      </c>
      <c r="B155" s="126" t="str">
        <f>Données!B152</f>
        <v>Vufflens-le-Château</v>
      </c>
      <c r="C155" s="7">
        <f>Données!Z152</f>
        <v>838</v>
      </c>
      <c r="D155" s="7">
        <f t="shared" si="8"/>
        <v>838</v>
      </c>
      <c r="E155" s="150">
        <f t="shared" si="7"/>
        <v>0</v>
      </c>
      <c r="F155" s="7">
        <f t="shared" si="7"/>
        <v>0</v>
      </c>
      <c r="G155" s="150">
        <f t="shared" si="7"/>
        <v>0</v>
      </c>
      <c r="H155" s="30">
        <f t="shared" si="7"/>
        <v>0</v>
      </c>
      <c r="I155" s="7">
        <f t="shared" si="7"/>
        <v>0</v>
      </c>
      <c r="J155" s="7">
        <f t="shared" si="9"/>
        <v>0</v>
      </c>
      <c r="K155" s="69">
        <f t="shared" si="10"/>
        <v>-111389.08450704224</v>
      </c>
    </row>
    <row r="156" spans="1:11" x14ac:dyDescent="0.25">
      <c r="A156" s="37">
        <f>Données!A153</f>
        <v>5654</v>
      </c>
      <c r="B156" s="126" t="str">
        <f>Données!B153</f>
        <v>Vullierens</v>
      </c>
      <c r="C156" s="7">
        <f>Données!Z153</f>
        <v>548</v>
      </c>
      <c r="D156" s="7">
        <f t="shared" si="8"/>
        <v>548</v>
      </c>
      <c r="E156" s="150">
        <f t="shared" si="7"/>
        <v>0</v>
      </c>
      <c r="F156" s="7">
        <f t="shared" si="7"/>
        <v>0</v>
      </c>
      <c r="G156" s="150">
        <f t="shared" si="7"/>
        <v>0</v>
      </c>
      <c r="H156" s="30">
        <f t="shared" si="7"/>
        <v>0</v>
      </c>
      <c r="I156" s="7">
        <f t="shared" si="7"/>
        <v>0</v>
      </c>
      <c r="J156" s="7">
        <f t="shared" si="9"/>
        <v>0</v>
      </c>
      <c r="K156" s="69">
        <f t="shared" si="10"/>
        <v>-72841.549295774632</v>
      </c>
    </row>
    <row r="157" spans="1:11" x14ac:dyDescent="0.25">
      <c r="A157" s="37">
        <f>Données!A154</f>
        <v>5655</v>
      </c>
      <c r="B157" s="126" t="str">
        <f>Données!B154</f>
        <v>Yens</v>
      </c>
      <c r="C157" s="7">
        <f>Données!Z154</f>
        <v>1502</v>
      </c>
      <c r="D157" s="7">
        <f t="shared" si="8"/>
        <v>1000</v>
      </c>
      <c r="E157" s="150">
        <f t="shared" si="7"/>
        <v>502</v>
      </c>
      <c r="F157" s="7">
        <f t="shared" si="7"/>
        <v>0</v>
      </c>
      <c r="G157" s="150">
        <f t="shared" si="7"/>
        <v>0</v>
      </c>
      <c r="H157" s="30">
        <f t="shared" si="7"/>
        <v>0</v>
      </c>
      <c r="I157" s="7">
        <f t="shared" si="7"/>
        <v>0</v>
      </c>
      <c r="J157" s="7">
        <f t="shared" si="9"/>
        <v>0</v>
      </c>
      <c r="K157" s="69">
        <f t="shared" si="10"/>
        <v>-319758.45070422534</v>
      </c>
    </row>
    <row r="158" spans="1:11" x14ac:dyDescent="0.25">
      <c r="A158" s="37">
        <f>Données!A155</f>
        <v>5656</v>
      </c>
      <c r="B158" s="126" t="str">
        <f>Données!B155</f>
        <v>Hautemorges</v>
      </c>
      <c r="C158" s="7">
        <f>Données!Z155</f>
        <v>4387</v>
      </c>
      <c r="D158" s="7">
        <f t="shared" si="8"/>
        <v>1000</v>
      </c>
      <c r="E158" s="150">
        <f t="shared" si="7"/>
        <v>2000</v>
      </c>
      <c r="F158" s="7">
        <f t="shared" si="7"/>
        <v>1387</v>
      </c>
      <c r="G158" s="150">
        <f t="shared" ref="E158:I209" si="11">IF($C158&gt;G$5,IF($C158&lt;G$6,$C158-G$5,G$6-G$5),0)</f>
        <v>0</v>
      </c>
      <c r="H158" s="30">
        <f t="shared" si="11"/>
        <v>0</v>
      </c>
      <c r="I158" s="7">
        <f t="shared" si="11"/>
        <v>0</v>
      </c>
      <c r="J158" s="7">
        <f t="shared" si="9"/>
        <v>0</v>
      </c>
      <c r="K158" s="69">
        <f t="shared" si="10"/>
        <v>-1614742.9577464787</v>
      </c>
    </row>
    <row r="159" spans="1:11" x14ac:dyDescent="0.25">
      <c r="A159" s="37">
        <f>Données!A156</f>
        <v>5661</v>
      </c>
      <c r="B159" s="126" t="str">
        <f>Données!B156</f>
        <v>Boulens</v>
      </c>
      <c r="C159" s="7">
        <f>Données!Z156</f>
        <v>368</v>
      </c>
      <c r="D159" s="7">
        <f t="shared" si="8"/>
        <v>368</v>
      </c>
      <c r="E159" s="150">
        <f t="shared" si="11"/>
        <v>0</v>
      </c>
      <c r="F159" s="7">
        <f t="shared" si="11"/>
        <v>0</v>
      </c>
      <c r="G159" s="150">
        <f t="shared" si="11"/>
        <v>0</v>
      </c>
      <c r="H159" s="30">
        <f t="shared" si="11"/>
        <v>0</v>
      </c>
      <c r="I159" s="7">
        <f t="shared" si="11"/>
        <v>0</v>
      </c>
      <c r="J159" s="7">
        <f t="shared" si="9"/>
        <v>0</v>
      </c>
      <c r="K159" s="69">
        <f t="shared" si="10"/>
        <v>-48915.492957746472</v>
      </c>
    </row>
    <row r="160" spans="1:11" x14ac:dyDescent="0.25">
      <c r="A160" s="37">
        <f>Données!A157</f>
        <v>5663</v>
      </c>
      <c r="B160" s="126" t="str">
        <f>Données!B157</f>
        <v>Bussy-sur-Moudon</v>
      </c>
      <c r="C160" s="7">
        <f>Données!Z157</f>
        <v>262</v>
      </c>
      <c r="D160" s="7">
        <f t="shared" si="8"/>
        <v>262</v>
      </c>
      <c r="E160" s="150">
        <f t="shared" si="11"/>
        <v>0</v>
      </c>
      <c r="F160" s="7">
        <f t="shared" si="11"/>
        <v>0</v>
      </c>
      <c r="G160" s="150">
        <f t="shared" si="11"/>
        <v>0</v>
      </c>
      <c r="H160" s="30">
        <f t="shared" si="11"/>
        <v>0</v>
      </c>
      <c r="I160" s="7">
        <f t="shared" si="11"/>
        <v>0</v>
      </c>
      <c r="J160" s="7">
        <f t="shared" si="9"/>
        <v>0</v>
      </c>
      <c r="K160" s="69">
        <f t="shared" si="10"/>
        <v>-34825.704225352107</v>
      </c>
    </row>
    <row r="161" spans="1:11" x14ac:dyDescent="0.25">
      <c r="A161" s="37">
        <f>Données!A158</f>
        <v>5665</v>
      </c>
      <c r="B161" s="126" t="str">
        <f>Données!B158</f>
        <v>Chavannes-sur-Moudon</v>
      </c>
      <c r="C161" s="7">
        <f>Données!Z158</f>
        <v>229</v>
      </c>
      <c r="D161" s="7">
        <f t="shared" si="8"/>
        <v>229</v>
      </c>
      <c r="E161" s="150">
        <f t="shared" si="11"/>
        <v>0</v>
      </c>
      <c r="F161" s="7">
        <f t="shared" si="11"/>
        <v>0</v>
      </c>
      <c r="G161" s="150">
        <f t="shared" si="11"/>
        <v>0</v>
      </c>
      <c r="H161" s="30">
        <f t="shared" si="11"/>
        <v>0</v>
      </c>
      <c r="I161" s="7">
        <f t="shared" si="11"/>
        <v>0</v>
      </c>
      <c r="J161" s="7">
        <f t="shared" si="9"/>
        <v>0</v>
      </c>
      <c r="K161" s="69">
        <f t="shared" si="10"/>
        <v>-30439.260563380278</v>
      </c>
    </row>
    <row r="162" spans="1:11" x14ac:dyDescent="0.25">
      <c r="A162" s="37">
        <f>Données!A159</f>
        <v>5669</v>
      </c>
      <c r="B162" s="126" t="str">
        <f>Données!B159</f>
        <v>Curtilles</v>
      </c>
      <c r="C162" s="7">
        <f>Données!Z159</f>
        <v>308</v>
      </c>
      <c r="D162" s="7">
        <f t="shared" si="8"/>
        <v>308</v>
      </c>
      <c r="E162" s="150">
        <f t="shared" si="11"/>
        <v>0</v>
      </c>
      <c r="F162" s="7">
        <f t="shared" si="11"/>
        <v>0</v>
      </c>
      <c r="G162" s="150">
        <f t="shared" si="11"/>
        <v>0</v>
      </c>
      <c r="H162" s="30">
        <f t="shared" si="11"/>
        <v>0</v>
      </c>
      <c r="I162" s="7">
        <f t="shared" si="11"/>
        <v>0</v>
      </c>
      <c r="J162" s="7">
        <f t="shared" si="9"/>
        <v>0</v>
      </c>
      <c r="K162" s="69">
        <f t="shared" si="10"/>
        <v>-40940.140845070418</v>
      </c>
    </row>
    <row r="163" spans="1:11" x14ac:dyDescent="0.25">
      <c r="A163" s="37">
        <f>Données!A160</f>
        <v>5671</v>
      </c>
      <c r="B163" s="126" t="str">
        <f>Données!B160</f>
        <v>Dompierre</v>
      </c>
      <c r="C163" s="7">
        <f>Données!Z160</f>
        <v>240</v>
      </c>
      <c r="D163" s="7">
        <f t="shared" si="8"/>
        <v>240</v>
      </c>
      <c r="E163" s="150">
        <f t="shared" si="11"/>
        <v>0</v>
      </c>
      <c r="F163" s="7">
        <f t="shared" si="11"/>
        <v>0</v>
      </c>
      <c r="G163" s="150">
        <f t="shared" si="11"/>
        <v>0</v>
      </c>
      <c r="H163" s="30">
        <f t="shared" si="11"/>
        <v>0</v>
      </c>
      <c r="I163" s="7">
        <f t="shared" si="11"/>
        <v>0</v>
      </c>
      <c r="J163" s="7">
        <f t="shared" si="9"/>
        <v>0</v>
      </c>
      <c r="K163" s="69">
        <f t="shared" si="10"/>
        <v>-31901.408450704221</v>
      </c>
    </row>
    <row r="164" spans="1:11" x14ac:dyDescent="0.25">
      <c r="A164" s="37">
        <f>Données!A161</f>
        <v>5673</v>
      </c>
      <c r="B164" s="126" t="str">
        <f>Données!B161</f>
        <v>Hermenches</v>
      </c>
      <c r="C164" s="7">
        <f>Données!Z161</f>
        <v>373</v>
      </c>
      <c r="D164" s="7">
        <f t="shared" si="8"/>
        <v>373</v>
      </c>
      <c r="E164" s="150">
        <f t="shared" si="11"/>
        <v>0</v>
      </c>
      <c r="F164" s="7">
        <f t="shared" si="11"/>
        <v>0</v>
      </c>
      <c r="G164" s="150">
        <f t="shared" si="11"/>
        <v>0</v>
      </c>
      <c r="H164" s="30">
        <f t="shared" si="11"/>
        <v>0</v>
      </c>
      <c r="I164" s="7">
        <f t="shared" si="11"/>
        <v>0</v>
      </c>
      <c r="J164" s="7">
        <f t="shared" si="9"/>
        <v>0</v>
      </c>
      <c r="K164" s="69">
        <f t="shared" si="10"/>
        <v>-49580.105633802807</v>
      </c>
    </row>
    <row r="165" spans="1:11" x14ac:dyDescent="0.25">
      <c r="A165" s="37">
        <f>Données!A162</f>
        <v>5674</v>
      </c>
      <c r="B165" s="126" t="str">
        <f>Données!B162</f>
        <v>Lovatens</v>
      </c>
      <c r="C165" s="7">
        <f>Données!Z162</f>
        <v>146</v>
      </c>
      <c r="D165" s="7">
        <f t="shared" si="8"/>
        <v>146</v>
      </c>
      <c r="E165" s="150">
        <f t="shared" si="11"/>
        <v>0</v>
      </c>
      <c r="F165" s="7">
        <f t="shared" si="11"/>
        <v>0</v>
      </c>
      <c r="G165" s="150">
        <f t="shared" si="11"/>
        <v>0</v>
      </c>
      <c r="H165" s="30">
        <f t="shared" si="11"/>
        <v>0</v>
      </c>
      <c r="I165" s="7">
        <f t="shared" si="11"/>
        <v>0</v>
      </c>
      <c r="J165" s="7">
        <f t="shared" si="9"/>
        <v>0</v>
      </c>
      <c r="K165" s="69">
        <f t="shared" si="10"/>
        <v>-19406.690140845069</v>
      </c>
    </row>
    <row r="166" spans="1:11" x14ac:dyDescent="0.25">
      <c r="A166" s="37">
        <f>Données!A163</f>
        <v>5675</v>
      </c>
      <c r="B166" s="126" t="str">
        <f>Données!B163</f>
        <v>Lucens</v>
      </c>
      <c r="C166" s="7">
        <f>Données!Z163</f>
        <v>4734</v>
      </c>
      <c r="D166" s="7">
        <f t="shared" si="8"/>
        <v>1000</v>
      </c>
      <c r="E166" s="150">
        <f t="shared" si="11"/>
        <v>2000</v>
      </c>
      <c r="F166" s="7">
        <f t="shared" si="11"/>
        <v>1734</v>
      </c>
      <c r="G166" s="150">
        <f t="shared" si="11"/>
        <v>0</v>
      </c>
      <c r="H166" s="30">
        <f t="shared" si="11"/>
        <v>0</v>
      </c>
      <c r="I166" s="7">
        <f t="shared" si="11"/>
        <v>0</v>
      </c>
      <c r="J166" s="7">
        <f t="shared" si="9"/>
        <v>0</v>
      </c>
      <c r="K166" s="69">
        <f t="shared" si="10"/>
        <v>-1799239.4366197181</v>
      </c>
    </row>
    <row r="167" spans="1:11" x14ac:dyDescent="0.25">
      <c r="A167" s="37">
        <f>Données!A164</f>
        <v>5678</v>
      </c>
      <c r="B167" s="126" t="str">
        <f>Données!B164</f>
        <v>Moudon</v>
      </c>
      <c r="C167" s="7">
        <f>Données!Z164</f>
        <v>6651</v>
      </c>
      <c r="D167" s="7">
        <f t="shared" si="8"/>
        <v>1000</v>
      </c>
      <c r="E167" s="150">
        <f t="shared" si="11"/>
        <v>2000</v>
      </c>
      <c r="F167" s="7">
        <f t="shared" si="11"/>
        <v>2000</v>
      </c>
      <c r="G167" s="150">
        <f t="shared" si="11"/>
        <v>1651</v>
      </c>
      <c r="H167" s="30">
        <f t="shared" si="11"/>
        <v>0</v>
      </c>
      <c r="I167" s="7">
        <f t="shared" si="11"/>
        <v>0</v>
      </c>
      <c r="J167" s="7">
        <f t="shared" si="9"/>
        <v>0</v>
      </c>
      <c r="K167" s="69">
        <f t="shared" si="10"/>
        <v>-2994053.5211267602</v>
      </c>
    </row>
    <row r="168" spans="1:11" x14ac:dyDescent="0.25">
      <c r="A168" s="37">
        <f>Données!A165</f>
        <v>5680</v>
      </c>
      <c r="B168" s="126" t="str">
        <f>Données!B165</f>
        <v>Ogens</v>
      </c>
      <c r="C168" s="7">
        <f>Données!Z165</f>
        <v>341</v>
      </c>
      <c r="D168" s="7">
        <f t="shared" si="8"/>
        <v>341</v>
      </c>
      <c r="E168" s="150">
        <f t="shared" si="11"/>
        <v>0</v>
      </c>
      <c r="F168" s="7">
        <f t="shared" si="11"/>
        <v>0</v>
      </c>
      <c r="G168" s="150">
        <f t="shared" si="11"/>
        <v>0</v>
      </c>
      <c r="H168" s="30">
        <f t="shared" si="11"/>
        <v>0</v>
      </c>
      <c r="I168" s="7">
        <f t="shared" si="11"/>
        <v>0</v>
      </c>
      <c r="J168" s="7">
        <f t="shared" si="9"/>
        <v>0</v>
      </c>
      <c r="K168" s="69">
        <f t="shared" si="10"/>
        <v>-45326.584507042244</v>
      </c>
    </row>
    <row r="169" spans="1:11" x14ac:dyDescent="0.25">
      <c r="A169" s="37">
        <f>Données!A166</f>
        <v>5683</v>
      </c>
      <c r="B169" s="126" t="str">
        <f>Données!B166</f>
        <v>Prévonloup</v>
      </c>
      <c r="C169" s="7">
        <f>Données!Z166</f>
        <v>231</v>
      </c>
      <c r="D169" s="7">
        <f t="shared" si="8"/>
        <v>231</v>
      </c>
      <c r="E169" s="150">
        <f t="shared" si="11"/>
        <v>0</v>
      </c>
      <c r="F169" s="7">
        <f t="shared" si="11"/>
        <v>0</v>
      </c>
      <c r="G169" s="150">
        <f t="shared" si="11"/>
        <v>0</v>
      </c>
      <c r="H169" s="30">
        <f t="shared" si="11"/>
        <v>0</v>
      </c>
      <c r="I169" s="7">
        <f t="shared" si="11"/>
        <v>0</v>
      </c>
      <c r="J169" s="7">
        <f t="shared" si="9"/>
        <v>0</v>
      </c>
      <c r="K169" s="69">
        <f t="shared" si="10"/>
        <v>-30705.105633802814</v>
      </c>
    </row>
    <row r="170" spans="1:11" x14ac:dyDescent="0.25">
      <c r="A170" s="37">
        <f>Données!A167</f>
        <v>5684</v>
      </c>
      <c r="B170" s="126" t="str">
        <f>Données!B167</f>
        <v>Rossenges</v>
      </c>
      <c r="C170" s="7">
        <f>Données!Z167</f>
        <v>90</v>
      </c>
      <c r="D170" s="7">
        <f t="shared" si="8"/>
        <v>90</v>
      </c>
      <c r="E170" s="150">
        <f t="shared" si="11"/>
        <v>0</v>
      </c>
      <c r="F170" s="7">
        <f t="shared" si="11"/>
        <v>0</v>
      </c>
      <c r="G170" s="150">
        <f t="shared" si="11"/>
        <v>0</v>
      </c>
      <c r="H170" s="30">
        <f t="shared" si="11"/>
        <v>0</v>
      </c>
      <c r="I170" s="7">
        <f t="shared" si="11"/>
        <v>0</v>
      </c>
      <c r="J170" s="7">
        <f t="shared" si="9"/>
        <v>0</v>
      </c>
      <c r="K170" s="69">
        <f t="shared" si="10"/>
        <v>-11963.028169014084</v>
      </c>
    </row>
    <row r="171" spans="1:11" x14ac:dyDescent="0.25">
      <c r="A171" s="37">
        <f>Données!A168</f>
        <v>5688</v>
      </c>
      <c r="B171" s="126" t="str">
        <f>Données!B168</f>
        <v>Syens</v>
      </c>
      <c r="C171" s="7">
        <f>Données!Z168</f>
        <v>151</v>
      </c>
      <c r="D171" s="7">
        <f t="shared" si="8"/>
        <v>151</v>
      </c>
      <c r="E171" s="150">
        <f t="shared" si="11"/>
        <v>0</v>
      </c>
      <c r="F171" s="7">
        <f t="shared" si="11"/>
        <v>0</v>
      </c>
      <c r="G171" s="150">
        <f t="shared" si="11"/>
        <v>0</v>
      </c>
      <c r="H171" s="30">
        <f t="shared" si="11"/>
        <v>0</v>
      </c>
      <c r="I171" s="7">
        <f t="shared" si="11"/>
        <v>0</v>
      </c>
      <c r="J171" s="7">
        <f t="shared" si="9"/>
        <v>0</v>
      </c>
      <c r="K171" s="69">
        <f t="shared" si="10"/>
        <v>-20071.302816901407</v>
      </c>
    </row>
    <row r="172" spans="1:11" x14ac:dyDescent="0.25">
      <c r="A172" s="37">
        <f>Données!A169</f>
        <v>5690</v>
      </c>
      <c r="B172" s="126" t="str">
        <f>Données!B169</f>
        <v>Villars-le-Comte</v>
      </c>
      <c r="C172" s="7">
        <f>Données!Z169</f>
        <v>132</v>
      </c>
      <c r="D172" s="7">
        <f t="shared" ref="D172:D235" si="12">IF($C172&gt;D$5,IF($C172&lt;D$6,$C172-D$5,D$6-D$5),0)</f>
        <v>132</v>
      </c>
      <c r="E172" s="150">
        <f t="shared" si="11"/>
        <v>0</v>
      </c>
      <c r="F172" s="7">
        <f t="shared" si="11"/>
        <v>0</v>
      </c>
      <c r="G172" s="150">
        <f t="shared" si="11"/>
        <v>0</v>
      </c>
      <c r="H172" s="30">
        <f t="shared" si="11"/>
        <v>0</v>
      </c>
      <c r="I172" s="7">
        <f t="shared" si="11"/>
        <v>0</v>
      </c>
      <c r="J172" s="7">
        <f t="shared" si="9"/>
        <v>0</v>
      </c>
      <c r="K172" s="69">
        <f t="shared" si="10"/>
        <v>-17545.774647887323</v>
      </c>
    </row>
    <row r="173" spans="1:11" x14ac:dyDescent="0.25">
      <c r="A173" s="37">
        <f>Données!A170</f>
        <v>5692</v>
      </c>
      <c r="B173" s="126" t="str">
        <f>Données!B170</f>
        <v>Vucherens</v>
      </c>
      <c r="C173" s="7">
        <f>Données!Z170</f>
        <v>622</v>
      </c>
      <c r="D173" s="7">
        <f t="shared" si="12"/>
        <v>622</v>
      </c>
      <c r="E173" s="150">
        <f t="shared" si="11"/>
        <v>0</v>
      </c>
      <c r="F173" s="7">
        <f t="shared" si="11"/>
        <v>0</v>
      </c>
      <c r="G173" s="150">
        <f t="shared" si="11"/>
        <v>0</v>
      </c>
      <c r="H173" s="30">
        <f t="shared" si="11"/>
        <v>0</v>
      </c>
      <c r="I173" s="7">
        <f t="shared" si="11"/>
        <v>0</v>
      </c>
      <c r="J173" s="7">
        <f t="shared" si="9"/>
        <v>0</v>
      </c>
      <c r="K173" s="69">
        <f t="shared" si="10"/>
        <v>-82677.816901408441</v>
      </c>
    </row>
    <row r="174" spans="1:11" x14ac:dyDescent="0.25">
      <c r="A174" s="37">
        <f>Données!A171</f>
        <v>5693</v>
      </c>
      <c r="B174" s="126" t="str">
        <f>Données!B171</f>
        <v>Montanaire</v>
      </c>
      <c r="C174" s="7">
        <f>Données!Z171</f>
        <v>2861</v>
      </c>
      <c r="D174" s="7">
        <f t="shared" si="12"/>
        <v>1000</v>
      </c>
      <c r="E174" s="150">
        <f t="shared" si="11"/>
        <v>1861</v>
      </c>
      <c r="F174" s="7">
        <f t="shared" si="11"/>
        <v>0</v>
      </c>
      <c r="G174" s="150">
        <f t="shared" si="11"/>
        <v>0</v>
      </c>
      <c r="H174" s="30">
        <f t="shared" si="11"/>
        <v>0</v>
      </c>
      <c r="I174" s="7">
        <f t="shared" si="11"/>
        <v>0</v>
      </c>
      <c r="J174" s="7">
        <f t="shared" si="9"/>
        <v>0</v>
      </c>
      <c r="K174" s="69">
        <f t="shared" si="10"/>
        <v>-825555.28169014072</v>
      </c>
    </row>
    <row r="175" spans="1:11" x14ac:dyDescent="0.25">
      <c r="A175" s="37">
        <f>Données!A172</f>
        <v>5701</v>
      </c>
      <c r="B175" s="126" t="str">
        <f>Données!B172</f>
        <v>Arnex-sur-Nyon</v>
      </c>
      <c r="C175" s="7">
        <f>Données!Z172</f>
        <v>267</v>
      </c>
      <c r="D175" s="7">
        <f t="shared" si="12"/>
        <v>267</v>
      </c>
      <c r="E175" s="150">
        <f t="shared" si="11"/>
        <v>0</v>
      </c>
      <c r="F175" s="7">
        <f t="shared" si="11"/>
        <v>0</v>
      </c>
      <c r="G175" s="150">
        <f t="shared" si="11"/>
        <v>0</v>
      </c>
      <c r="H175" s="30">
        <f t="shared" si="11"/>
        <v>0</v>
      </c>
      <c r="I175" s="7">
        <f t="shared" si="11"/>
        <v>0</v>
      </c>
      <c r="J175" s="7">
        <f t="shared" si="9"/>
        <v>0</v>
      </c>
      <c r="K175" s="69">
        <f t="shared" si="10"/>
        <v>-35490.316901408449</v>
      </c>
    </row>
    <row r="176" spans="1:11" x14ac:dyDescent="0.25">
      <c r="A176" s="37">
        <f>Données!A173</f>
        <v>5702</v>
      </c>
      <c r="B176" s="126" t="str">
        <f>Données!B173</f>
        <v>Arzier-Le Muids</v>
      </c>
      <c r="C176" s="7">
        <f>Données!Z173</f>
        <v>2968</v>
      </c>
      <c r="D176" s="7">
        <f t="shared" si="12"/>
        <v>1000</v>
      </c>
      <c r="E176" s="150">
        <f t="shared" si="11"/>
        <v>1968</v>
      </c>
      <c r="F176" s="7">
        <f t="shared" si="11"/>
        <v>0</v>
      </c>
      <c r="G176" s="150">
        <f t="shared" si="11"/>
        <v>0</v>
      </c>
      <c r="H176" s="30">
        <f t="shared" si="11"/>
        <v>0</v>
      </c>
      <c r="I176" s="7">
        <f t="shared" si="11"/>
        <v>0</v>
      </c>
      <c r="J176" s="7">
        <f t="shared" si="9"/>
        <v>0</v>
      </c>
      <c r="K176" s="69">
        <f t="shared" si="10"/>
        <v>-865378.87323943642</v>
      </c>
    </row>
    <row r="177" spans="1:11" x14ac:dyDescent="0.25">
      <c r="A177" s="37">
        <f>Données!A174</f>
        <v>5703</v>
      </c>
      <c r="B177" s="126" t="str">
        <f>Données!B174</f>
        <v>Bassins</v>
      </c>
      <c r="C177" s="7">
        <f>Données!Z174</f>
        <v>1484</v>
      </c>
      <c r="D177" s="7">
        <f t="shared" si="12"/>
        <v>1000</v>
      </c>
      <c r="E177" s="150">
        <f t="shared" si="11"/>
        <v>484</v>
      </c>
      <c r="F177" s="7">
        <f t="shared" si="11"/>
        <v>0</v>
      </c>
      <c r="G177" s="150">
        <f t="shared" si="11"/>
        <v>0</v>
      </c>
      <c r="H177" s="30">
        <f t="shared" si="11"/>
        <v>0</v>
      </c>
      <c r="I177" s="7">
        <f t="shared" si="11"/>
        <v>0</v>
      </c>
      <c r="J177" s="7">
        <f t="shared" si="9"/>
        <v>0</v>
      </c>
      <c r="K177" s="69">
        <f t="shared" si="10"/>
        <v>-313059.15492957743</v>
      </c>
    </row>
    <row r="178" spans="1:11" x14ac:dyDescent="0.25">
      <c r="A178" s="37">
        <f>Données!A175</f>
        <v>5704</v>
      </c>
      <c r="B178" s="126" t="str">
        <f>Données!B175</f>
        <v>Begnins</v>
      </c>
      <c r="C178" s="7">
        <f>Données!Z175</f>
        <v>2041</v>
      </c>
      <c r="D178" s="7">
        <f t="shared" si="12"/>
        <v>1000</v>
      </c>
      <c r="E178" s="150">
        <f t="shared" si="11"/>
        <v>1041</v>
      </c>
      <c r="F178" s="7">
        <f t="shared" si="11"/>
        <v>0</v>
      </c>
      <c r="G178" s="150">
        <f t="shared" si="11"/>
        <v>0</v>
      </c>
      <c r="H178" s="30">
        <f t="shared" si="11"/>
        <v>0</v>
      </c>
      <c r="I178" s="7">
        <f t="shared" si="11"/>
        <v>0</v>
      </c>
      <c r="J178" s="7">
        <f t="shared" si="9"/>
        <v>0</v>
      </c>
      <c r="K178" s="69">
        <f t="shared" si="10"/>
        <v>-520365.14084507036</v>
      </c>
    </row>
    <row r="179" spans="1:11" x14ac:dyDescent="0.25">
      <c r="A179" s="37">
        <f>Données!A176</f>
        <v>5705</v>
      </c>
      <c r="B179" s="126" t="str">
        <f>Données!B176</f>
        <v>Bogis-Bossey</v>
      </c>
      <c r="C179" s="7">
        <f>Données!Z176</f>
        <v>990</v>
      </c>
      <c r="D179" s="7">
        <f t="shared" si="12"/>
        <v>990</v>
      </c>
      <c r="E179" s="150">
        <f t="shared" si="11"/>
        <v>0</v>
      </c>
      <c r="F179" s="7">
        <f t="shared" si="11"/>
        <v>0</v>
      </c>
      <c r="G179" s="150">
        <f t="shared" si="11"/>
        <v>0</v>
      </c>
      <c r="H179" s="30">
        <f t="shared" si="11"/>
        <v>0</v>
      </c>
      <c r="I179" s="7">
        <f t="shared" si="11"/>
        <v>0</v>
      </c>
      <c r="J179" s="7">
        <f t="shared" si="9"/>
        <v>0</v>
      </c>
      <c r="K179" s="69">
        <f t="shared" si="10"/>
        <v>-131593.30985915492</v>
      </c>
    </row>
    <row r="180" spans="1:11" x14ac:dyDescent="0.25">
      <c r="A180" s="37">
        <f>Données!A177</f>
        <v>5706</v>
      </c>
      <c r="B180" s="126" t="str">
        <f>Données!B177</f>
        <v>Borex</v>
      </c>
      <c r="C180" s="7">
        <f>Données!Z177</f>
        <v>1144</v>
      </c>
      <c r="D180" s="7">
        <f t="shared" si="12"/>
        <v>1000</v>
      </c>
      <c r="E180" s="150">
        <f t="shared" si="11"/>
        <v>144</v>
      </c>
      <c r="F180" s="7">
        <f t="shared" si="11"/>
        <v>0</v>
      </c>
      <c r="G180" s="150">
        <f t="shared" si="11"/>
        <v>0</v>
      </c>
      <c r="H180" s="30">
        <f t="shared" si="11"/>
        <v>0</v>
      </c>
      <c r="I180" s="7">
        <f t="shared" si="11"/>
        <v>0</v>
      </c>
      <c r="J180" s="7">
        <f t="shared" si="9"/>
        <v>0</v>
      </c>
      <c r="K180" s="69">
        <f t="shared" si="10"/>
        <v>-186516.90140845068</v>
      </c>
    </row>
    <row r="181" spans="1:11" x14ac:dyDescent="0.25">
      <c r="A181" s="37">
        <f>Données!A178</f>
        <v>5707</v>
      </c>
      <c r="B181" s="126" t="str">
        <f>Données!B178</f>
        <v>Chavannes-de-Bogis</v>
      </c>
      <c r="C181" s="7">
        <f>Données!Z178</f>
        <v>1388</v>
      </c>
      <c r="D181" s="7">
        <f t="shared" si="12"/>
        <v>1000</v>
      </c>
      <c r="E181" s="150">
        <f t="shared" si="11"/>
        <v>388</v>
      </c>
      <c r="F181" s="7">
        <f t="shared" si="11"/>
        <v>0</v>
      </c>
      <c r="G181" s="150">
        <f t="shared" si="11"/>
        <v>0</v>
      </c>
      <c r="H181" s="30">
        <f t="shared" si="11"/>
        <v>0</v>
      </c>
      <c r="I181" s="7">
        <f t="shared" si="11"/>
        <v>0</v>
      </c>
      <c r="J181" s="7">
        <f t="shared" si="9"/>
        <v>0</v>
      </c>
      <c r="K181" s="69">
        <f t="shared" si="10"/>
        <v>-277329.57746478869</v>
      </c>
    </row>
    <row r="182" spans="1:11" x14ac:dyDescent="0.25">
      <c r="A182" s="37">
        <f>Données!A179</f>
        <v>5708</v>
      </c>
      <c r="B182" s="126" t="str">
        <f>Données!B179</f>
        <v>Chavannes-des-Bois</v>
      </c>
      <c r="C182" s="7">
        <f>Données!Z179</f>
        <v>982</v>
      </c>
      <c r="D182" s="7">
        <f t="shared" si="12"/>
        <v>982</v>
      </c>
      <c r="E182" s="150">
        <f t="shared" si="11"/>
        <v>0</v>
      </c>
      <c r="F182" s="7">
        <f t="shared" si="11"/>
        <v>0</v>
      </c>
      <c r="G182" s="150">
        <f t="shared" si="11"/>
        <v>0</v>
      </c>
      <c r="H182" s="30">
        <f t="shared" si="11"/>
        <v>0</v>
      </c>
      <c r="I182" s="7">
        <f t="shared" si="11"/>
        <v>0</v>
      </c>
      <c r="J182" s="7">
        <f t="shared" si="9"/>
        <v>0</v>
      </c>
      <c r="K182" s="69">
        <f t="shared" si="10"/>
        <v>-130529.92957746478</v>
      </c>
    </row>
    <row r="183" spans="1:11" x14ac:dyDescent="0.25">
      <c r="A183" s="37">
        <f>Données!A180</f>
        <v>5709</v>
      </c>
      <c r="B183" s="126" t="str">
        <f>Données!B180</f>
        <v>Chéserex</v>
      </c>
      <c r="C183" s="7">
        <f>Données!Z180</f>
        <v>1277</v>
      </c>
      <c r="D183" s="7">
        <f t="shared" si="12"/>
        <v>1000</v>
      </c>
      <c r="E183" s="150">
        <f t="shared" si="11"/>
        <v>277</v>
      </c>
      <c r="F183" s="7">
        <f t="shared" si="11"/>
        <v>0</v>
      </c>
      <c r="G183" s="150">
        <f t="shared" si="11"/>
        <v>0</v>
      </c>
      <c r="H183" s="30">
        <f t="shared" si="11"/>
        <v>0</v>
      </c>
      <c r="I183" s="7">
        <f t="shared" si="11"/>
        <v>0</v>
      </c>
      <c r="J183" s="7">
        <f t="shared" si="9"/>
        <v>0</v>
      </c>
      <c r="K183" s="69">
        <f t="shared" si="10"/>
        <v>-236017.25352112675</v>
      </c>
    </row>
    <row r="184" spans="1:11" x14ac:dyDescent="0.25">
      <c r="A184" s="37">
        <f>Données!A181</f>
        <v>5710</v>
      </c>
      <c r="B184" s="126" t="str">
        <f>Données!B181</f>
        <v>Coinsins</v>
      </c>
      <c r="C184" s="7">
        <f>Données!Z181</f>
        <v>517</v>
      </c>
      <c r="D184" s="7">
        <f t="shared" si="12"/>
        <v>517</v>
      </c>
      <c r="E184" s="150">
        <f t="shared" si="11"/>
        <v>0</v>
      </c>
      <c r="F184" s="7">
        <f t="shared" si="11"/>
        <v>0</v>
      </c>
      <c r="G184" s="150">
        <f t="shared" si="11"/>
        <v>0</v>
      </c>
      <c r="H184" s="30">
        <f t="shared" si="11"/>
        <v>0</v>
      </c>
      <c r="I184" s="7">
        <f t="shared" si="11"/>
        <v>0</v>
      </c>
      <c r="J184" s="7">
        <f t="shared" si="9"/>
        <v>0</v>
      </c>
      <c r="K184" s="69">
        <f t="shared" si="10"/>
        <v>-68720.950704225339</v>
      </c>
    </row>
    <row r="185" spans="1:11" x14ac:dyDescent="0.25">
      <c r="A185" s="37">
        <f>Données!A182</f>
        <v>5711</v>
      </c>
      <c r="B185" s="126" t="str">
        <f>Données!B182</f>
        <v>Commugny</v>
      </c>
      <c r="C185" s="7">
        <f>Données!Z182</f>
        <v>2987</v>
      </c>
      <c r="D185" s="7">
        <f t="shared" si="12"/>
        <v>1000</v>
      </c>
      <c r="E185" s="150">
        <f t="shared" si="11"/>
        <v>1987</v>
      </c>
      <c r="F185" s="7">
        <f t="shared" si="11"/>
        <v>0</v>
      </c>
      <c r="G185" s="150">
        <f t="shared" si="11"/>
        <v>0</v>
      </c>
      <c r="H185" s="30">
        <f t="shared" si="11"/>
        <v>0</v>
      </c>
      <c r="I185" s="7">
        <f t="shared" si="11"/>
        <v>0</v>
      </c>
      <c r="J185" s="7">
        <f t="shared" si="9"/>
        <v>0</v>
      </c>
      <c r="K185" s="69">
        <f t="shared" si="10"/>
        <v>-872450.35211267602</v>
      </c>
    </row>
    <row r="186" spans="1:11" x14ac:dyDescent="0.25">
      <c r="A186" s="37">
        <f>Données!A183</f>
        <v>5712</v>
      </c>
      <c r="B186" s="126" t="str">
        <f>Données!B183</f>
        <v>Coppet</v>
      </c>
      <c r="C186" s="7">
        <f>Données!Z183</f>
        <v>3216</v>
      </c>
      <c r="D186" s="7">
        <f t="shared" si="12"/>
        <v>1000</v>
      </c>
      <c r="E186" s="150">
        <f t="shared" si="11"/>
        <v>2000</v>
      </c>
      <c r="F186" s="7">
        <f t="shared" si="11"/>
        <v>216</v>
      </c>
      <c r="G186" s="150">
        <f t="shared" si="11"/>
        <v>0</v>
      </c>
      <c r="H186" s="30">
        <f t="shared" si="11"/>
        <v>0</v>
      </c>
      <c r="I186" s="7">
        <f t="shared" si="11"/>
        <v>0</v>
      </c>
      <c r="J186" s="7">
        <f t="shared" si="9"/>
        <v>0</v>
      </c>
      <c r="K186" s="69">
        <f t="shared" si="10"/>
        <v>-992133.80281690124</v>
      </c>
    </row>
    <row r="187" spans="1:11" x14ac:dyDescent="0.25">
      <c r="A187" s="37">
        <f>Données!A184</f>
        <v>5713</v>
      </c>
      <c r="B187" s="126" t="str">
        <f>Données!B184</f>
        <v>Crans</v>
      </c>
      <c r="C187" s="7">
        <f>Données!Z184</f>
        <v>2455</v>
      </c>
      <c r="D187" s="7">
        <f t="shared" si="12"/>
        <v>1000</v>
      </c>
      <c r="E187" s="150">
        <f t="shared" si="11"/>
        <v>1455</v>
      </c>
      <c r="F187" s="7">
        <f t="shared" si="11"/>
        <v>0</v>
      </c>
      <c r="G187" s="150">
        <f t="shared" si="11"/>
        <v>0</v>
      </c>
      <c r="H187" s="30">
        <f t="shared" si="11"/>
        <v>0</v>
      </c>
      <c r="I187" s="7">
        <f t="shared" si="11"/>
        <v>0</v>
      </c>
      <c r="J187" s="7">
        <f t="shared" si="9"/>
        <v>0</v>
      </c>
      <c r="K187" s="69">
        <f t="shared" si="10"/>
        <v>-674448.94366197172</v>
      </c>
    </row>
    <row r="188" spans="1:11" x14ac:dyDescent="0.25">
      <c r="A188" s="37">
        <f>Données!A185</f>
        <v>5714</v>
      </c>
      <c r="B188" s="126" t="str">
        <f>Données!B185</f>
        <v>Crassier</v>
      </c>
      <c r="C188" s="7">
        <f>Données!Z185</f>
        <v>1274</v>
      </c>
      <c r="D188" s="7">
        <f t="shared" si="12"/>
        <v>1000</v>
      </c>
      <c r="E188" s="150">
        <f t="shared" si="11"/>
        <v>274</v>
      </c>
      <c r="F188" s="7">
        <f t="shared" si="11"/>
        <v>0</v>
      </c>
      <c r="G188" s="150">
        <f t="shared" si="11"/>
        <v>0</v>
      </c>
      <c r="H188" s="30">
        <f t="shared" si="11"/>
        <v>0</v>
      </c>
      <c r="I188" s="7">
        <f t="shared" si="11"/>
        <v>0</v>
      </c>
      <c r="J188" s="7">
        <f t="shared" si="9"/>
        <v>0</v>
      </c>
      <c r="K188" s="69">
        <f t="shared" si="10"/>
        <v>-234900.70422535209</v>
      </c>
    </row>
    <row r="189" spans="1:11" x14ac:dyDescent="0.25">
      <c r="A189" s="37">
        <f>Données!A186</f>
        <v>5715</v>
      </c>
      <c r="B189" s="126" t="str">
        <f>Données!B186</f>
        <v>Duillier</v>
      </c>
      <c r="C189" s="7">
        <f>Données!Z186</f>
        <v>1143</v>
      </c>
      <c r="D189" s="7">
        <f t="shared" si="12"/>
        <v>1000</v>
      </c>
      <c r="E189" s="150">
        <f t="shared" si="11"/>
        <v>143</v>
      </c>
      <c r="F189" s="7">
        <f t="shared" si="11"/>
        <v>0</v>
      </c>
      <c r="G189" s="150">
        <f t="shared" si="11"/>
        <v>0</v>
      </c>
      <c r="H189" s="30">
        <f t="shared" si="11"/>
        <v>0</v>
      </c>
      <c r="I189" s="7">
        <f t="shared" si="11"/>
        <v>0</v>
      </c>
      <c r="J189" s="7">
        <f t="shared" si="9"/>
        <v>0</v>
      </c>
      <c r="K189" s="69">
        <f t="shared" si="10"/>
        <v>-186144.71830985913</v>
      </c>
    </row>
    <row r="190" spans="1:11" x14ac:dyDescent="0.25">
      <c r="A190" s="37">
        <f>Données!A187</f>
        <v>5716</v>
      </c>
      <c r="B190" s="126" t="str">
        <f>Données!B187</f>
        <v>Eysins</v>
      </c>
      <c r="C190" s="7">
        <f>Données!Z187</f>
        <v>1772</v>
      </c>
      <c r="D190" s="7">
        <f t="shared" si="12"/>
        <v>1000</v>
      </c>
      <c r="E190" s="150">
        <f t="shared" si="11"/>
        <v>772</v>
      </c>
      <c r="F190" s="7">
        <f t="shared" si="11"/>
        <v>0</v>
      </c>
      <c r="G190" s="150">
        <f t="shared" si="11"/>
        <v>0</v>
      </c>
      <c r="H190" s="30">
        <f t="shared" si="11"/>
        <v>0</v>
      </c>
      <c r="I190" s="7">
        <f t="shared" si="11"/>
        <v>0</v>
      </c>
      <c r="J190" s="7">
        <f t="shared" si="9"/>
        <v>0</v>
      </c>
      <c r="K190" s="69">
        <f t="shared" si="10"/>
        <v>-420247.88732394361</v>
      </c>
    </row>
    <row r="191" spans="1:11" x14ac:dyDescent="0.25">
      <c r="A191" s="37">
        <f>Données!A188</f>
        <v>5717</v>
      </c>
      <c r="B191" s="126" t="str">
        <f>Données!B188</f>
        <v>Founex</v>
      </c>
      <c r="C191" s="7">
        <f>Données!Z188</f>
        <v>3748</v>
      </c>
      <c r="D191" s="7">
        <f t="shared" si="12"/>
        <v>1000</v>
      </c>
      <c r="E191" s="150">
        <f t="shared" si="11"/>
        <v>2000</v>
      </c>
      <c r="F191" s="7">
        <f t="shared" si="11"/>
        <v>748</v>
      </c>
      <c r="G191" s="150">
        <f t="shared" si="11"/>
        <v>0</v>
      </c>
      <c r="H191" s="30">
        <f t="shared" si="11"/>
        <v>0</v>
      </c>
      <c r="I191" s="7">
        <f t="shared" si="11"/>
        <v>0</v>
      </c>
      <c r="J191" s="7">
        <f t="shared" si="9"/>
        <v>0</v>
      </c>
      <c r="K191" s="69">
        <f t="shared" si="10"/>
        <v>-1274992.9577464787</v>
      </c>
    </row>
    <row r="192" spans="1:11" x14ac:dyDescent="0.25">
      <c r="A192" s="37">
        <f>Données!A189</f>
        <v>5718</v>
      </c>
      <c r="B192" s="126" t="str">
        <f>Données!B189</f>
        <v>Genolier</v>
      </c>
      <c r="C192" s="7">
        <f>Données!Z189</f>
        <v>2012</v>
      </c>
      <c r="D192" s="7">
        <f t="shared" si="12"/>
        <v>1000</v>
      </c>
      <c r="E192" s="150">
        <f t="shared" si="11"/>
        <v>1012</v>
      </c>
      <c r="F192" s="7">
        <f t="shared" si="11"/>
        <v>0</v>
      </c>
      <c r="G192" s="150">
        <f t="shared" si="11"/>
        <v>0</v>
      </c>
      <c r="H192" s="30">
        <f t="shared" si="11"/>
        <v>0</v>
      </c>
      <c r="I192" s="7">
        <f t="shared" si="11"/>
        <v>0</v>
      </c>
      <c r="J192" s="7">
        <f t="shared" si="9"/>
        <v>0</v>
      </c>
      <c r="K192" s="69">
        <f t="shared" si="10"/>
        <v>-509571.83098591544</v>
      </c>
    </row>
    <row r="193" spans="1:11" x14ac:dyDescent="0.25">
      <c r="A193" s="37">
        <f>Données!A190</f>
        <v>5719</v>
      </c>
      <c r="B193" s="126" t="str">
        <f>Données!B190</f>
        <v>Gingins</v>
      </c>
      <c r="C193" s="7">
        <f>Données!Z190</f>
        <v>1253</v>
      </c>
      <c r="D193" s="7">
        <f t="shared" si="12"/>
        <v>1000</v>
      </c>
      <c r="E193" s="150">
        <f t="shared" si="11"/>
        <v>253</v>
      </c>
      <c r="F193" s="7">
        <f t="shared" si="11"/>
        <v>0</v>
      </c>
      <c r="G193" s="150">
        <f t="shared" si="11"/>
        <v>0</v>
      </c>
      <c r="H193" s="30">
        <f t="shared" si="11"/>
        <v>0</v>
      </c>
      <c r="I193" s="7">
        <f t="shared" si="11"/>
        <v>0</v>
      </c>
      <c r="J193" s="7">
        <f t="shared" si="9"/>
        <v>0</v>
      </c>
      <c r="K193" s="69">
        <f t="shared" si="10"/>
        <v>-227084.85915492955</v>
      </c>
    </row>
    <row r="194" spans="1:11" x14ac:dyDescent="0.25">
      <c r="A194" s="37">
        <f>Données!A191</f>
        <v>5720</v>
      </c>
      <c r="B194" s="126" t="str">
        <f>Données!B191</f>
        <v>Givrins</v>
      </c>
      <c r="C194" s="7">
        <f>Données!Z191</f>
        <v>1071</v>
      </c>
      <c r="D194" s="7">
        <f t="shared" si="12"/>
        <v>1000</v>
      </c>
      <c r="E194" s="150">
        <f t="shared" si="11"/>
        <v>71</v>
      </c>
      <c r="F194" s="7">
        <f t="shared" si="11"/>
        <v>0</v>
      </c>
      <c r="G194" s="150">
        <f t="shared" si="11"/>
        <v>0</v>
      </c>
      <c r="H194" s="30">
        <f t="shared" si="11"/>
        <v>0</v>
      </c>
      <c r="I194" s="7">
        <f t="shared" si="11"/>
        <v>0</v>
      </c>
      <c r="J194" s="7">
        <f t="shared" si="9"/>
        <v>0</v>
      </c>
      <c r="K194" s="69">
        <f t="shared" si="10"/>
        <v>-159347.53521126759</v>
      </c>
    </row>
    <row r="195" spans="1:11" x14ac:dyDescent="0.25">
      <c r="A195" s="37">
        <f>Données!A192</f>
        <v>5721</v>
      </c>
      <c r="B195" s="126" t="str">
        <f>Données!B192</f>
        <v>Gland</v>
      </c>
      <c r="C195" s="7">
        <f>Données!Z192</f>
        <v>13968</v>
      </c>
      <c r="D195" s="7">
        <f t="shared" si="12"/>
        <v>1000</v>
      </c>
      <c r="E195" s="150">
        <f t="shared" si="11"/>
        <v>2000</v>
      </c>
      <c r="F195" s="7">
        <f t="shared" si="11"/>
        <v>2000</v>
      </c>
      <c r="G195" s="150">
        <f t="shared" si="11"/>
        <v>4000</v>
      </c>
      <c r="H195" s="30">
        <f t="shared" si="11"/>
        <v>3000</v>
      </c>
      <c r="I195" s="7">
        <f t="shared" si="11"/>
        <v>1968</v>
      </c>
      <c r="J195" s="7">
        <f t="shared" si="9"/>
        <v>0</v>
      </c>
      <c r="K195" s="69">
        <f t="shared" si="10"/>
        <v>-9297133.8028169014</v>
      </c>
    </row>
    <row r="196" spans="1:11" x14ac:dyDescent="0.25">
      <c r="A196" s="37">
        <f>Données!A193</f>
        <v>5722</v>
      </c>
      <c r="B196" s="126" t="str">
        <f>Données!B193</f>
        <v>Grens</v>
      </c>
      <c r="C196" s="7">
        <f>Données!Z193</f>
        <v>394</v>
      </c>
      <c r="D196" s="7">
        <f t="shared" si="12"/>
        <v>394</v>
      </c>
      <c r="E196" s="150">
        <f t="shared" si="11"/>
        <v>0</v>
      </c>
      <c r="F196" s="7">
        <f t="shared" si="11"/>
        <v>0</v>
      </c>
      <c r="G196" s="150">
        <f t="shared" si="11"/>
        <v>0</v>
      </c>
      <c r="H196" s="30">
        <f t="shared" si="11"/>
        <v>0</v>
      </c>
      <c r="I196" s="7">
        <f t="shared" si="11"/>
        <v>0</v>
      </c>
      <c r="J196" s="7">
        <f t="shared" si="9"/>
        <v>0</v>
      </c>
      <c r="K196" s="69">
        <f t="shared" si="10"/>
        <v>-52371.47887323943</v>
      </c>
    </row>
    <row r="197" spans="1:11" x14ac:dyDescent="0.25">
      <c r="A197" s="37">
        <f>Données!A194</f>
        <v>5723</v>
      </c>
      <c r="B197" s="126" t="str">
        <f>Données!B194</f>
        <v>Mies</v>
      </c>
      <c r="C197" s="7">
        <f>Données!Z194</f>
        <v>2163</v>
      </c>
      <c r="D197" s="7">
        <f t="shared" si="12"/>
        <v>1000</v>
      </c>
      <c r="E197" s="150">
        <f t="shared" si="11"/>
        <v>1163</v>
      </c>
      <c r="F197" s="7">
        <f t="shared" si="11"/>
        <v>0</v>
      </c>
      <c r="G197" s="150">
        <f t="shared" si="11"/>
        <v>0</v>
      </c>
      <c r="H197" s="30">
        <f t="shared" si="11"/>
        <v>0</v>
      </c>
      <c r="I197" s="7">
        <f t="shared" si="11"/>
        <v>0</v>
      </c>
      <c r="J197" s="7">
        <f t="shared" si="9"/>
        <v>0</v>
      </c>
      <c r="K197" s="69">
        <f t="shared" si="10"/>
        <v>-565771.47887323936</v>
      </c>
    </row>
    <row r="198" spans="1:11" x14ac:dyDescent="0.25">
      <c r="A198" s="37">
        <f>Données!A195</f>
        <v>5724</v>
      </c>
      <c r="B198" s="126" t="str">
        <f>Données!B195</f>
        <v>Nyon</v>
      </c>
      <c r="C198" s="7">
        <f>Données!Z195</f>
        <v>23328</v>
      </c>
      <c r="D198" s="7">
        <f t="shared" si="12"/>
        <v>1000</v>
      </c>
      <c r="E198" s="150">
        <f t="shared" si="11"/>
        <v>2000</v>
      </c>
      <c r="F198" s="7">
        <f t="shared" si="11"/>
        <v>2000</v>
      </c>
      <c r="G198" s="150">
        <f t="shared" si="11"/>
        <v>4000</v>
      </c>
      <c r="H198" s="30">
        <f t="shared" si="11"/>
        <v>3000</v>
      </c>
      <c r="I198" s="7">
        <f t="shared" si="11"/>
        <v>3000</v>
      </c>
      <c r="J198" s="7">
        <f t="shared" si="9"/>
        <v>8328</v>
      </c>
      <c r="K198" s="69">
        <f t="shared" si="10"/>
        <v>-19693164.788732395</v>
      </c>
    </row>
    <row r="199" spans="1:11" x14ac:dyDescent="0.25">
      <c r="A199" s="37">
        <f>Données!A196</f>
        <v>5725</v>
      </c>
      <c r="B199" s="126" t="str">
        <f>Données!B196</f>
        <v>Prangins</v>
      </c>
      <c r="C199" s="7">
        <f>Données!Z196</f>
        <v>4280</v>
      </c>
      <c r="D199" s="7">
        <f t="shared" si="12"/>
        <v>1000</v>
      </c>
      <c r="E199" s="150">
        <f t="shared" si="11"/>
        <v>2000</v>
      </c>
      <c r="F199" s="7">
        <f t="shared" si="11"/>
        <v>1280</v>
      </c>
      <c r="G199" s="150">
        <f t="shared" si="11"/>
        <v>0</v>
      </c>
      <c r="H199" s="30">
        <f t="shared" si="11"/>
        <v>0</v>
      </c>
      <c r="I199" s="7">
        <f t="shared" si="11"/>
        <v>0</v>
      </c>
      <c r="J199" s="7">
        <f t="shared" si="9"/>
        <v>0</v>
      </c>
      <c r="K199" s="69">
        <f t="shared" si="10"/>
        <v>-1557852.1126760561</v>
      </c>
    </row>
    <row r="200" spans="1:11" x14ac:dyDescent="0.25">
      <c r="A200" s="37">
        <f>Données!A197</f>
        <v>5726</v>
      </c>
      <c r="B200" s="126" t="str">
        <f>Données!B197</f>
        <v>La Rippe</v>
      </c>
      <c r="C200" s="7">
        <f>Données!Z197</f>
        <v>1194</v>
      </c>
      <c r="D200" s="7">
        <f t="shared" si="12"/>
        <v>1000</v>
      </c>
      <c r="E200" s="150">
        <f t="shared" si="11"/>
        <v>194</v>
      </c>
      <c r="F200" s="7">
        <f t="shared" si="11"/>
        <v>0</v>
      </c>
      <c r="G200" s="150">
        <f t="shared" si="11"/>
        <v>0</v>
      </c>
      <c r="H200" s="30">
        <f t="shared" si="11"/>
        <v>0</v>
      </c>
      <c r="I200" s="7">
        <f t="shared" si="11"/>
        <v>0</v>
      </c>
      <c r="J200" s="7">
        <f t="shared" si="9"/>
        <v>0</v>
      </c>
      <c r="K200" s="69">
        <f t="shared" si="10"/>
        <v>-205126.05633802814</v>
      </c>
    </row>
    <row r="201" spans="1:11" x14ac:dyDescent="0.25">
      <c r="A201" s="37">
        <f>Données!A198</f>
        <v>5727</v>
      </c>
      <c r="B201" s="126" t="str">
        <f>Données!B198</f>
        <v>Saint-Cergue</v>
      </c>
      <c r="C201" s="7">
        <f>Données!Z198</f>
        <v>3012</v>
      </c>
      <c r="D201" s="7">
        <f t="shared" si="12"/>
        <v>1000</v>
      </c>
      <c r="E201" s="150">
        <f t="shared" si="11"/>
        <v>2000</v>
      </c>
      <c r="F201" s="7">
        <f t="shared" si="11"/>
        <v>12</v>
      </c>
      <c r="G201" s="150">
        <f t="shared" si="11"/>
        <v>0</v>
      </c>
      <c r="H201" s="30">
        <f t="shared" si="11"/>
        <v>0</v>
      </c>
      <c r="I201" s="7">
        <f t="shared" si="11"/>
        <v>0</v>
      </c>
      <c r="J201" s="7">
        <f t="shared" si="9"/>
        <v>0</v>
      </c>
      <c r="K201" s="69">
        <f t="shared" si="10"/>
        <v>-883669.0140845069</v>
      </c>
    </row>
    <row r="202" spans="1:11" x14ac:dyDescent="0.25">
      <c r="A202" s="37">
        <f>Données!A199</f>
        <v>5728</v>
      </c>
      <c r="B202" s="126" t="str">
        <f>Données!B199</f>
        <v>Signy-Avenex</v>
      </c>
      <c r="C202" s="7">
        <f>Données!Z199</f>
        <v>605</v>
      </c>
      <c r="D202" s="7">
        <f t="shared" si="12"/>
        <v>605</v>
      </c>
      <c r="E202" s="150">
        <f t="shared" si="11"/>
        <v>0</v>
      </c>
      <c r="F202" s="7">
        <f t="shared" si="11"/>
        <v>0</v>
      </c>
      <c r="G202" s="150">
        <f t="shared" si="11"/>
        <v>0</v>
      </c>
      <c r="H202" s="30">
        <f t="shared" si="11"/>
        <v>0</v>
      </c>
      <c r="I202" s="7">
        <f t="shared" si="11"/>
        <v>0</v>
      </c>
      <c r="J202" s="7">
        <f t="shared" ref="J202:J265" si="13">IF(C202&gt;$J$5,C202-$J$5,0)</f>
        <v>0</v>
      </c>
      <c r="K202" s="69">
        <f t="shared" ref="K202:K265" si="14">-((D202*D$8)+(E202*E$8)+(F202*F$8)+(G202*G$8)+(H202*H$8)+(I202*I$8)+(J202*J$8))</f>
        <v>-80418.133802816883</v>
      </c>
    </row>
    <row r="203" spans="1:11" x14ac:dyDescent="0.25">
      <c r="A203" s="37">
        <f>Données!A200</f>
        <v>5729</v>
      </c>
      <c r="B203" s="126" t="str">
        <f>Données!B200</f>
        <v>Tannay</v>
      </c>
      <c r="C203" s="7">
        <f>Données!Z200</f>
        <v>1728</v>
      </c>
      <c r="D203" s="7">
        <f t="shared" si="12"/>
        <v>1000</v>
      </c>
      <c r="E203" s="150">
        <f t="shared" si="11"/>
        <v>728</v>
      </c>
      <c r="F203" s="7">
        <f t="shared" si="11"/>
        <v>0</v>
      </c>
      <c r="G203" s="150">
        <f t="shared" si="11"/>
        <v>0</v>
      </c>
      <c r="H203" s="30">
        <f t="shared" si="11"/>
        <v>0</v>
      </c>
      <c r="I203" s="7">
        <f t="shared" si="11"/>
        <v>0</v>
      </c>
      <c r="J203" s="7">
        <f t="shared" si="13"/>
        <v>0</v>
      </c>
      <c r="K203" s="69">
        <f t="shared" si="14"/>
        <v>-403871.83098591544</v>
      </c>
    </row>
    <row r="204" spans="1:11" x14ac:dyDescent="0.25">
      <c r="A204" s="37">
        <f>Données!A201</f>
        <v>5730</v>
      </c>
      <c r="B204" s="126" t="str">
        <f>Données!B201</f>
        <v>Trélex</v>
      </c>
      <c r="C204" s="7">
        <f>Données!Z201</f>
        <v>1428</v>
      </c>
      <c r="D204" s="7">
        <f t="shared" si="12"/>
        <v>1000</v>
      </c>
      <c r="E204" s="150">
        <f t="shared" si="11"/>
        <v>428</v>
      </c>
      <c r="F204" s="7">
        <f t="shared" si="11"/>
        <v>0</v>
      </c>
      <c r="G204" s="150">
        <f t="shared" si="11"/>
        <v>0</v>
      </c>
      <c r="H204" s="30">
        <f t="shared" si="11"/>
        <v>0</v>
      </c>
      <c r="I204" s="7">
        <f t="shared" si="11"/>
        <v>0</v>
      </c>
      <c r="J204" s="7">
        <f t="shared" si="13"/>
        <v>0</v>
      </c>
      <c r="K204" s="69">
        <f t="shared" si="14"/>
        <v>-292216.90140845068</v>
      </c>
    </row>
    <row r="205" spans="1:11" x14ac:dyDescent="0.25">
      <c r="A205" s="37">
        <f>Données!A202</f>
        <v>5731</v>
      </c>
      <c r="B205" s="126" t="str">
        <f>Données!B202</f>
        <v>Le Vaud</v>
      </c>
      <c r="C205" s="7">
        <f>Données!Z202</f>
        <v>1374</v>
      </c>
      <c r="D205" s="7">
        <f t="shared" si="12"/>
        <v>1000</v>
      </c>
      <c r="E205" s="150">
        <f t="shared" si="11"/>
        <v>374</v>
      </c>
      <c r="F205" s="7">
        <f t="shared" si="11"/>
        <v>0</v>
      </c>
      <c r="G205" s="150">
        <f t="shared" si="11"/>
        <v>0</v>
      </c>
      <c r="H205" s="30">
        <f t="shared" si="11"/>
        <v>0</v>
      </c>
      <c r="I205" s="7">
        <f t="shared" si="11"/>
        <v>0</v>
      </c>
      <c r="J205" s="7">
        <f t="shared" si="13"/>
        <v>0</v>
      </c>
      <c r="K205" s="69">
        <f t="shared" si="14"/>
        <v>-272119.01408450701</v>
      </c>
    </row>
    <row r="206" spans="1:11" x14ac:dyDescent="0.25">
      <c r="A206" s="37">
        <f>Données!A203</f>
        <v>5732</v>
      </c>
      <c r="B206" s="126" t="str">
        <f>Données!B203</f>
        <v>Vich</v>
      </c>
      <c r="C206" s="7">
        <f>Données!Z203</f>
        <v>1179</v>
      </c>
      <c r="D206" s="7">
        <f t="shared" si="12"/>
        <v>1000</v>
      </c>
      <c r="E206" s="150">
        <f t="shared" si="11"/>
        <v>179</v>
      </c>
      <c r="F206" s="7">
        <f t="shared" si="11"/>
        <v>0</v>
      </c>
      <c r="G206" s="150">
        <f t="shared" si="11"/>
        <v>0</v>
      </c>
      <c r="H206" s="30">
        <f t="shared" si="11"/>
        <v>0</v>
      </c>
      <c r="I206" s="7">
        <f t="shared" si="11"/>
        <v>0</v>
      </c>
      <c r="J206" s="7">
        <f t="shared" si="13"/>
        <v>0</v>
      </c>
      <c r="K206" s="69">
        <f t="shared" si="14"/>
        <v>-199543.30985915492</v>
      </c>
    </row>
    <row r="207" spans="1:11" x14ac:dyDescent="0.25">
      <c r="A207" s="37">
        <f>Données!A204</f>
        <v>5741</v>
      </c>
      <c r="B207" s="126" t="str">
        <f>Données!B204</f>
        <v>L'Abergement</v>
      </c>
      <c r="C207" s="7">
        <f>Données!Z204</f>
        <v>270</v>
      </c>
      <c r="D207" s="7">
        <f t="shared" si="12"/>
        <v>270</v>
      </c>
      <c r="E207" s="150">
        <f t="shared" si="11"/>
        <v>0</v>
      </c>
      <c r="F207" s="7">
        <f t="shared" si="11"/>
        <v>0</v>
      </c>
      <c r="G207" s="150">
        <f t="shared" si="11"/>
        <v>0</v>
      </c>
      <c r="H207" s="30">
        <f t="shared" si="11"/>
        <v>0</v>
      </c>
      <c r="I207" s="7">
        <f t="shared" si="11"/>
        <v>0</v>
      </c>
      <c r="J207" s="7">
        <f t="shared" si="13"/>
        <v>0</v>
      </c>
      <c r="K207" s="69">
        <f t="shared" si="14"/>
        <v>-35889.084507042251</v>
      </c>
    </row>
    <row r="208" spans="1:11" x14ac:dyDescent="0.25">
      <c r="A208" s="37">
        <f>Données!A205</f>
        <v>5742</v>
      </c>
      <c r="B208" s="126" t="str">
        <f>Données!B205</f>
        <v>Agiez</v>
      </c>
      <c r="C208" s="7">
        <f>Données!Z205</f>
        <v>373</v>
      </c>
      <c r="D208" s="7">
        <f t="shared" si="12"/>
        <v>373</v>
      </c>
      <c r="E208" s="150">
        <f t="shared" si="11"/>
        <v>0</v>
      </c>
      <c r="F208" s="7">
        <f t="shared" si="11"/>
        <v>0</v>
      </c>
      <c r="G208" s="150">
        <f t="shared" si="11"/>
        <v>0</v>
      </c>
      <c r="H208" s="30">
        <f t="shared" si="11"/>
        <v>0</v>
      </c>
      <c r="I208" s="7">
        <f t="shared" si="11"/>
        <v>0</v>
      </c>
      <c r="J208" s="7">
        <f t="shared" si="13"/>
        <v>0</v>
      </c>
      <c r="K208" s="69">
        <f t="shared" si="14"/>
        <v>-49580.105633802807</v>
      </c>
    </row>
    <row r="209" spans="1:11" x14ac:dyDescent="0.25">
      <c r="A209" s="37">
        <f>Données!A206</f>
        <v>5743</v>
      </c>
      <c r="B209" s="126" t="str">
        <f>Données!B206</f>
        <v>Arnex-sur-Orbe</v>
      </c>
      <c r="C209" s="7">
        <f>Données!Z206</f>
        <v>697</v>
      </c>
      <c r="D209" s="7">
        <f t="shared" si="12"/>
        <v>697</v>
      </c>
      <c r="E209" s="150">
        <f t="shared" si="11"/>
        <v>0</v>
      </c>
      <c r="F209" s="7">
        <f t="shared" si="11"/>
        <v>0</v>
      </c>
      <c r="G209" s="150">
        <f t="shared" ref="E209:I260" si="15">IF($C209&gt;G$5,IF($C209&lt;G$6,$C209-G$5,G$6-G$5),0)</f>
        <v>0</v>
      </c>
      <c r="H209" s="30">
        <f t="shared" si="15"/>
        <v>0</v>
      </c>
      <c r="I209" s="7">
        <f t="shared" si="15"/>
        <v>0</v>
      </c>
      <c r="J209" s="7">
        <f t="shared" si="13"/>
        <v>0</v>
      </c>
      <c r="K209" s="69">
        <f t="shared" si="14"/>
        <v>-92647.007042253506</v>
      </c>
    </row>
    <row r="210" spans="1:11" x14ac:dyDescent="0.25">
      <c r="A210" s="37">
        <f>Données!A207</f>
        <v>5744</v>
      </c>
      <c r="B210" s="126" t="str">
        <f>Données!B207</f>
        <v>Ballaigues</v>
      </c>
      <c r="C210" s="7">
        <f>Données!Z207</f>
        <v>1209</v>
      </c>
      <c r="D210" s="7">
        <f t="shared" si="12"/>
        <v>1000</v>
      </c>
      <c r="E210" s="150">
        <f t="shared" si="15"/>
        <v>209</v>
      </c>
      <c r="F210" s="7">
        <f t="shared" si="15"/>
        <v>0</v>
      </c>
      <c r="G210" s="150">
        <f t="shared" si="15"/>
        <v>0</v>
      </c>
      <c r="H210" s="30">
        <f t="shared" si="15"/>
        <v>0</v>
      </c>
      <c r="I210" s="7">
        <f t="shared" si="15"/>
        <v>0</v>
      </c>
      <c r="J210" s="7">
        <f t="shared" si="13"/>
        <v>0</v>
      </c>
      <c r="K210" s="69">
        <f t="shared" si="14"/>
        <v>-210708.80281690139</v>
      </c>
    </row>
    <row r="211" spans="1:11" x14ac:dyDescent="0.25">
      <c r="A211" s="37">
        <f>Données!A208</f>
        <v>5745</v>
      </c>
      <c r="B211" s="126" t="str">
        <f>Données!B208</f>
        <v>Baulmes</v>
      </c>
      <c r="C211" s="7">
        <f>Données!Z208</f>
        <v>1168</v>
      </c>
      <c r="D211" s="7">
        <f t="shared" si="12"/>
        <v>1000</v>
      </c>
      <c r="E211" s="150">
        <f t="shared" si="15"/>
        <v>168</v>
      </c>
      <c r="F211" s="7">
        <f t="shared" si="15"/>
        <v>0</v>
      </c>
      <c r="G211" s="150">
        <f t="shared" si="15"/>
        <v>0</v>
      </c>
      <c r="H211" s="30">
        <f t="shared" si="15"/>
        <v>0</v>
      </c>
      <c r="I211" s="7">
        <f t="shared" si="15"/>
        <v>0</v>
      </c>
      <c r="J211" s="7">
        <f t="shared" si="13"/>
        <v>0</v>
      </c>
      <c r="K211" s="69">
        <f t="shared" si="14"/>
        <v>-195449.29577464785</v>
      </c>
    </row>
    <row r="212" spans="1:11" x14ac:dyDescent="0.25">
      <c r="A212" s="37">
        <f>Données!A209</f>
        <v>5746</v>
      </c>
      <c r="B212" s="126" t="str">
        <f>Données!B209</f>
        <v>Bavois</v>
      </c>
      <c r="C212" s="7">
        <f>Données!Z209</f>
        <v>1041</v>
      </c>
      <c r="D212" s="7">
        <f t="shared" si="12"/>
        <v>1000</v>
      </c>
      <c r="E212" s="150">
        <f t="shared" si="15"/>
        <v>41</v>
      </c>
      <c r="F212" s="7">
        <f t="shared" si="15"/>
        <v>0</v>
      </c>
      <c r="G212" s="150">
        <f t="shared" si="15"/>
        <v>0</v>
      </c>
      <c r="H212" s="30">
        <f t="shared" si="15"/>
        <v>0</v>
      </c>
      <c r="I212" s="7">
        <f t="shared" si="15"/>
        <v>0</v>
      </c>
      <c r="J212" s="7">
        <f t="shared" si="13"/>
        <v>0</v>
      </c>
      <c r="K212" s="69">
        <f t="shared" si="14"/>
        <v>-148182.0422535211</v>
      </c>
    </row>
    <row r="213" spans="1:11" x14ac:dyDescent="0.25">
      <c r="A213" s="37">
        <f>Données!A210</f>
        <v>5747</v>
      </c>
      <c r="B213" s="126" t="str">
        <f>Données!B210</f>
        <v>Bofflens</v>
      </c>
      <c r="C213" s="7">
        <f>Données!Z210</f>
        <v>200</v>
      </c>
      <c r="D213" s="7">
        <f t="shared" si="12"/>
        <v>200</v>
      </c>
      <c r="E213" s="150">
        <f t="shared" si="15"/>
        <v>0</v>
      </c>
      <c r="F213" s="7">
        <f t="shared" si="15"/>
        <v>0</v>
      </c>
      <c r="G213" s="150">
        <f t="shared" si="15"/>
        <v>0</v>
      </c>
      <c r="H213" s="30">
        <f t="shared" si="15"/>
        <v>0</v>
      </c>
      <c r="I213" s="7">
        <f t="shared" si="15"/>
        <v>0</v>
      </c>
      <c r="J213" s="7">
        <f t="shared" si="13"/>
        <v>0</v>
      </c>
      <c r="K213" s="69">
        <f t="shared" si="14"/>
        <v>-26584.507042253517</v>
      </c>
    </row>
    <row r="214" spans="1:11" x14ac:dyDescent="0.25">
      <c r="A214" s="37">
        <f>Données!A211</f>
        <v>5748</v>
      </c>
      <c r="B214" s="126" t="str">
        <f>Données!B211</f>
        <v>Bretonnières</v>
      </c>
      <c r="C214" s="7">
        <f>Données!Z211</f>
        <v>261</v>
      </c>
      <c r="D214" s="7">
        <f t="shared" si="12"/>
        <v>261</v>
      </c>
      <c r="E214" s="150">
        <f t="shared" si="15"/>
        <v>0</v>
      </c>
      <c r="F214" s="7">
        <f t="shared" si="15"/>
        <v>0</v>
      </c>
      <c r="G214" s="150">
        <f t="shared" si="15"/>
        <v>0</v>
      </c>
      <c r="H214" s="30">
        <f t="shared" si="15"/>
        <v>0</v>
      </c>
      <c r="I214" s="7">
        <f t="shared" si="15"/>
        <v>0</v>
      </c>
      <c r="J214" s="7">
        <f t="shared" si="13"/>
        <v>0</v>
      </c>
      <c r="K214" s="69">
        <f t="shared" si="14"/>
        <v>-34692.781690140837</v>
      </c>
    </row>
    <row r="215" spans="1:11" x14ac:dyDescent="0.25">
      <c r="A215" s="37">
        <f>Données!A212</f>
        <v>5749</v>
      </c>
      <c r="B215" s="126" t="str">
        <f>Données!B212</f>
        <v>Chavornay</v>
      </c>
      <c r="C215" s="7">
        <f>Données!Z212</f>
        <v>5442</v>
      </c>
      <c r="D215" s="7">
        <f t="shared" si="12"/>
        <v>1000</v>
      </c>
      <c r="E215" s="150">
        <f t="shared" si="15"/>
        <v>2000</v>
      </c>
      <c r="F215" s="7">
        <f t="shared" si="15"/>
        <v>2000</v>
      </c>
      <c r="G215" s="150">
        <f t="shared" si="15"/>
        <v>442</v>
      </c>
      <c r="H215" s="30">
        <f t="shared" si="15"/>
        <v>0</v>
      </c>
      <c r="I215" s="7">
        <f t="shared" si="15"/>
        <v>0</v>
      </c>
      <c r="J215" s="7">
        <f t="shared" si="13"/>
        <v>0</v>
      </c>
      <c r="K215" s="69">
        <f t="shared" si="14"/>
        <v>-2222677.4647887321</v>
      </c>
    </row>
    <row r="216" spans="1:11" x14ac:dyDescent="0.25">
      <c r="A216" s="37">
        <f>Données!A213</f>
        <v>5750</v>
      </c>
      <c r="B216" s="126" t="str">
        <f>Données!B213</f>
        <v>Les Clées</v>
      </c>
      <c r="C216" s="7">
        <f>Données!Z213</f>
        <v>194</v>
      </c>
      <c r="D216" s="7">
        <f t="shared" si="12"/>
        <v>194</v>
      </c>
      <c r="E216" s="150">
        <f t="shared" si="15"/>
        <v>0</v>
      </c>
      <c r="F216" s="7">
        <f t="shared" si="15"/>
        <v>0</v>
      </c>
      <c r="G216" s="150">
        <f t="shared" si="15"/>
        <v>0</v>
      </c>
      <c r="H216" s="30">
        <f t="shared" si="15"/>
        <v>0</v>
      </c>
      <c r="I216" s="7">
        <f t="shared" si="15"/>
        <v>0</v>
      </c>
      <c r="J216" s="7">
        <f t="shared" si="13"/>
        <v>0</v>
      </c>
      <c r="K216" s="69">
        <f t="shared" si="14"/>
        <v>-25786.971830985913</v>
      </c>
    </row>
    <row r="217" spans="1:11" x14ac:dyDescent="0.25">
      <c r="A217" s="37">
        <f>Données!A214</f>
        <v>5752</v>
      </c>
      <c r="B217" s="126" t="str">
        <f>Données!B214</f>
        <v>Croy</v>
      </c>
      <c r="C217" s="7">
        <f>Données!Z214</f>
        <v>403</v>
      </c>
      <c r="D217" s="7">
        <f t="shared" si="12"/>
        <v>403</v>
      </c>
      <c r="E217" s="150">
        <f t="shared" si="15"/>
        <v>0</v>
      </c>
      <c r="F217" s="7">
        <f t="shared" si="15"/>
        <v>0</v>
      </c>
      <c r="G217" s="150">
        <f t="shared" si="15"/>
        <v>0</v>
      </c>
      <c r="H217" s="30">
        <f t="shared" si="15"/>
        <v>0</v>
      </c>
      <c r="I217" s="7">
        <f t="shared" si="15"/>
        <v>0</v>
      </c>
      <c r="J217" s="7">
        <f t="shared" si="13"/>
        <v>0</v>
      </c>
      <c r="K217" s="69">
        <f t="shared" si="14"/>
        <v>-53567.781690140837</v>
      </c>
    </row>
    <row r="218" spans="1:11" x14ac:dyDescent="0.25">
      <c r="A218" s="37">
        <f>Données!A215</f>
        <v>5754</v>
      </c>
      <c r="B218" s="126" t="str">
        <f>Données!B215</f>
        <v>Juriens</v>
      </c>
      <c r="C218" s="7">
        <f>Données!Z215</f>
        <v>348</v>
      </c>
      <c r="D218" s="7">
        <f t="shared" si="12"/>
        <v>348</v>
      </c>
      <c r="E218" s="150">
        <f t="shared" si="15"/>
        <v>0</v>
      </c>
      <c r="F218" s="7">
        <f t="shared" si="15"/>
        <v>0</v>
      </c>
      <c r="G218" s="150">
        <f t="shared" si="15"/>
        <v>0</v>
      </c>
      <c r="H218" s="30">
        <f t="shared" si="15"/>
        <v>0</v>
      </c>
      <c r="I218" s="7">
        <f t="shared" si="15"/>
        <v>0</v>
      </c>
      <c r="J218" s="7">
        <f t="shared" si="13"/>
        <v>0</v>
      </c>
      <c r="K218" s="69">
        <f t="shared" si="14"/>
        <v>-46257.042253521118</v>
      </c>
    </row>
    <row r="219" spans="1:11" x14ac:dyDescent="0.25">
      <c r="A219" s="37">
        <f>Données!A216</f>
        <v>5755</v>
      </c>
      <c r="B219" s="126" t="str">
        <f>Données!B216</f>
        <v>Lignerolle</v>
      </c>
      <c r="C219" s="7">
        <f>Données!Z216</f>
        <v>463</v>
      </c>
      <c r="D219" s="7">
        <f t="shared" si="12"/>
        <v>463</v>
      </c>
      <c r="E219" s="150">
        <f t="shared" si="15"/>
        <v>0</v>
      </c>
      <c r="F219" s="7">
        <f t="shared" si="15"/>
        <v>0</v>
      </c>
      <c r="G219" s="150">
        <f t="shared" si="15"/>
        <v>0</v>
      </c>
      <c r="H219" s="30">
        <f t="shared" si="15"/>
        <v>0</v>
      </c>
      <c r="I219" s="7">
        <f t="shared" si="15"/>
        <v>0</v>
      </c>
      <c r="J219" s="7">
        <f t="shared" si="13"/>
        <v>0</v>
      </c>
      <c r="K219" s="69">
        <f t="shared" si="14"/>
        <v>-61543.13380281689</v>
      </c>
    </row>
    <row r="220" spans="1:11" x14ac:dyDescent="0.25">
      <c r="A220" s="37">
        <f>Données!A217</f>
        <v>5756</v>
      </c>
      <c r="B220" s="126" t="str">
        <f>Données!B217</f>
        <v>Montcherand</v>
      </c>
      <c r="C220" s="7">
        <f>Données!Z217</f>
        <v>489</v>
      </c>
      <c r="D220" s="7">
        <f t="shared" si="12"/>
        <v>489</v>
      </c>
      <c r="E220" s="150">
        <f t="shared" si="15"/>
        <v>0</v>
      </c>
      <c r="F220" s="7">
        <f t="shared" si="15"/>
        <v>0</v>
      </c>
      <c r="G220" s="150">
        <f t="shared" si="15"/>
        <v>0</v>
      </c>
      <c r="H220" s="30">
        <f t="shared" si="15"/>
        <v>0</v>
      </c>
      <c r="I220" s="7">
        <f t="shared" si="15"/>
        <v>0</v>
      </c>
      <c r="J220" s="7">
        <f t="shared" si="13"/>
        <v>0</v>
      </c>
      <c r="K220" s="69">
        <f t="shared" si="14"/>
        <v>-64999.119718309848</v>
      </c>
    </row>
    <row r="221" spans="1:11" x14ac:dyDescent="0.25">
      <c r="A221" s="37">
        <f>Données!A218</f>
        <v>5757</v>
      </c>
      <c r="B221" s="126" t="str">
        <f>Données!B218</f>
        <v>Orbe</v>
      </c>
      <c r="C221" s="7">
        <f>Données!Z218</f>
        <v>7962</v>
      </c>
      <c r="D221" s="7">
        <f t="shared" si="12"/>
        <v>1000</v>
      </c>
      <c r="E221" s="150">
        <f t="shared" si="15"/>
        <v>2000</v>
      </c>
      <c r="F221" s="7">
        <f t="shared" si="15"/>
        <v>2000</v>
      </c>
      <c r="G221" s="150">
        <f t="shared" si="15"/>
        <v>2962</v>
      </c>
      <c r="H221" s="30">
        <f t="shared" si="15"/>
        <v>0</v>
      </c>
      <c r="I221" s="7">
        <f t="shared" si="15"/>
        <v>0</v>
      </c>
      <c r="J221" s="7">
        <f t="shared" si="13"/>
        <v>0</v>
      </c>
      <c r="K221" s="69">
        <f t="shared" si="14"/>
        <v>-3830508.4507042253</v>
      </c>
    </row>
    <row r="222" spans="1:11" x14ac:dyDescent="0.25">
      <c r="A222" s="37">
        <f>Données!A219</f>
        <v>5758</v>
      </c>
      <c r="B222" s="126" t="str">
        <f>Données!B219</f>
        <v>La Praz</v>
      </c>
      <c r="C222" s="7">
        <f>Données!Z219</f>
        <v>207</v>
      </c>
      <c r="D222" s="7">
        <f t="shared" si="12"/>
        <v>207</v>
      </c>
      <c r="E222" s="150">
        <f t="shared" si="15"/>
        <v>0</v>
      </c>
      <c r="F222" s="7">
        <f t="shared" si="15"/>
        <v>0</v>
      </c>
      <c r="G222" s="150">
        <f t="shared" si="15"/>
        <v>0</v>
      </c>
      <c r="H222" s="30">
        <f t="shared" si="15"/>
        <v>0</v>
      </c>
      <c r="I222" s="7">
        <f t="shared" si="15"/>
        <v>0</v>
      </c>
      <c r="J222" s="7">
        <f t="shared" si="13"/>
        <v>0</v>
      </c>
      <c r="K222" s="69">
        <f t="shared" si="14"/>
        <v>-27514.964788732392</v>
      </c>
    </row>
    <row r="223" spans="1:11" x14ac:dyDescent="0.25">
      <c r="A223" s="37">
        <f>Données!A220</f>
        <v>5759</v>
      </c>
      <c r="B223" s="126" t="str">
        <f>Données!B220</f>
        <v>Premier</v>
      </c>
      <c r="C223" s="7">
        <f>Données!Z220</f>
        <v>228</v>
      </c>
      <c r="D223" s="7">
        <f t="shared" si="12"/>
        <v>228</v>
      </c>
      <c r="E223" s="150">
        <f t="shared" si="15"/>
        <v>0</v>
      </c>
      <c r="F223" s="7">
        <f t="shared" si="15"/>
        <v>0</v>
      </c>
      <c r="G223" s="150">
        <f t="shared" si="15"/>
        <v>0</v>
      </c>
      <c r="H223" s="30">
        <f t="shared" si="15"/>
        <v>0</v>
      </c>
      <c r="I223" s="7">
        <f t="shared" si="15"/>
        <v>0</v>
      </c>
      <c r="J223" s="7">
        <f t="shared" si="13"/>
        <v>0</v>
      </c>
      <c r="K223" s="69">
        <f t="shared" si="14"/>
        <v>-30306.338028169012</v>
      </c>
    </row>
    <row r="224" spans="1:11" x14ac:dyDescent="0.25">
      <c r="A224" s="37">
        <f>Données!A221</f>
        <v>5760</v>
      </c>
      <c r="B224" s="126" t="str">
        <f>Données!B221</f>
        <v>Rances</v>
      </c>
      <c r="C224" s="7">
        <f>Données!Z221</f>
        <v>508</v>
      </c>
      <c r="D224" s="7">
        <f t="shared" si="12"/>
        <v>508</v>
      </c>
      <c r="E224" s="150">
        <f t="shared" si="15"/>
        <v>0</v>
      </c>
      <c r="F224" s="7">
        <f t="shared" si="15"/>
        <v>0</v>
      </c>
      <c r="G224" s="150">
        <f t="shared" si="15"/>
        <v>0</v>
      </c>
      <c r="H224" s="30">
        <f t="shared" si="15"/>
        <v>0</v>
      </c>
      <c r="I224" s="7">
        <f t="shared" si="15"/>
        <v>0</v>
      </c>
      <c r="J224" s="7">
        <f t="shared" si="13"/>
        <v>0</v>
      </c>
      <c r="K224" s="69">
        <f t="shared" si="14"/>
        <v>-67524.647887323939</v>
      </c>
    </row>
    <row r="225" spans="1:11" x14ac:dyDescent="0.25">
      <c r="A225" s="37">
        <f>Données!A222</f>
        <v>5761</v>
      </c>
      <c r="B225" s="126" t="str">
        <f>Données!B222</f>
        <v>Romainmôtier-Envy</v>
      </c>
      <c r="C225" s="7">
        <f>Données!Z222</f>
        <v>560</v>
      </c>
      <c r="D225" s="7">
        <f t="shared" si="12"/>
        <v>560</v>
      </c>
      <c r="E225" s="150">
        <f t="shared" si="15"/>
        <v>0</v>
      </c>
      <c r="F225" s="7">
        <f t="shared" si="15"/>
        <v>0</v>
      </c>
      <c r="G225" s="150">
        <f t="shared" si="15"/>
        <v>0</v>
      </c>
      <c r="H225" s="30">
        <f t="shared" si="15"/>
        <v>0</v>
      </c>
      <c r="I225" s="7">
        <f t="shared" si="15"/>
        <v>0</v>
      </c>
      <c r="J225" s="7">
        <f t="shared" si="13"/>
        <v>0</v>
      </c>
      <c r="K225" s="69">
        <f t="shared" si="14"/>
        <v>-74436.619718309841</v>
      </c>
    </row>
    <row r="226" spans="1:11" x14ac:dyDescent="0.25">
      <c r="A226" s="37">
        <f>Données!A223</f>
        <v>5762</v>
      </c>
      <c r="B226" s="126" t="str">
        <f>Données!B223</f>
        <v>Sergey</v>
      </c>
      <c r="C226" s="7">
        <f>Données!Z223</f>
        <v>133</v>
      </c>
      <c r="D226" s="7">
        <f t="shared" si="12"/>
        <v>133</v>
      </c>
      <c r="E226" s="150">
        <f t="shared" si="15"/>
        <v>0</v>
      </c>
      <c r="F226" s="7">
        <f t="shared" si="15"/>
        <v>0</v>
      </c>
      <c r="G226" s="150">
        <f t="shared" si="15"/>
        <v>0</v>
      </c>
      <c r="H226" s="30">
        <f t="shared" si="15"/>
        <v>0</v>
      </c>
      <c r="I226" s="7">
        <f t="shared" si="15"/>
        <v>0</v>
      </c>
      <c r="J226" s="7">
        <f t="shared" si="13"/>
        <v>0</v>
      </c>
      <c r="K226" s="69">
        <f t="shared" si="14"/>
        <v>-17678.697183098589</v>
      </c>
    </row>
    <row r="227" spans="1:11" x14ac:dyDescent="0.25">
      <c r="A227" s="37">
        <f>Données!A224</f>
        <v>5763</v>
      </c>
      <c r="B227" s="126" t="str">
        <f>Données!B224</f>
        <v>Valeyres-sous-Rances</v>
      </c>
      <c r="C227" s="7">
        <f>Données!Z224</f>
        <v>583</v>
      </c>
      <c r="D227" s="7">
        <f t="shared" si="12"/>
        <v>583</v>
      </c>
      <c r="E227" s="150">
        <f t="shared" si="15"/>
        <v>0</v>
      </c>
      <c r="F227" s="7">
        <f t="shared" si="15"/>
        <v>0</v>
      </c>
      <c r="G227" s="150">
        <f t="shared" si="15"/>
        <v>0</v>
      </c>
      <c r="H227" s="30">
        <f t="shared" si="15"/>
        <v>0</v>
      </c>
      <c r="I227" s="7">
        <f t="shared" si="15"/>
        <v>0</v>
      </c>
      <c r="J227" s="7">
        <f t="shared" si="13"/>
        <v>0</v>
      </c>
      <c r="K227" s="69">
        <f t="shared" si="14"/>
        <v>-77493.838028169004</v>
      </c>
    </row>
    <row r="228" spans="1:11" x14ac:dyDescent="0.25">
      <c r="A228" s="37">
        <f>Données!A225</f>
        <v>5764</v>
      </c>
      <c r="B228" s="126" t="str">
        <f>Données!B225</f>
        <v>Vallorbe</v>
      </c>
      <c r="C228" s="7">
        <f>Données!Z225</f>
        <v>4328</v>
      </c>
      <c r="D228" s="7">
        <f t="shared" si="12"/>
        <v>1000</v>
      </c>
      <c r="E228" s="150">
        <f t="shared" si="15"/>
        <v>2000</v>
      </c>
      <c r="F228" s="7">
        <f t="shared" si="15"/>
        <v>1328</v>
      </c>
      <c r="G228" s="150">
        <f t="shared" si="15"/>
        <v>0</v>
      </c>
      <c r="H228" s="30">
        <f t="shared" si="15"/>
        <v>0</v>
      </c>
      <c r="I228" s="7">
        <f t="shared" si="15"/>
        <v>0</v>
      </c>
      <c r="J228" s="7">
        <f t="shared" si="13"/>
        <v>0</v>
      </c>
      <c r="K228" s="69">
        <f t="shared" si="14"/>
        <v>-1583373.2394366194</v>
      </c>
    </row>
    <row r="229" spans="1:11" x14ac:dyDescent="0.25">
      <c r="A229" s="37">
        <f>Données!A226</f>
        <v>5765</v>
      </c>
      <c r="B229" s="126" t="str">
        <f>Données!B226</f>
        <v>Vaulion</v>
      </c>
      <c r="C229" s="7">
        <f>Données!Z226</f>
        <v>489</v>
      </c>
      <c r="D229" s="7">
        <f t="shared" si="12"/>
        <v>489</v>
      </c>
      <c r="E229" s="150">
        <f t="shared" si="15"/>
        <v>0</v>
      </c>
      <c r="F229" s="7">
        <f t="shared" si="15"/>
        <v>0</v>
      </c>
      <c r="G229" s="150">
        <f t="shared" si="15"/>
        <v>0</v>
      </c>
      <c r="H229" s="30">
        <f t="shared" si="15"/>
        <v>0</v>
      </c>
      <c r="I229" s="7">
        <f t="shared" si="15"/>
        <v>0</v>
      </c>
      <c r="J229" s="7">
        <f t="shared" si="13"/>
        <v>0</v>
      </c>
      <c r="K229" s="69">
        <f t="shared" si="14"/>
        <v>-64999.119718309848</v>
      </c>
    </row>
    <row r="230" spans="1:11" x14ac:dyDescent="0.25">
      <c r="A230" s="37">
        <f>Données!A227</f>
        <v>5766</v>
      </c>
      <c r="B230" s="126" t="str">
        <f>Données!B227</f>
        <v>Vuiteboeuf</v>
      </c>
      <c r="C230" s="7">
        <f>Données!Z227</f>
        <v>607</v>
      </c>
      <c r="D230" s="7">
        <f t="shared" si="12"/>
        <v>607</v>
      </c>
      <c r="E230" s="150">
        <f t="shared" si="15"/>
        <v>0</v>
      </c>
      <c r="F230" s="7">
        <f t="shared" si="15"/>
        <v>0</v>
      </c>
      <c r="G230" s="150">
        <f t="shared" si="15"/>
        <v>0</v>
      </c>
      <c r="H230" s="30">
        <f t="shared" si="15"/>
        <v>0</v>
      </c>
      <c r="I230" s="7">
        <f t="shared" si="15"/>
        <v>0</v>
      </c>
      <c r="J230" s="7">
        <f t="shared" si="13"/>
        <v>0</v>
      </c>
      <c r="K230" s="69">
        <f t="shared" si="14"/>
        <v>-80683.978873239423</v>
      </c>
    </row>
    <row r="231" spans="1:11" x14ac:dyDescent="0.25">
      <c r="A231" s="37">
        <f>Données!A228</f>
        <v>5785</v>
      </c>
      <c r="B231" s="126" t="str">
        <f>Données!B228</f>
        <v>Corcelles-le-Jorat</v>
      </c>
      <c r="C231" s="7">
        <f>Données!Z228</f>
        <v>499</v>
      </c>
      <c r="D231" s="7">
        <f t="shared" si="12"/>
        <v>499</v>
      </c>
      <c r="E231" s="150">
        <f t="shared" si="15"/>
        <v>0</v>
      </c>
      <c r="F231" s="7">
        <f t="shared" si="15"/>
        <v>0</v>
      </c>
      <c r="G231" s="150">
        <f t="shared" si="15"/>
        <v>0</v>
      </c>
      <c r="H231" s="30">
        <f t="shared" si="15"/>
        <v>0</v>
      </c>
      <c r="I231" s="7">
        <f t="shared" si="15"/>
        <v>0</v>
      </c>
      <c r="J231" s="7">
        <f t="shared" si="13"/>
        <v>0</v>
      </c>
      <c r="K231" s="69">
        <f t="shared" si="14"/>
        <v>-66328.345070422525</v>
      </c>
    </row>
    <row r="232" spans="1:11" x14ac:dyDescent="0.25">
      <c r="A232" s="37">
        <f>Données!A229</f>
        <v>5790</v>
      </c>
      <c r="B232" s="126" t="str">
        <f>Données!B229</f>
        <v>Maracon</v>
      </c>
      <c r="C232" s="7">
        <f>Données!Z229</f>
        <v>569</v>
      </c>
      <c r="D232" s="7">
        <f t="shared" si="12"/>
        <v>569</v>
      </c>
      <c r="E232" s="150">
        <f t="shared" si="15"/>
        <v>0</v>
      </c>
      <c r="F232" s="7">
        <f t="shared" si="15"/>
        <v>0</v>
      </c>
      <c r="G232" s="150">
        <f t="shared" si="15"/>
        <v>0</v>
      </c>
      <c r="H232" s="30">
        <f t="shared" si="15"/>
        <v>0</v>
      </c>
      <c r="I232" s="7">
        <f t="shared" si="15"/>
        <v>0</v>
      </c>
      <c r="J232" s="7">
        <f t="shared" si="13"/>
        <v>0</v>
      </c>
      <c r="K232" s="69">
        <f t="shared" si="14"/>
        <v>-75632.922535211255</v>
      </c>
    </row>
    <row r="233" spans="1:11" x14ac:dyDescent="0.25">
      <c r="A233" s="37">
        <f>Données!A230</f>
        <v>5792</v>
      </c>
      <c r="B233" s="126" t="str">
        <f>Données!B230</f>
        <v>Montpreveyres</v>
      </c>
      <c r="C233" s="7">
        <f>Données!Z230</f>
        <v>653</v>
      </c>
      <c r="D233" s="7">
        <f t="shared" si="12"/>
        <v>653</v>
      </c>
      <c r="E233" s="150">
        <f t="shared" si="15"/>
        <v>0</v>
      </c>
      <c r="F233" s="7">
        <f t="shared" si="15"/>
        <v>0</v>
      </c>
      <c r="G233" s="150">
        <f t="shared" si="15"/>
        <v>0</v>
      </c>
      <c r="H233" s="30">
        <f t="shared" si="15"/>
        <v>0</v>
      </c>
      <c r="I233" s="7">
        <f t="shared" si="15"/>
        <v>0</v>
      </c>
      <c r="J233" s="7">
        <f t="shared" si="13"/>
        <v>0</v>
      </c>
      <c r="K233" s="69">
        <f t="shared" si="14"/>
        <v>-86798.415492957734</v>
      </c>
    </row>
    <row r="234" spans="1:11" x14ac:dyDescent="0.25">
      <c r="A234" s="37">
        <f>Données!A231</f>
        <v>5798</v>
      </c>
      <c r="B234" s="126" t="str">
        <f>Données!B231</f>
        <v>Ropraz</v>
      </c>
      <c r="C234" s="7">
        <f>Données!Z231</f>
        <v>529</v>
      </c>
      <c r="D234" s="7">
        <f t="shared" si="12"/>
        <v>529</v>
      </c>
      <c r="E234" s="150">
        <f t="shared" si="15"/>
        <v>0</v>
      </c>
      <c r="F234" s="7">
        <f t="shared" si="15"/>
        <v>0</v>
      </c>
      <c r="G234" s="150">
        <f t="shared" si="15"/>
        <v>0</v>
      </c>
      <c r="H234" s="30">
        <f t="shared" si="15"/>
        <v>0</v>
      </c>
      <c r="I234" s="7">
        <f t="shared" si="15"/>
        <v>0</v>
      </c>
      <c r="J234" s="7">
        <f t="shared" si="13"/>
        <v>0</v>
      </c>
      <c r="K234" s="69">
        <f t="shared" si="14"/>
        <v>-70316.021126760548</v>
      </c>
    </row>
    <row r="235" spans="1:11" x14ac:dyDescent="0.25">
      <c r="A235" s="37">
        <f>Données!A232</f>
        <v>5799</v>
      </c>
      <c r="B235" s="126" t="str">
        <f>Données!B232</f>
        <v>Servion</v>
      </c>
      <c r="C235" s="7">
        <f>Données!Z232</f>
        <v>2228</v>
      </c>
      <c r="D235" s="7">
        <f t="shared" si="12"/>
        <v>1000</v>
      </c>
      <c r="E235" s="150">
        <f t="shared" si="15"/>
        <v>1228</v>
      </c>
      <c r="F235" s="7">
        <f t="shared" si="15"/>
        <v>0</v>
      </c>
      <c r="G235" s="150">
        <f t="shared" si="15"/>
        <v>0</v>
      </c>
      <c r="H235" s="30">
        <f t="shared" si="15"/>
        <v>0</v>
      </c>
      <c r="I235" s="7">
        <f t="shared" si="15"/>
        <v>0</v>
      </c>
      <c r="J235" s="7">
        <f t="shared" si="13"/>
        <v>0</v>
      </c>
      <c r="K235" s="69">
        <f t="shared" si="14"/>
        <v>-589963.38028169004</v>
      </c>
    </row>
    <row r="236" spans="1:11" x14ac:dyDescent="0.25">
      <c r="A236" s="37">
        <f>Données!A233</f>
        <v>5803</v>
      </c>
      <c r="B236" s="126" t="str">
        <f>Données!B233</f>
        <v>Vulliens</v>
      </c>
      <c r="C236" s="7">
        <f>Données!Z233</f>
        <v>628</v>
      </c>
      <c r="D236" s="7">
        <f t="shared" ref="D236:D299" si="16">IF($C236&gt;D$5,IF($C236&lt;D$6,$C236-D$5,D$6-D$5),0)</f>
        <v>628</v>
      </c>
      <c r="E236" s="150">
        <f t="shared" si="15"/>
        <v>0</v>
      </c>
      <c r="F236" s="7">
        <f t="shared" si="15"/>
        <v>0</v>
      </c>
      <c r="G236" s="150">
        <f t="shared" si="15"/>
        <v>0</v>
      </c>
      <c r="H236" s="30">
        <f t="shared" si="15"/>
        <v>0</v>
      </c>
      <c r="I236" s="7">
        <f t="shared" si="15"/>
        <v>0</v>
      </c>
      <c r="J236" s="7">
        <f t="shared" si="13"/>
        <v>0</v>
      </c>
      <c r="K236" s="69">
        <f t="shared" si="14"/>
        <v>-83475.352112676046</v>
      </c>
    </row>
    <row r="237" spans="1:11" x14ac:dyDescent="0.25">
      <c r="A237" s="37">
        <f>Données!A234</f>
        <v>5804</v>
      </c>
      <c r="B237" s="126" t="str">
        <f>Données!B234</f>
        <v>Jorat-Menthue</v>
      </c>
      <c r="C237" s="7">
        <f>Données!Z234</f>
        <v>1576</v>
      </c>
      <c r="D237" s="7">
        <f t="shared" si="16"/>
        <v>1000</v>
      </c>
      <c r="E237" s="150">
        <f t="shared" si="15"/>
        <v>576</v>
      </c>
      <c r="F237" s="7">
        <f t="shared" si="15"/>
        <v>0</v>
      </c>
      <c r="G237" s="150">
        <f t="shared" si="15"/>
        <v>0</v>
      </c>
      <c r="H237" s="30">
        <f t="shared" si="15"/>
        <v>0</v>
      </c>
      <c r="I237" s="7">
        <f t="shared" si="15"/>
        <v>0</v>
      </c>
      <c r="J237" s="7">
        <f t="shared" si="13"/>
        <v>0</v>
      </c>
      <c r="K237" s="69">
        <f t="shared" si="14"/>
        <v>-347300</v>
      </c>
    </row>
    <row r="238" spans="1:11" x14ac:dyDescent="0.25">
      <c r="A238" s="37">
        <f>Données!A235</f>
        <v>5805</v>
      </c>
      <c r="B238" s="126" t="str">
        <f>Données!B235</f>
        <v>Oron</v>
      </c>
      <c r="C238" s="7">
        <f>Données!Z235</f>
        <v>6345</v>
      </c>
      <c r="D238" s="7">
        <f t="shared" si="16"/>
        <v>1000</v>
      </c>
      <c r="E238" s="150">
        <f t="shared" si="15"/>
        <v>2000</v>
      </c>
      <c r="F238" s="7">
        <f t="shared" si="15"/>
        <v>2000</v>
      </c>
      <c r="G238" s="150">
        <f t="shared" si="15"/>
        <v>1345</v>
      </c>
      <c r="H238" s="30">
        <f t="shared" si="15"/>
        <v>0</v>
      </c>
      <c r="I238" s="7">
        <f t="shared" si="15"/>
        <v>0</v>
      </c>
      <c r="J238" s="7">
        <f t="shared" si="13"/>
        <v>0</v>
      </c>
      <c r="K238" s="69">
        <f t="shared" si="14"/>
        <v>-2798816.9014084507</v>
      </c>
    </row>
    <row r="239" spans="1:11" x14ac:dyDescent="0.25">
      <c r="A239" s="37">
        <f>Données!A236</f>
        <v>5806</v>
      </c>
      <c r="B239" s="126" t="str">
        <f>Données!B236</f>
        <v>Jorat-Mézières</v>
      </c>
      <c r="C239" s="7">
        <f>Données!Z236</f>
        <v>3189</v>
      </c>
      <c r="D239" s="7">
        <f t="shared" si="16"/>
        <v>1000</v>
      </c>
      <c r="E239" s="150">
        <f t="shared" si="15"/>
        <v>2000</v>
      </c>
      <c r="F239" s="7">
        <f t="shared" si="15"/>
        <v>189</v>
      </c>
      <c r="G239" s="150">
        <f t="shared" si="15"/>
        <v>0</v>
      </c>
      <c r="H239" s="30">
        <f t="shared" si="15"/>
        <v>0</v>
      </c>
      <c r="I239" s="7">
        <f t="shared" si="15"/>
        <v>0</v>
      </c>
      <c r="J239" s="7">
        <f t="shared" si="13"/>
        <v>0</v>
      </c>
      <c r="K239" s="69">
        <f t="shared" si="14"/>
        <v>-977778.16901408439</v>
      </c>
    </row>
    <row r="240" spans="1:11" x14ac:dyDescent="0.25">
      <c r="A240" s="37">
        <f>Données!A237</f>
        <v>5812</v>
      </c>
      <c r="B240" s="126" t="str">
        <f>Données!B237</f>
        <v>Champtauroz</v>
      </c>
      <c r="C240" s="7">
        <f>Données!Z237</f>
        <v>196</v>
      </c>
      <c r="D240" s="7">
        <f t="shared" si="16"/>
        <v>196</v>
      </c>
      <c r="E240" s="150">
        <f t="shared" si="15"/>
        <v>0</v>
      </c>
      <c r="F240" s="7">
        <f t="shared" si="15"/>
        <v>0</v>
      </c>
      <c r="G240" s="150">
        <f t="shared" si="15"/>
        <v>0</v>
      </c>
      <c r="H240" s="30">
        <f t="shared" si="15"/>
        <v>0</v>
      </c>
      <c r="I240" s="7">
        <f t="shared" si="15"/>
        <v>0</v>
      </c>
      <c r="J240" s="7">
        <f t="shared" si="13"/>
        <v>0</v>
      </c>
      <c r="K240" s="69">
        <f t="shared" si="14"/>
        <v>-26052.816901408449</v>
      </c>
    </row>
    <row r="241" spans="1:11" x14ac:dyDescent="0.25">
      <c r="A241" s="37">
        <f>Données!A238</f>
        <v>5813</v>
      </c>
      <c r="B241" s="126" t="str">
        <f>Données!B238</f>
        <v>Chevroux</v>
      </c>
      <c r="C241" s="7">
        <f>Données!Z238</f>
        <v>495</v>
      </c>
      <c r="D241" s="7">
        <f t="shared" si="16"/>
        <v>495</v>
      </c>
      <c r="E241" s="150">
        <f t="shared" si="15"/>
        <v>0</v>
      </c>
      <c r="F241" s="7">
        <f t="shared" si="15"/>
        <v>0</v>
      </c>
      <c r="G241" s="150">
        <f t="shared" si="15"/>
        <v>0</v>
      </c>
      <c r="H241" s="30">
        <f t="shared" si="15"/>
        <v>0</v>
      </c>
      <c r="I241" s="7">
        <f t="shared" si="15"/>
        <v>0</v>
      </c>
      <c r="J241" s="7">
        <f t="shared" si="13"/>
        <v>0</v>
      </c>
      <c r="K241" s="69">
        <f t="shared" si="14"/>
        <v>-65796.65492957746</v>
      </c>
    </row>
    <row r="242" spans="1:11" x14ac:dyDescent="0.25">
      <c r="A242" s="37">
        <f>Données!A239</f>
        <v>5816</v>
      </c>
      <c r="B242" s="126" t="str">
        <f>Données!B239</f>
        <v>Corcelles-près-Payerne</v>
      </c>
      <c r="C242" s="7">
        <f>Données!Z239</f>
        <v>3004</v>
      </c>
      <c r="D242" s="7">
        <f t="shared" si="16"/>
        <v>1000</v>
      </c>
      <c r="E242" s="150">
        <f t="shared" si="15"/>
        <v>2000</v>
      </c>
      <c r="F242" s="7">
        <f t="shared" si="15"/>
        <v>4</v>
      </c>
      <c r="G242" s="150">
        <f t="shared" si="15"/>
        <v>0</v>
      </c>
      <c r="H242" s="30">
        <f t="shared" si="15"/>
        <v>0</v>
      </c>
      <c r="I242" s="7">
        <f t="shared" si="15"/>
        <v>0</v>
      </c>
      <c r="J242" s="7">
        <f t="shared" si="13"/>
        <v>0</v>
      </c>
      <c r="K242" s="69">
        <f t="shared" si="14"/>
        <v>-879415.49295774638</v>
      </c>
    </row>
    <row r="243" spans="1:11" x14ac:dyDescent="0.25">
      <c r="A243" s="37">
        <f>Données!A240</f>
        <v>5817</v>
      </c>
      <c r="B243" s="126" t="str">
        <f>Données!B240</f>
        <v>Grandcour</v>
      </c>
      <c r="C243" s="7">
        <f>Données!Z240</f>
        <v>983</v>
      </c>
      <c r="D243" s="7">
        <f t="shared" si="16"/>
        <v>983</v>
      </c>
      <c r="E243" s="150">
        <f t="shared" si="15"/>
        <v>0</v>
      </c>
      <c r="F243" s="7">
        <f t="shared" si="15"/>
        <v>0</v>
      </c>
      <c r="G243" s="150">
        <f t="shared" si="15"/>
        <v>0</v>
      </c>
      <c r="H243" s="30">
        <f t="shared" si="15"/>
        <v>0</v>
      </c>
      <c r="I243" s="7">
        <f t="shared" si="15"/>
        <v>0</v>
      </c>
      <c r="J243" s="7">
        <f t="shared" si="13"/>
        <v>0</v>
      </c>
      <c r="K243" s="69">
        <f t="shared" si="14"/>
        <v>-130662.85211267603</v>
      </c>
    </row>
    <row r="244" spans="1:11" x14ac:dyDescent="0.25">
      <c r="A244" s="37">
        <f>Données!A241</f>
        <v>5819</v>
      </c>
      <c r="B244" s="126" t="str">
        <f>Données!B241</f>
        <v>Henniez</v>
      </c>
      <c r="C244" s="7">
        <f>Données!Z241</f>
        <v>468</v>
      </c>
      <c r="D244" s="7">
        <f t="shared" si="16"/>
        <v>468</v>
      </c>
      <c r="E244" s="150">
        <f t="shared" si="15"/>
        <v>0</v>
      </c>
      <c r="F244" s="7">
        <f t="shared" si="15"/>
        <v>0</v>
      </c>
      <c r="G244" s="150">
        <f t="shared" si="15"/>
        <v>0</v>
      </c>
      <c r="H244" s="30">
        <f t="shared" si="15"/>
        <v>0</v>
      </c>
      <c r="I244" s="7">
        <f t="shared" si="15"/>
        <v>0</v>
      </c>
      <c r="J244" s="7">
        <f t="shared" si="13"/>
        <v>0</v>
      </c>
      <c r="K244" s="69">
        <f t="shared" si="14"/>
        <v>-62207.746478873232</v>
      </c>
    </row>
    <row r="245" spans="1:11" x14ac:dyDescent="0.25">
      <c r="A245" s="37">
        <f>Données!A242</f>
        <v>5821</v>
      </c>
      <c r="B245" s="126" t="str">
        <f>Données!B242</f>
        <v>Missy</v>
      </c>
      <c r="C245" s="7">
        <f>Données!Z242</f>
        <v>384</v>
      </c>
      <c r="D245" s="7">
        <f t="shared" si="16"/>
        <v>384</v>
      </c>
      <c r="E245" s="150">
        <f t="shared" si="15"/>
        <v>0</v>
      </c>
      <c r="F245" s="7">
        <f t="shared" si="15"/>
        <v>0</v>
      </c>
      <c r="G245" s="150">
        <f t="shared" si="15"/>
        <v>0</v>
      </c>
      <c r="H245" s="30">
        <f t="shared" si="15"/>
        <v>0</v>
      </c>
      <c r="I245" s="7">
        <f t="shared" si="15"/>
        <v>0</v>
      </c>
      <c r="J245" s="7">
        <f t="shared" si="13"/>
        <v>0</v>
      </c>
      <c r="K245" s="69">
        <f t="shared" si="14"/>
        <v>-51042.253521126753</v>
      </c>
    </row>
    <row r="246" spans="1:11" x14ac:dyDescent="0.25">
      <c r="A246" s="37">
        <f>Données!A243</f>
        <v>5822</v>
      </c>
      <c r="B246" s="126" t="str">
        <f>Données!B243</f>
        <v>Payerne</v>
      </c>
      <c r="C246" s="7">
        <f>Données!Z243</f>
        <v>10802</v>
      </c>
      <c r="D246" s="7">
        <f t="shared" si="16"/>
        <v>1000</v>
      </c>
      <c r="E246" s="150">
        <f t="shared" si="15"/>
        <v>2000</v>
      </c>
      <c r="F246" s="7">
        <f t="shared" si="15"/>
        <v>2000</v>
      </c>
      <c r="G246" s="150">
        <f t="shared" si="15"/>
        <v>4000</v>
      </c>
      <c r="H246" s="30">
        <f t="shared" si="15"/>
        <v>1802</v>
      </c>
      <c r="I246" s="7">
        <f t="shared" si="15"/>
        <v>0</v>
      </c>
      <c r="J246" s="7">
        <f t="shared" si="13"/>
        <v>0</v>
      </c>
      <c r="K246" s="69">
        <f t="shared" si="14"/>
        <v>-6121561.2676056344</v>
      </c>
    </row>
    <row r="247" spans="1:11" x14ac:dyDescent="0.25">
      <c r="A247" s="37">
        <f>Données!A244</f>
        <v>5827</v>
      </c>
      <c r="B247" s="126" t="str">
        <f>Données!B244</f>
        <v>Trey</v>
      </c>
      <c r="C247" s="7">
        <f>Données!Z244</f>
        <v>318</v>
      </c>
      <c r="D247" s="7">
        <f t="shared" si="16"/>
        <v>318</v>
      </c>
      <c r="E247" s="150">
        <f t="shared" si="15"/>
        <v>0</v>
      </c>
      <c r="F247" s="7">
        <f t="shared" si="15"/>
        <v>0</v>
      </c>
      <c r="G247" s="150">
        <f t="shared" si="15"/>
        <v>0</v>
      </c>
      <c r="H247" s="30">
        <f t="shared" si="15"/>
        <v>0</v>
      </c>
      <c r="I247" s="7">
        <f t="shared" si="15"/>
        <v>0</v>
      </c>
      <c r="J247" s="7">
        <f t="shared" si="13"/>
        <v>0</v>
      </c>
      <c r="K247" s="69">
        <f t="shared" si="14"/>
        <v>-42269.366197183095</v>
      </c>
    </row>
    <row r="248" spans="1:11" x14ac:dyDescent="0.25">
      <c r="A248" s="37">
        <f>Données!A245</f>
        <v>5828</v>
      </c>
      <c r="B248" s="126" t="str">
        <f>Données!B245</f>
        <v>Treytorrens (Payerne)</v>
      </c>
      <c r="C248" s="7">
        <f>Données!Z245</f>
        <v>109</v>
      </c>
      <c r="D248" s="7">
        <f t="shared" si="16"/>
        <v>109</v>
      </c>
      <c r="E248" s="150">
        <f t="shared" si="15"/>
        <v>0</v>
      </c>
      <c r="F248" s="7">
        <f t="shared" si="15"/>
        <v>0</v>
      </c>
      <c r="G248" s="150">
        <f t="shared" si="15"/>
        <v>0</v>
      </c>
      <c r="H248" s="30">
        <f t="shared" si="15"/>
        <v>0</v>
      </c>
      <c r="I248" s="7">
        <f t="shared" si="15"/>
        <v>0</v>
      </c>
      <c r="J248" s="7">
        <f t="shared" si="13"/>
        <v>0</v>
      </c>
      <c r="K248" s="69">
        <f t="shared" si="14"/>
        <v>-14488.556338028167</v>
      </c>
    </row>
    <row r="249" spans="1:11" x14ac:dyDescent="0.25">
      <c r="A249" s="37">
        <f>Données!A246</f>
        <v>5830</v>
      </c>
      <c r="B249" s="126" t="str">
        <f>Données!B246</f>
        <v>Villarzel</v>
      </c>
      <c r="C249" s="7">
        <f>Données!Z246</f>
        <v>524</v>
      </c>
      <c r="D249" s="7">
        <f t="shared" si="16"/>
        <v>524</v>
      </c>
      <c r="E249" s="150">
        <f t="shared" si="15"/>
        <v>0</v>
      </c>
      <c r="F249" s="7">
        <f t="shared" si="15"/>
        <v>0</v>
      </c>
      <c r="G249" s="150">
        <f t="shared" si="15"/>
        <v>0</v>
      </c>
      <c r="H249" s="30">
        <f t="shared" si="15"/>
        <v>0</v>
      </c>
      <c r="I249" s="7">
        <f t="shared" si="15"/>
        <v>0</v>
      </c>
      <c r="J249" s="7">
        <f t="shared" si="13"/>
        <v>0</v>
      </c>
      <c r="K249" s="69">
        <f t="shared" si="14"/>
        <v>-69651.408450704213</v>
      </c>
    </row>
    <row r="250" spans="1:11" x14ac:dyDescent="0.25">
      <c r="A250" s="37">
        <f>Données!A247</f>
        <v>5831</v>
      </c>
      <c r="B250" s="126" t="str">
        <f>Données!B247</f>
        <v>Valbroye</v>
      </c>
      <c r="C250" s="7">
        <f>Données!Z247</f>
        <v>3435</v>
      </c>
      <c r="D250" s="7">
        <f t="shared" si="16"/>
        <v>1000</v>
      </c>
      <c r="E250" s="150">
        <f t="shared" si="15"/>
        <v>2000</v>
      </c>
      <c r="F250" s="7">
        <f t="shared" si="15"/>
        <v>435</v>
      </c>
      <c r="G250" s="150">
        <f t="shared" si="15"/>
        <v>0</v>
      </c>
      <c r="H250" s="30">
        <f t="shared" si="15"/>
        <v>0</v>
      </c>
      <c r="I250" s="7">
        <f t="shared" si="15"/>
        <v>0</v>
      </c>
      <c r="J250" s="7">
        <f t="shared" si="13"/>
        <v>0</v>
      </c>
      <c r="K250" s="69">
        <f t="shared" si="14"/>
        <v>-1108573.9436619717</v>
      </c>
    </row>
    <row r="251" spans="1:11" x14ac:dyDescent="0.25">
      <c r="A251" s="37">
        <f>Données!A248</f>
        <v>5841</v>
      </c>
      <c r="B251" s="126" t="str">
        <f>Données!B248</f>
        <v>Château-d'Oex</v>
      </c>
      <c r="C251" s="7">
        <f>Données!Z248</f>
        <v>3656</v>
      </c>
      <c r="D251" s="7">
        <f t="shared" si="16"/>
        <v>1000</v>
      </c>
      <c r="E251" s="150">
        <f t="shared" si="15"/>
        <v>2000</v>
      </c>
      <c r="F251" s="7">
        <f t="shared" si="15"/>
        <v>656</v>
      </c>
      <c r="G251" s="150">
        <f t="shared" si="15"/>
        <v>0</v>
      </c>
      <c r="H251" s="30">
        <f t="shared" si="15"/>
        <v>0</v>
      </c>
      <c r="I251" s="7">
        <f t="shared" si="15"/>
        <v>0</v>
      </c>
      <c r="J251" s="7">
        <f t="shared" si="13"/>
        <v>0</v>
      </c>
      <c r="K251" s="69">
        <f t="shared" si="14"/>
        <v>-1226077.4647887321</v>
      </c>
    </row>
    <row r="252" spans="1:11" x14ac:dyDescent="0.25">
      <c r="A252" s="37">
        <f>Données!A249</f>
        <v>5842</v>
      </c>
      <c r="B252" s="126" t="str">
        <f>Données!B249</f>
        <v>Rossinière</v>
      </c>
      <c r="C252" s="7">
        <f>Données!Z249</f>
        <v>499</v>
      </c>
      <c r="D252" s="7">
        <f t="shared" si="16"/>
        <v>499</v>
      </c>
      <c r="E252" s="150">
        <f t="shared" si="15"/>
        <v>0</v>
      </c>
      <c r="F252" s="7">
        <f t="shared" si="15"/>
        <v>0</v>
      </c>
      <c r="G252" s="150">
        <f t="shared" si="15"/>
        <v>0</v>
      </c>
      <c r="H252" s="30">
        <f t="shared" si="15"/>
        <v>0</v>
      </c>
      <c r="I252" s="7">
        <f t="shared" si="15"/>
        <v>0</v>
      </c>
      <c r="J252" s="7">
        <f t="shared" si="13"/>
        <v>0</v>
      </c>
      <c r="K252" s="69">
        <f t="shared" si="14"/>
        <v>-66328.345070422525</v>
      </c>
    </row>
    <row r="253" spans="1:11" x14ac:dyDescent="0.25">
      <c r="A253" s="37">
        <f>Données!A250</f>
        <v>5843</v>
      </c>
      <c r="B253" s="126" t="str">
        <f>Données!B250</f>
        <v>Rougemont</v>
      </c>
      <c r="C253" s="7">
        <f>Données!Z250</f>
        <v>812</v>
      </c>
      <c r="D253" s="7">
        <f t="shared" si="16"/>
        <v>812</v>
      </c>
      <c r="E253" s="150">
        <f t="shared" si="15"/>
        <v>0</v>
      </c>
      <c r="F253" s="7">
        <f t="shared" si="15"/>
        <v>0</v>
      </c>
      <c r="G253" s="150">
        <f t="shared" si="15"/>
        <v>0</v>
      </c>
      <c r="H253" s="30">
        <f t="shared" si="15"/>
        <v>0</v>
      </c>
      <c r="I253" s="7">
        <f t="shared" si="15"/>
        <v>0</v>
      </c>
      <c r="J253" s="7">
        <f t="shared" si="13"/>
        <v>0</v>
      </c>
      <c r="K253" s="69">
        <f t="shared" si="14"/>
        <v>-107933.09859154928</v>
      </c>
    </row>
    <row r="254" spans="1:11" x14ac:dyDescent="0.25">
      <c r="A254" s="37">
        <f>Données!A251</f>
        <v>5851</v>
      </c>
      <c r="B254" s="126" t="str">
        <f>Données!B251</f>
        <v>Allaman</v>
      </c>
      <c r="C254" s="7">
        <f>Données!Z251</f>
        <v>430</v>
      </c>
      <c r="D254" s="7">
        <f t="shared" si="16"/>
        <v>430</v>
      </c>
      <c r="E254" s="150">
        <f t="shared" si="15"/>
        <v>0</v>
      </c>
      <c r="F254" s="7">
        <f t="shared" si="15"/>
        <v>0</v>
      </c>
      <c r="G254" s="150">
        <f t="shared" si="15"/>
        <v>0</v>
      </c>
      <c r="H254" s="30">
        <f t="shared" si="15"/>
        <v>0</v>
      </c>
      <c r="I254" s="7">
        <f t="shared" si="15"/>
        <v>0</v>
      </c>
      <c r="J254" s="7">
        <f t="shared" si="13"/>
        <v>0</v>
      </c>
      <c r="K254" s="69">
        <f t="shared" si="14"/>
        <v>-57156.690140845065</v>
      </c>
    </row>
    <row r="255" spans="1:11" x14ac:dyDescent="0.25">
      <c r="A255" s="37">
        <f>Données!A252</f>
        <v>5852</v>
      </c>
      <c r="B255" s="126" t="str">
        <f>Données!B252</f>
        <v>Bursinel</v>
      </c>
      <c r="C255" s="7">
        <f>Données!Z252</f>
        <v>530</v>
      </c>
      <c r="D255" s="7">
        <f t="shared" si="16"/>
        <v>530</v>
      </c>
      <c r="E255" s="150">
        <f t="shared" si="15"/>
        <v>0</v>
      </c>
      <c r="F255" s="7">
        <f t="shared" si="15"/>
        <v>0</v>
      </c>
      <c r="G255" s="150">
        <f t="shared" si="15"/>
        <v>0</v>
      </c>
      <c r="H255" s="30">
        <f t="shared" si="15"/>
        <v>0</v>
      </c>
      <c r="I255" s="7">
        <f t="shared" si="15"/>
        <v>0</v>
      </c>
      <c r="J255" s="7">
        <f t="shared" si="13"/>
        <v>0</v>
      </c>
      <c r="K255" s="69">
        <f t="shared" si="14"/>
        <v>-70448.943661971818</v>
      </c>
    </row>
    <row r="256" spans="1:11" x14ac:dyDescent="0.25">
      <c r="A256" s="37">
        <f>Données!A253</f>
        <v>5853</v>
      </c>
      <c r="B256" s="126" t="str">
        <f>Données!B253</f>
        <v>Bursins</v>
      </c>
      <c r="C256" s="7">
        <f>Données!Z253</f>
        <v>825</v>
      </c>
      <c r="D256" s="7">
        <f t="shared" si="16"/>
        <v>825</v>
      </c>
      <c r="E256" s="150">
        <f t="shared" si="15"/>
        <v>0</v>
      </c>
      <c r="F256" s="7">
        <f t="shared" si="15"/>
        <v>0</v>
      </c>
      <c r="G256" s="150">
        <f t="shared" si="15"/>
        <v>0</v>
      </c>
      <c r="H256" s="30">
        <f t="shared" si="15"/>
        <v>0</v>
      </c>
      <c r="I256" s="7">
        <f t="shared" si="15"/>
        <v>0</v>
      </c>
      <c r="J256" s="7">
        <f t="shared" si="13"/>
        <v>0</v>
      </c>
      <c r="K256" s="69">
        <f t="shared" si="14"/>
        <v>-109661.09154929576</v>
      </c>
    </row>
    <row r="257" spans="1:11" x14ac:dyDescent="0.25">
      <c r="A257" s="37">
        <f>Données!A254</f>
        <v>5854</v>
      </c>
      <c r="B257" s="126" t="str">
        <f>Données!B254</f>
        <v>Burtigny</v>
      </c>
      <c r="C257" s="7">
        <f>Données!Z254</f>
        <v>401</v>
      </c>
      <c r="D257" s="7">
        <f t="shared" si="16"/>
        <v>401</v>
      </c>
      <c r="E257" s="150">
        <f t="shared" si="15"/>
        <v>0</v>
      </c>
      <c r="F257" s="7">
        <f t="shared" si="15"/>
        <v>0</v>
      </c>
      <c r="G257" s="150">
        <f t="shared" si="15"/>
        <v>0</v>
      </c>
      <c r="H257" s="30">
        <f t="shared" si="15"/>
        <v>0</v>
      </c>
      <c r="I257" s="7">
        <f t="shared" si="15"/>
        <v>0</v>
      </c>
      <c r="J257" s="7">
        <f t="shared" si="13"/>
        <v>0</v>
      </c>
      <c r="K257" s="69">
        <f t="shared" si="14"/>
        <v>-53301.936619718304</v>
      </c>
    </row>
    <row r="258" spans="1:11" x14ac:dyDescent="0.25">
      <c r="A258" s="37">
        <f>Données!A255</f>
        <v>5855</v>
      </c>
      <c r="B258" s="126" t="str">
        <f>Données!B255</f>
        <v>Dully</v>
      </c>
      <c r="C258" s="7">
        <f>Données!Z255</f>
        <v>623</v>
      </c>
      <c r="D258" s="7">
        <f t="shared" si="16"/>
        <v>623</v>
      </c>
      <c r="E258" s="150">
        <f t="shared" si="15"/>
        <v>0</v>
      </c>
      <c r="F258" s="7">
        <f t="shared" si="15"/>
        <v>0</v>
      </c>
      <c r="G258" s="150">
        <f t="shared" si="15"/>
        <v>0</v>
      </c>
      <c r="H258" s="30">
        <f t="shared" si="15"/>
        <v>0</v>
      </c>
      <c r="I258" s="7">
        <f t="shared" si="15"/>
        <v>0</v>
      </c>
      <c r="J258" s="7">
        <f t="shared" si="13"/>
        <v>0</v>
      </c>
      <c r="K258" s="69">
        <f t="shared" si="14"/>
        <v>-82810.739436619711</v>
      </c>
    </row>
    <row r="259" spans="1:11" x14ac:dyDescent="0.25">
      <c r="A259" s="37">
        <f>Données!A256</f>
        <v>5856</v>
      </c>
      <c r="B259" s="126" t="str">
        <f>Données!B256</f>
        <v>Essertines-sur-Rolle</v>
      </c>
      <c r="C259" s="7">
        <f>Données!Z256</f>
        <v>789</v>
      </c>
      <c r="D259" s="7">
        <f t="shared" si="16"/>
        <v>789</v>
      </c>
      <c r="E259" s="150">
        <f t="shared" si="15"/>
        <v>0</v>
      </c>
      <c r="F259" s="7">
        <f t="shared" si="15"/>
        <v>0</v>
      </c>
      <c r="G259" s="150">
        <f t="shared" si="15"/>
        <v>0</v>
      </c>
      <c r="H259" s="30">
        <f t="shared" si="15"/>
        <v>0</v>
      </c>
      <c r="I259" s="7">
        <f t="shared" si="15"/>
        <v>0</v>
      </c>
      <c r="J259" s="7">
        <f t="shared" si="13"/>
        <v>0</v>
      </c>
      <c r="K259" s="69">
        <f t="shared" si="14"/>
        <v>-104875.88028169013</v>
      </c>
    </row>
    <row r="260" spans="1:11" x14ac:dyDescent="0.25">
      <c r="A260" s="37">
        <f>Données!A257</f>
        <v>5857</v>
      </c>
      <c r="B260" s="126" t="str">
        <f>Données!B257</f>
        <v>Gilly</v>
      </c>
      <c r="C260" s="7">
        <f>Données!Z257</f>
        <v>1441</v>
      </c>
      <c r="D260" s="7">
        <f t="shared" si="16"/>
        <v>1000</v>
      </c>
      <c r="E260" s="150">
        <f t="shared" si="15"/>
        <v>441</v>
      </c>
      <c r="F260" s="7">
        <f t="shared" si="15"/>
        <v>0</v>
      </c>
      <c r="G260" s="150">
        <f t="shared" ref="E260:I308" si="17">IF($C260&gt;G$5,IF($C260&lt;G$6,$C260-G$5,G$6-G$5),0)</f>
        <v>0</v>
      </c>
      <c r="H260" s="30">
        <f t="shared" si="17"/>
        <v>0</v>
      </c>
      <c r="I260" s="7">
        <f t="shared" si="17"/>
        <v>0</v>
      </c>
      <c r="J260" s="7">
        <f t="shared" si="13"/>
        <v>0</v>
      </c>
      <c r="K260" s="69">
        <f t="shared" si="14"/>
        <v>-297055.28169014084</v>
      </c>
    </row>
    <row r="261" spans="1:11" x14ac:dyDescent="0.25">
      <c r="A261" s="37">
        <f>Données!A258</f>
        <v>5858</v>
      </c>
      <c r="B261" s="126" t="str">
        <f>Données!B258</f>
        <v>Luins</v>
      </c>
      <c r="C261" s="7">
        <f>Données!Z258</f>
        <v>637</v>
      </c>
      <c r="D261" s="7">
        <f t="shared" si="16"/>
        <v>637</v>
      </c>
      <c r="E261" s="150">
        <f t="shared" si="17"/>
        <v>0</v>
      </c>
      <c r="F261" s="7">
        <f t="shared" si="17"/>
        <v>0</v>
      </c>
      <c r="G261" s="150">
        <f t="shared" si="17"/>
        <v>0</v>
      </c>
      <c r="H261" s="30">
        <f t="shared" si="17"/>
        <v>0</v>
      </c>
      <c r="I261" s="7">
        <f t="shared" si="17"/>
        <v>0</v>
      </c>
      <c r="J261" s="7">
        <f t="shared" si="13"/>
        <v>0</v>
      </c>
      <c r="K261" s="69">
        <f t="shared" si="14"/>
        <v>-84671.654929577446</v>
      </c>
    </row>
    <row r="262" spans="1:11" x14ac:dyDescent="0.25">
      <c r="A262" s="37">
        <f>Données!A259</f>
        <v>5859</v>
      </c>
      <c r="B262" s="126" t="str">
        <f>Données!B259</f>
        <v>Mont-sur-Rolle</v>
      </c>
      <c r="C262" s="7">
        <f>Données!Z259</f>
        <v>2749</v>
      </c>
      <c r="D262" s="7">
        <f t="shared" si="16"/>
        <v>1000</v>
      </c>
      <c r="E262" s="150">
        <f t="shared" si="17"/>
        <v>1749</v>
      </c>
      <c r="F262" s="7">
        <f t="shared" si="17"/>
        <v>0</v>
      </c>
      <c r="G262" s="150">
        <f t="shared" si="17"/>
        <v>0</v>
      </c>
      <c r="H262" s="30">
        <f t="shared" si="17"/>
        <v>0</v>
      </c>
      <c r="I262" s="7">
        <f t="shared" si="17"/>
        <v>0</v>
      </c>
      <c r="J262" s="7">
        <f t="shared" si="13"/>
        <v>0</v>
      </c>
      <c r="K262" s="69">
        <f t="shared" si="14"/>
        <v>-783870.77464788733</v>
      </c>
    </row>
    <row r="263" spans="1:11" x14ac:dyDescent="0.25">
      <c r="A263" s="37">
        <f>Données!A260</f>
        <v>5860</v>
      </c>
      <c r="B263" s="126" t="str">
        <f>Données!B260</f>
        <v>Perroy</v>
      </c>
      <c r="C263" s="7">
        <f>Données!Z260</f>
        <v>1588</v>
      </c>
      <c r="D263" s="7">
        <f t="shared" si="16"/>
        <v>1000</v>
      </c>
      <c r="E263" s="150">
        <f t="shared" si="17"/>
        <v>588</v>
      </c>
      <c r="F263" s="7">
        <f t="shared" si="17"/>
        <v>0</v>
      </c>
      <c r="G263" s="150">
        <f t="shared" si="17"/>
        <v>0</v>
      </c>
      <c r="H263" s="30">
        <f t="shared" si="17"/>
        <v>0</v>
      </c>
      <c r="I263" s="7">
        <f t="shared" si="17"/>
        <v>0</v>
      </c>
      <c r="J263" s="7">
        <f t="shared" si="13"/>
        <v>0</v>
      </c>
      <c r="K263" s="69">
        <f t="shared" si="14"/>
        <v>-351766.19718309853</v>
      </c>
    </row>
    <row r="264" spans="1:11" x14ac:dyDescent="0.25">
      <c r="A264" s="37">
        <f>Données!A261</f>
        <v>5861</v>
      </c>
      <c r="B264" s="126" t="str">
        <f>Données!B261</f>
        <v>Rolle</v>
      </c>
      <c r="C264" s="7">
        <f>Données!Z261</f>
        <v>6537</v>
      </c>
      <c r="D264" s="7">
        <f t="shared" si="16"/>
        <v>1000</v>
      </c>
      <c r="E264" s="150">
        <f t="shared" si="17"/>
        <v>2000</v>
      </c>
      <c r="F264" s="7">
        <f t="shared" si="17"/>
        <v>2000</v>
      </c>
      <c r="G264" s="150">
        <f t="shared" si="17"/>
        <v>1537</v>
      </c>
      <c r="H264" s="30">
        <f t="shared" si="17"/>
        <v>0</v>
      </c>
      <c r="I264" s="7">
        <f t="shared" si="17"/>
        <v>0</v>
      </c>
      <c r="J264" s="7">
        <f t="shared" si="13"/>
        <v>0</v>
      </c>
      <c r="K264" s="69">
        <f t="shared" si="14"/>
        <v>-2921318.3098591547</v>
      </c>
    </row>
    <row r="265" spans="1:11" x14ac:dyDescent="0.25">
      <c r="A265" s="37">
        <f>Données!A262</f>
        <v>5862</v>
      </c>
      <c r="B265" s="126" t="str">
        <f>Données!B262</f>
        <v>Tartegnin</v>
      </c>
      <c r="C265" s="7">
        <f>Données!Z262</f>
        <v>238</v>
      </c>
      <c r="D265" s="7">
        <f t="shared" si="16"/>
        <v>238</v>
      </c>
      <c r="E265" s="150">
        <f t="shared" si="17"/>
        <v>0</v>
      </c>
      <c r="F265" s="7">
        <f t="shared" si="17"/>
        <v>0</v>
      </c>
      <c r="G265" s="150">
        <f t="shared" si="17"/>
        <v>0</v>
      </c>
      <c r="H265" s="30">
        <f t="shared" si="17"/>
        <v>0</v>
      </c>
      <c r="I265" s="7">
        <f t="shared" si="17"/>
        <v>0</v>
      </c>
      <c r="J265" s="7">
        <f t="shared" si="13"/>
        <v>0</v>
      </c>
      <c r="K265" s="69">
        <f t="shared" si="14"/>
        <v>-31635.563380281685</v>
      </c>
    </row>
    <row r="266" spans="1:11" x14ac:dyDescent="0.25">
      <c r="A266" s="37">
        <f>Données!A263</f>
        <v>5863</v>
      </c>
      <c r="B266" s="126" t="str">
        <f>Données!B263</f>
        <v>Vinzel</v>
      </c>
      <c r="C266" s="7">
        <f>Données!Z263</f>
        <v>387</v>
      </c>
      <c r="D266" s="7">
        <f t="shared" si="16"/>
        <v>387</v>
      </c>
      <c r="E266" s="150">
        <f t="shared" si="17"/>
        <v>0</v>
      </c>
      <c r="F266" s="7">
        <f t="shared" si="17"/>
        <v>0</v>
      </c>
      <c r="G266" s="150">
        <f t="shared" si="17"/>
        <v>0</v>
      </c>
      <c r="H266" s="30">
        <f t="shared" si="17"/>
        <v>0</v>
      </c>
      <c r="I266" s="7">
        <f t="shared" si="17"/>
        <v>0</v>
      </c>
      <c r="J266" s="7">
        <f t="shared" ref="J266:J308" si="18">IF(C266&gt;$J$5,C266-$J$5,0)</f>
        <v>0</v>
      </c>
      <c r="K266" s="69">
        <f t="shared" ref="K266:K308" si="19">-((D266*D$8)+(E266*E$8)+(F266*F$8)+(G266*G$8)+(H266*H$8)+(I266*I$8)+(J266*J$8))</f>
        <v>-51441.021126760555</v>
      </c>
    </row>
    <row r="267" spans="1:11" x14ac:dyDescent="0.25">
      <c r="A267" s="37">
        <f>Données!A264</f>
        <v>5871</v>
      </c>
      <c r="B267" s="126" t="str">
        <f>Données!B264</f>
        <v>L'Abbaye</v>
      </c>
      <c r="C267" s="7">
        <f>Données!Z264</f>
        <v>1538</v>
      </c>
      <c r="D267" s="7">
        <f t="shared" si="16"/>
        <v>1000</v>
      </c>
      <c r="E267" s="150">
        <f t="shared" si="17"/>
        <v>538</v>
      </c>
      <c r="F267" s="7">
        <f t="shared" si="17"/>
        <v>0</v>
      </c>
      <c r="G267" s="150">
        <f t="shared" si="17"/>
        <v>0</v>
      </c>
      <c r="H267" s="30">
        <f t="shared" si="17"/>
        <v>0</v>
      </c>
      <c r="I267" s="7">
        <f t="shared" si="17"/>
        <v>0</v>
      </c>
      <c r="J267" s="7">
        <f t="shared" si="18"/>
        <v>0</v>
      </c>
      <c r="K267" s="69">
        <f t="shared" si="19"/>
        <v>-333157.0422535211</v>
      </c>
    </row>
    <row r="268" spans="1:11" x14ac:dyDescent="0.25">
      <c r="A268" s="37">
        <f>Données!A265</f>
        <v>5872</v>
      </c>
      <c r="B268" s="126" t="str">
        <f>Données!B265</f>
        <v>Le Chenit</v>
      </c>
      <c r="C268" s="7">
        <f>Données!Z265</f>
        <v>4760</v>
      </c>
      <c r="D268" s="7">
        <f t="shared" si="16"/>
        <v>1000</v>
      </c>
      <c r="E268" s="150">
        <f t="shared" si="17"/>
        <v>2000</v>
      </c>
      <c r="F268" s="7">
        <f t="shared" si="17"/>
        <v>1760</v>
      </c>
      <c r="G268" s="150">
        <f t="shared" si="17"/>
        <v>0</v>
      </c>
      <c r="H268" s="30">
        <f t="shared" si="17"/>
        <v>0</v>
      </c>
      <c r="I268" s="7">
        <f t="shared" si="17"/>
        <v>0</v>
      </c>
      <c r="J268" s="7">
        <f t="shared" si="18"/>
        <v>0</v>
      </c>
      <c r="K268" s="69">
        <f t="shared" si="19"/>
        <v>-1813063.3802816898</v>
      </c>
    </row>
    <row r="269" spans="1:11" x14ac:dyDescent="0.25">
      <c r="A269" s="37">
        <f>Données!A266</f>
        <v>5873</v>
      </c>
      <c r="B269" s="126" t="str">
        <f>Données!B266</f>
        <v>Le Lieu</v>
      </c>
      <c r="C269" s="7">
        <f>Données!Z266</f>
        <v>925</v>
      </c>
      <c r="D269" s="7">
        <f t="shared" si="16"/>
        <v>925</v>
      </c>
      <c r="E269" s="150">
        <f t="shared" si="17"/>
        <v>0</v>
      </c>
      <c r="F269" s="7">
        <f t="shared" si="17"/>
        <v>0</v>
      </c>
      <c r="G269" s="150">
        <f t="shared" si="17"/>
        <v>0</v>
      </c>
      <c r="H269" s="30">
        <f t="shared" si="17"/>
        <v>0</v>
      </c>
      <c r="I269" s="7">
        <f t="shared" si="17"/>
        <v>0</v>
      </c>
      <c r="J269" s="7">
        <f t="shared" si="18"/>
        <v>0</v>
      </c>
      <c r="K269" s="69">
        <f t="shared" si="19"/>
        <v>-122953.34507042251</v>
      </c>
    </row>
    <row r="270" spans="1:11" x14ac:dyDescent="0.25">
      <c r="A270" s="37">
        <f>Données!A267</f>
        <v>5882</v>
      </c>
      <c r="B270" s="126" t="str">
        <f>Données!B267</f>
        <v>Chardonne</v>
      </c>
      <c r="C270" s="7">
        <f>Données!Z267</f>
        <v>3340</v>
      </c>
      <c r="D270" s="7">
        <f t="shared" si="16"/>
        <v>1000</v>
      </c>
      <c r="E270" s="150">
        <f t="shared" si="17"/>
        <v>2000</v>
      </c>
      <c r="F270" s="7">
        <f t="shared" si="17"/>
        <v>340</v>
      </c>
      <c r="G270" s="150">
        <f t="shared" si="17"/>
        <v>0</v>
      </c>
      <c r="H270" s="30">
        <f t="shared" si="17"/>
        <v>0</v>
      </c>
      <c r="I270" s="7">
        <f t="shared" si="17"/>
        <v>0</v>
      </c>
      <c r="J270" s="7">
        <f t="shared" si="18"/>
        <v>0</v>
      </c>
      <c r="K270" s="69">
        <f t="shared" si="19"/>
        <v>-1058063.38028169</v>
      </c>
    </row>
    <row r="271" spans="1:11" x14ac:dyDescent="0.25">
      <c r="A271" s="37">
        <f>Données!A268</f>
        <v>5883</v>
      </c>
      <c r="B271" s="126" t="str">
        <f>Données!B268</f>
        <v>Corseaux</v>
      </c>
      <c r="C271" s="7">
        <f>Données!Z268</f>
        <v>2322</v>
      </c>
      <c r="D271" s="7">
        <f t="shared" si="16"/>
        <v>1000</v>
      </c>
      <c r="E271" s="150">
        <f t="shared" si="17"/>
        <v>1322</v>
      </c>
      <c r="F271" s="7">
        <f t="shared" si="17"/>
        <v>0</v>
      </c>
      <c r="G271" s="150">
        <f t="shared" si="17"/>
        <v>0</v>
      </c>
      <c r="H271" s="30">
        <f t="shared" si="17"/>
        <v>0</v>
      </c>
      <c r="I271" s="7">
        <f t="shared" si="17"/>
        <v>0</v>
      </c>
      <c r="J271" s="7">
        <f t="shared" si="18"/>
        <v>0</v>
      </c>
      <c r="K271" s="69">
        <f t="shared" si="19"/>
        <v>-624948.5915492957</v>
      </c>
    </row>
    <row r="272" spans="1:11" x14ac:dyDescent="0.25">
      <c r="A272" s="37">
        <f>Données!A269</f>
        <v>5884</v>
      </c>
      <c r="B272" s="126" t="str">
        <f>Données!B269</f>
        <v>Corsier-sur-Vevey</v>
      </c>
      <c r="C272" s="7">
        <f>Données!Z269</f>
        <v>3389</v>
      </c>
      <c r="D272" s="7">
        <f t="shared" si="16"/>
        <v>1000</v>
      </c>
      <c r="E272" s="150">
        <f t="shared" si="17"/>
        <v>2000</v>
      </c>
      <c r="F272" s="7">
        <f t="shared" si="17"/>
        <v>389</v>
      </c>
      <c r="G272" s="150">
        <f t="shared" si="17"/>
        <v>0</v>
      </c>
      <c r="H272" s="30">
        <f t="shared" si="17"/>
        <v>0</v>
      </c>
      <c r="I272" s="7">
        <f t="shared" si="17"/>
        <v>0</v>
      </c>
      <c r="J272" s="7">
        <f t="shared" si="18"/>
        <v>0</v>
      </c>
      <c r="K272" s="69">
        <f t="shared" si="19"/>
        <v>-1084116.1971830984</v>
      </c>
    </row>
    <row r="273" spans="1:11" x14ac:dyDescent="0.25">
      <c r="A273" s="37">
        <f>Données!A270</f>
        <v>5885</v>
      </c>
      <c r="B273" s="126" t="str">
        <f>Données!B270</f>
        <v>Jongny</v>
      </c>
      <c r="C273" s="7">
        <f>Données!Z270</f>
        <v>1921</v>
      </c>
      <c r="D273" s="7">
        <f t="shared" si="16"/>
        <v>1000</v>
      </c>
      <c r="E273" s="150">
        <f t="shared" si="17"/>
        <v>921</v>
      </c>
      <c r="F273" s="7">
        <f t="shared" si="17"/>
        <v>0</v>
      </c>
      <c r="G273" s="150">
        <f t="shared" si="17"/>
        <v>0</v>
      </c>
      <c r="H273" s="30">
        <f t="shared" si="17"/>
        <v>0</v>
      </c>
      <c r="I273" s="7">
        <f t="shared" si="17"/>
        <v>0</v>
      </c>
      <c r="J273" s="7">
        <f t="shared" si="18"/>
        <v>0</v>
      </c>
      <c r="K273" s="69">
        <f t="shared" si="19"/>
        <v>-475703.16901408444</v>
      </c>
    </row>
    <row r="274" spans="1:11" x14ac:dyDescent="0.25">
      <c r="A274" s="37">
        <f>Données!A271</f>
        <v>5886</v>
      </c>
      <c r="B274" s="126" t="str">
        <f>Données!B271</f>
        <v>Montreux</v>
      </c>
      <c r="C274" s="7">
        <f>Données!Z271</f>
        <v>26964</v>
      </c>
      <c r="D274" s="7">
        <f t="shared" si="16"/>
        <v>1000</v>
      </c>
      <c r="E274" s="150">
        <f t="shared" si="17"/>
        <v>2000</v>
      </c>
      <c r="F274" s="7">
        <f t="shared" si="17"/>
        <v>2000</v>
      </c>
      <c r="G274" s="150">
        <f t="shared" si="17"/>
        <v>4000</v>
      </c>
      <c r="H274" s="30">
        <f t="shared" si="17"/>
        <v>3000</v>
      </c>
      <c r="I274" s="7">
        <f t="shared" si="17"/>
        <v>3000</v>
      </c>
      <c r="J274" s="7">
        <f t="shared" si="18"/>
        <v>11964</v>
      </c>
      <c r="K274" s="69">
        <f t="shared" si="19"/>
        <v>-23752938.028169014</v>
      </c>
    </row>
    <row r="275" spans="1:11" x14ac:dyDescent="0.25">
      <c r="A275" s="37">
        <f>Données!A272</f>
        <v>5889</v>
      </c>
      <c r="B275" s="126" t="str">
        <f>Données!B272</f>
        <v>La Tour-de-Peilz</v>
      </c>
      <c r="C275" s="7">
        <f>Données!Z272</f>
        <v>12812</v>
      </c>
      <c r="D275" s="7">
        <f t="shared" si="16"/>
        <v>1000</v>
      </c>
      <c r="E275" s="150">
        <f t="shared" si="17"/>
        <v>2000</v>
      </c>
      <c r="F275" s="7">
        <f t="shared" si="17"/>
        <v>2000</v>
      </c>
      <c r="G275" s="150">
        <f t="shared" si="17"/>
        <v>4000</v>
      </c>
      <c r="H275" s="30">
        <f t="shared" si="17"/>
        <v>3000</v>
      </c>
      <c r="I275" s="7">
        <f t="shared" si="17"/>
        <v>812</v>
      </c>
      <c r="J275" s="7">
        <f t="shared" si="18"/>
        <v>0</v>
      </c>
      <c r="K275" s="69">
        <f t="shared" si="19"/>
        <v>-8067866.1971830986</v>
      </c>
    </row>
    <row r="276" spans="1:11" x14ac:dyDescent="0.25">
      <c r="A276" s="37">
        <f>Données!A273</f>
        <v>5890</v>
      </c>
      <c r="B276" s="126" t="str">
        <f>Données!B273</f>
        <v>Vevey</v>
      </c>
      <c r="C276" s="7">
        <f>Données!Z273</f>
        <v>20146</v>
      </c>
      <c r="D276" s="7">
        <f t="shared" si="16"/>
        <v>1000</v>
      </c>
      <c r="E276" s="150">
        <f t="shared" si="17"/>
        <v>2000</v>
      </c>
      <c r="F276" s="7">
        <f t="shared" si="17"/>
        <v>2000</v>
      </c>
      <c r="G276" s="150">
        <f t="shared" si="17"/>
        <v>4000</v>
      </c>
      <c r="H276" s="30">
        <f t="shared" si="17"/>
        <v>3000</v>
      </c>
      <c r="I276" s="7">
        <f t="shared" si="17"/>
        <v>3000</v>
      </c>
      <c r="J276" s="7">
        <f t="shared" si="18"/>
        <v>5146</v>
      </c>
      <c r="K276" s="69">
        <f t="shared" si="19"/>
        <v>-16140304.929577462</v>
      </c>
    </row>
    <row r="277" spans="1:11" x14ac:dyDescent="0.25">
      <c r="A277" s="37">
        <f>Données!A274</f>
        <v>5891</v>
      </c>
      <c r="B277" s="126" t="str">
        <f>Données!B274</f>
        <v>Veytaux</v>
      </c>
      <c r="C277" s="7">
        <f>Données!Z274</f>
        <v>1043</v>
      </c>
      <c r="D277" s="7">
        <f t="shared" si="16"/>
        <v>1000</v>
      </c>
      <c r="E277" s="150">
        <f t="shared" si="17"/>
        <v>43</v>
      </c>
      <c r="F277" s="7">
        <f t="shared" si="17"/>
        <v>0</v>
      </c>
      <c r="G277" s="150">
        <f t="shared" si="17"/>
        <v>0</v>
      </c>
      <c r="H277" s="30">
        <f t="shared" si="17"/>
        <v>0</v>
      </c>
      <c r="I277" s="7">
        <f t="shared" si="17"/>
        <v>0</v>
      </c>
      <c r="J277" s="7">
        <f t="shared" si="18"/>
        <v>0</v>
      </c>
      <c r="K277" s="69">
        <f t="shared" si="19"/>
        <v>-148926.40845070421</v>
      </c>
    </row>
    <row r="278" spans="1:11" x14ac:dyDescent="0.25">
      <c r="A278" s="37">
        <f>Données!A275</f>
        <v>5892</v>
      </c>
      <c r="B278" s="126" t="str">
        <f>Données!B275</f>
        <v>Blonay - Saint-Légier</v>
      </c>
      <c r="C278" s="7">
        <f>Données!Z275</f>
        <v>12463</v>
      </c>
      <c r="D278" s="7">
        <f t="shared" si="16"/>
        <v>1000</v>
      </c>
      <c r="E278" s="150">
        <f t="shared" si="17"/>
        <v>2000</v>
      </c>
      <c r="F278" s="7">
        <f t="shared" si="17"/>
        <v>2000</v>
      </c>
      <c r="G278" s="150">
        <f t="shared" si="17"/>
        <v>4000</v>
      </c>
      <c r="H278" s="30">
        <f t="shared" si="17"/>
        <v>3000</v>
      </c>
      <c r="I278" s="7">
        <f t="shared" si="17"/>
        <v>463</v>
      </c>
      <c r="J278" s="7">
        <f t="shared" si="18"/>
        <v>0</v>
      </c>
      <c r="K278" s="69">
        <f t="shared" si="19"/>
        <v>-7696746.4788732389</v>
      </c>
    </row>
    <row r="279" spans="1:11" x14ac:dyDescent="0.25">
      <c r="A279" s="37">
        <f>Données!A276</f>
        <v>5902</v>
      </c>
      <c r="B279" s="126" t="str">
        <f>Données!B276</f>
        <v>Belmont-sur-Yverdon</v>
      </c>
      <c r="C279" s="7">
        <f>Données!Z276</f>
        <v>445</v>
      </c>
      <c r="D279" s="7">
        <f t="shared" si="16"/>
        <v>445</v>
      </c>
      <c r="E279" s="150">
        <f t="shared" si="17"/>
        <v>0</v>
      </c>
      <c r="F279" s="7">
        <f t="shared" si="17"/>
        <v>0</v>
      </c>
      <c r="G279" s="150">
        <f t="shared" si="17"/>
        <v>0</v>
      </c>
      <c r="H279" s="30">
        <f t="shared" si="17"/>
        <v>0</v>
      </c>
      <c r="I279" s="7">
        <f t="shared" si="17"/>
        <v>0</v>
      </c>
      <c r="J279" s="7">
        <f t="shared" si="18"/>
        <v>0</v>
      </c>
      <c r="K279" s="69">
        <f t="shared" si="19"/>
        <v>-59150.528169014076</v>
      </c>
    </row>
    <row r="280" spans="1:11" x14ac:dyDescent="0.25">
      <c r="A280" s="37">
        <f>Données!A277</f>
        <v>5903</v>
      </c>
      <c r="B280" s="126" t="str">
        <f>Données!B277</f>
        <v>Bioley-Magnoux</v>
      </c>
      <c r="C280" s="7">
        <f>Données!Z277</f>
        <v>257</v>
      </c>
      <c r="D280" s="7">
        <f t="shared" si="16"/>
        <v>257</v>
      </c>
      <c r="E280" s="150">
        <f t="shared" si="17"/>
        <v>0</v>
      </c>
      <c r="F280" s="7">
        <f t="shared" si="17"/>
        <v>0</v>
      </c>
      <c r="G280" s="150">
        <f t="shared" si="17"/>
        <v>0</v>
      </c>
      <c r="H280" s="30">
        <f t="shared" si="17"/>
        <v>0</v>
      </c>
      <c r="I280" s="7">
        <f t="shared" si="17"/>
        <v>0</v>
      </c>
      <c r="J280" s="7">
        <f t="shared" si="18"/>
        <v>0</v>
      </c>
      <c r="K280" s="69">
        <f t="shared" si="19"/>
        <v>-34161.091549295772</v>
      </c>
    </row>
    <row r="281" spans="1:11" x14ac:dyDescent="0.25">
      <c r="A281" s="37">
        <f>Données!A278</f>
        <v>5904</v>
      </c>
      <c r="B281" s="126" t="str">
        <f>Données!B278</f>
        <v>Chamblon</v>
      </c>
      <c r="C281" s="7">
        <f>Données!Z278</f>
        <v>554</v>
      </c>
      <c r="D281" s="7">
        <f t="shared" si="16"/>
        <v>554</v>
      </c>
      <c r="E281" s="150">
        <f t="shared" si="17"/>
        <v>0</v>
      </c>
      <c r="F281" s="7">
        <f t="shared" si="17"/>
        <v>0</v>
      </c>
      <c r="G281" s="150">
        <f t="shared" si="17"/>
        <v>0</v>
      </c>
      <c r="H281" s="30">
        <f t="shared" si="17"/>
        <v>0</v>
      </c>
      <c r="I281" s="7">
        <f t="shared" si="17"/>
        <v>0</v>
      </c>
      <c r="J281" s="7">
        <f t="shared" si="18"/>
        <v>0</v>
      </c>
      <c r="K281" s="69">
        <f t="shared" si="19"/>
        <v>-73639.084507042237</v>
      </c>
    </row>
    <row r="282" spans="1:11" x14ac:dyDescent="0.25">
      <c r="A282" s="37">
        <f>Données!A279</f>
        <v>5905</v>
      </c>
      <c r="B282" s="126" t="str">
        <f>Données!B279</f>
        <v>Champvent</v>
      </c>
      <c r="C282" s="7">
        <f>Données!Z279</f>
        <v>725</v>
      </c>
      <c r="D282" s="7">
        <f t="shared" si="16"/>
        <v>725</v>
      </c>
      <c r="E282" s="150">
        <f t="shared" si="17"/>
        <v>0</v>
      </c>
      <c r="F282" s="7">
        <f t="shared" si="17"/>
        <v>0</v>
      </c>
      <c r="G282" s="150">
        <f t="shared" si="17"/>
        <v>0</v>
      </c>
      <c r="H282" s="30">
        <f t="shared" si="17"/>
        <v>0</v>
      </c>
      <c r="I282" s="7">
        <f t="shared" si="17"/>
        <v>0</v>
      </c>
      <c r="J282" s="7">
        <f t="shared" si="18"/>
        <v>0</v>
      </c>
      <c r="K282" s="69">
        <f t="shared" si="19"/>
        <v>-96368.838028169004</v>
      </c>
    </row>
    <row r="283" spans="1:11" x14ac:dyDescent="0.25">
      <c r="A283" s="37">
        <f>Données!A280</f>
        <v>5907</v>
      </c>
      <c r="B283" s="126" t="str">
        <f>Données!B280</f>
        <v>Chavannes-le-Chêne</v>
      </c>
      <c r="C283" s="7">
        <f>Données!Z280</f>
        <v>322</v>
      </c>
      <c r="D283" s="7">
        <f t="shared" si="16"/>
        <v>322</v>
      </c>
      <c r="E283" s="150">
        <f t="shared" si="17"/>
        <v>0</v>
      </c>
      <c r="F283" s="7">
        <f t="shared" si="17"/>
        <v>0</v>
      </c>
      <c r="G283" s="150">
        <f t="shared" si="17"/>
        <v>0</v>
      </c>
      <c r="H283" s="30">
        <f t="shared" si="17"/>
        <v>0</v>
      </c>
      <c r="I283" s="7">
        <f t="shared" si="17"/>
        <v>0</v>
      </c>
      <c r="J283" s="7">
        <f t="shared" si="18"/>
        <v>0</v>
      </c>
      <c r="K283" s="69">
        <f t="shared" si="19"/>
        <v>-42801.05633802816</v>
      </c>
    </row>
    <row r="284" spans="1:11" x14ac:dyDescent="0.25">
      <c r="A284" s="37">
        <f>Données!A281</f>
        <v>5908</v>
      </c>
      <c r="B284" s="126" t="str">
        <f>Données!B281</f>
        <v>Chêne-Pâquier</v>
      </c>
      <c r="C284" s="7">
        <f>Données!Z281</f>
        <v>173</v>
      </c>
      <c r="D284" s="7">
        <f t="shared" si="16"/>
        <v>173</v>
      </c>
      <c r="E284" s="150">
        <f t="shared" si="17"/>
        <v>0</v>
      </c>
      <c r="F284" s="7">
        <f t="shared" si="17"/>
        <v>0</v>
      </c>
      <c r="G284" s="150">
        <f t="shared" si="17"/>
        <v>0</v>
      </c>
      <c r="H284" s="30">
        <f t="shared" si="17"/>
        <v>0</v>
      </c>
      <c r="I284" s="7">
        <f t="shared" si="17"/>
        <v>0</v>
      </c>
      <c r="J284" s="7">
        <f t="shared" si="18"/>
        <v>0</v>
      </c>
      <c r="K284" s="69">
        <f t="shared" si="19"/>
        <v>-22995.598591549293</v>
      </c>
    </row>
    <row r="285" spans="1:11" x14ac:dyDescent="0.25">
      <c r="A285" s="37">
        <f>Données!A282</f>
        <v>5909</v>
      </c>
      <c r="B285" s="126" t="str">
        <f>Données!B282</f>
        <v>Cheseaux-Noréaz</v>
      </c>
      <c r="C285" s="7">
        <f>Données!Z282</f>
        <v>734</v>
      </c>
      <c r="D285" s="7">
        <f t="shared" si="16"/>
        <v>734</v>
      </c>
      <c r="E285" s="150">
        <f t="shared" si="17"/>
        <v>0</v>
      </c>
      <c r="F285" s="7">
        <f t="shared" si="17"/>
        <v>0</v>
      </c>
      <c r="G285" s="150">
        <f t="shared" si="17"/>
        <v>0</v>
      </c>
      <c r="H285" s="30">
        <f t="shared" si="17"/>
        <v>0</v>
      </c>
      <c r="I285" s="7">
        <f t="shared" si="17"/>
        <v>0</v>
      </c>
      <c r="J285" s="7">
        <f t="shared" si="18"/>
        <v>0</v>
      </c>
      <c r="K285" s="69">
        <f t="shared" si="19"/>
        <v>-97565.140845070404</v>
      </c>
    </row>
    <row r="286" spans="1:11" x14ac:dyDescent="0.25">
      <c r="A286" s="37">
        <f>Données!A283</f>
        <v>5910</v>
      </c>
      <c r="B286" s="126" t="str">
        <f>Données!B283</f>
        <v>Cronay</v>
      </c>
      <c r="C286" s="7">
        <f>Données!Z283</f>
        <v>425</v>
      </c>
      <c r="D286" s="7">
        <f t="shared" si="16"/>
        <v>425</v>
      </c>
      <c r="E286" s="150">
        <f t="shared" si="17"/>
        <v>0</v>
      </c>
      <c r="F286" s="7">
        <f t="shared" si="17"/>
        <v>0</v>
      </c>
      <c r="G286" s="150">
        <f t="shared" si="17"/>
        <v>0</v>
      </c>
      <c r="H286" s="30">
        <f t="shared" si="17"/>
        <v>0</v>
      </c>
      <c r="I286" s="7">
        <f t="shared" si="17"/>
        <v>0</v>
      </c>
      <c r="J286" s="7">
        <f t="shared" si="18"/>
        <v>0</v>
      </c>
      <c r="K286" s="69">
        <f t="shared" si="19"/>
        <v>-56492.077464788723</v>
      </c>
    </row>
    <row r="287" spans="1:11" x14ac:dyDescent="0.25">
      <c r="A287" s="37">
        <f>Données!A284</f>
        <v>5911</v>
      </c>
      <c r="B287" s="126" t="str">
        <f>Données!B284</f>
        <v>Cuarny</v>
      </c>
      <c r="C287" s="7">
        <f>Données!Z284</f>
        <v>241</v>
      </c>
      <c r="D287" s="7">
        <f t="shared" si="16"/>
        <v>241</v>
      </c>
      <c r="E287" s="150">
        <f t="shared" si="17"/>
        <v>0</v>
      </c>
      <c r="F287" s="7">
        <f t="shared" si="17"/>
        <v>0</v>
      </c>
      <c r="G287" s="150">
        <f t="shared" si="17"/>
        <v>0</v>
      </c>
      <c r="H287" s="30">
        <f t="shared" si="17"/>
        <v>0</v>
      </c>
      <c r="I287" s="7">
        <f t="shared" si="17"/>
        <v>0</v>
      </c>
      <c r="J287" s="7">
        <f t="shared" si="18"/>
        <v>0</v>
      </c>
      <c r="K287" s="69">
        <f t="shared" si="19"/>
        <v>-32034.330985915487</v>
      </c>
    </row>
    <row r="288" spans="1:11" x14ac:dyDescent="0.25">
      <c r="A288" s="37">
        <f>Données!A285</f>
        <v>5912</v>
      </c>
      <c r="B288" s="126" t="str">
        <f>Données!B285</f>
        <v>Démoret</v>
      </c>
      <c r="C288" s="7">
        <f>Données!Z285</f>
        <v>172</v>
      </c>
      <c r="D288" s="7">
        <f t="shared" si="16"/>
        <v>172</v>
      </c>
      <c r="E288" s="150">
        <f t="shared" si="17"/>
        <v>0</v>
      </c>
      <c r="F288" s="7">
        <f t="shared" si="17"/>
        <v>0</v>
      </c>
      <c r="G288" s="150">
        <f t="shared" si="17"/>
        <v>0</v>
      </c>
      <c r="H288" s="30">
        <f t="shared" si="17"/>
        <v>0</v>
      </c>
      <c r="I288" s="7">
        <f t="shared" si="17"/>
        <v>0</v>
      </c>
      <c r="J288" s="7">
        <f t="shared" si="18"/>
        <v>0</v>
      </c>
      <c r="K288" s="69">
        <f t="shared" si="19"/>
        <v>-22862.676056338023</v>
      </c>
    </row>
    <row r="289" spans="1:11" x14ac:dyDescent="0.25">
      <c r="A289" s="37">
        <f>Données!A286</f>
        <v>5913</v>
      </c>
      <c r="B289" s="126" t="str">
        <f>Données!B286</f>
        <v>Donneloye</v>
      </c>
      <c r="C289" s="7">
        <f>Données!Z286</f>
        <v>917</v>
      </c>
      <c r="D289" s="7">
        <f t="shared" si="16"/>
        <v>917</v>
      </c>
      <c r="E289" s="150">
        <f t="shared" si="17"/>
        <v>0</v>
      </c>
      <c r="F289" s="7">
        <f t="shared" si="17"/>
        <v>0</v>
      </c>
      <c r="G289" s="150">
        <f t="shared" si="17"/>
        <v>0</v>
      </c>
      <c r="H289" s="30">
        <f t="shared" si="17"/>
        <v>0</v>
      </c>
      <c r="I289" s="7">
        <f t="shared" si="17"/>
        <v>0</v>
      </c>
      <c r="J289" s="7">
        <f t="shared" si="18"/>
        <v>0</v>
      </c>
      <c r="K289" s="69">
        <f t="shared" si="19"/>
        <v>-121889.96478873238</v>
      </c>
    </row>
    <row r="290" spans="1:11" x14ac:dyDescent="0.25">
      <c r="A290" s="37">
        <f>Données!A287</f>
        <v>5914</v>
      </c>
      <c r="B290" s="126" t="str">
        <f>Données!B287</f>
        <v>Ependes</v>
      </c>
      <c r="C290" s="7">
        <f>Données!Z287</f>
        <v>381</v>
      </c>
      <c r="D290" s="7">
        <f t="shared" si="16"/>
        <v>381</v>
      </c>
      <c r="E290" s="150">
        <f t="shared" si="17"/>
        <v>0</v>
      </c>
      <c r="F290" s="7">
        <f t="shared" si="17"/>
        <v>0</v>
      </c>
      <c r="G290" s="150">
        <f t="shared" si="17"/>
        <v>0</v>
      </c>
      <c r="H290" s="30">
        <f t="shared" si="17"/>
        <v>0</v>
      </c>
      <c r="I290" s="7">
        <f t="shared" si="17"/>
        <v>0</v>
      </c>
      <c r="J290" s="7">
        <f t="shared" si="18"/>
        <v>0</v>
      </c>
      <c r="K290" s="69">
        <f t="shared" si="19"/>
        <v>-50643.485915492951</v>
      </c>
    </row>
    <row r="291" spans="1:11" x14ac:dyDescent="0.25">
      <c r="A291" s="37">
        <f>Données!A288</f>
        <v>5919</v>
      </c>
      <c r="B291" s="126" t="str">
        <f>Données!B288</f>
        <v>Mathod</v>
      </c>
      <c r="C291" s="7">
        <f>Données!Z288</f>
        <v>725</v>
      </c>
      <c r="D291" s="7">
        <f t="shared" si="16"/>
        <v>725</v>
      </c>
      <c r="E291" s="150">
        <f t="shared" si="17"/>
        <v>0</v>
      </c>
      <c r="F291" s="7">
        <f t="shared" si="17"/>
        <v>0</v>
      </c>
      <c r="G291" s="150">
        <f t="shared" si="17"/>
        <v>0</v>
      </c>
      <c r="H291" s="30">
        <f t="shared" si="17"/>
        <v>0</v>
      </c>
      <c r="I291" s="7">
        <f t="shared" si="17"/>
        <v>0</v>
      </c>
      <c r="J291" s="7">
        <f t="shared" si="18"/>
        <v>0</v>
      </c>
      <c r="K291" s="69">
        <f t="shared" si="19"/>
        <v>-96368.838028169004</v>
      </c>
    </row>
    <row r="292" spans="1:11" x14ac:dyDescent="0.25">
      <c r="A292" s="37">
        <f>Données!A289</f>
        <v>5921</v>
      </c>
      <c r="B292" s="126" t="str">
        <f>Données!B289</f>
        <v>Molondin</v>
      </c>
      <c r="C292" s="7">
        <f>Données!Z289</f>
        <v>269</v>
      </c>
      <c r="D292" s="7">
        <f t="shared" si="16"/>
        <v>269</v>
      </c>
      <c r="E292" s="150">
        <f t="shared" si="17"/>
        <v>0</v>
      </c>
      <c r="F292" s="7">
        <f t="shared" si="17"/>
        <v>0</v>
      </c>
      <c r="G292" s="150">
        <f t="shared" si="17"/>
        <v>0</v>
      </c>
      <c r="H292" s="30">
        <f t="shared" si="17"/>
        <v>0</v>
      </c>
      <c r="I292" s="7">
        <f t="shared" si="17"/>
        <v>0</v>
      </c>
      <c r="J292" s="7">
        <f t="shared" si="18"/>
        <v>0</v>
      </c>
      <c r="K292" s="69">
        <f t="shared" si="19"/>
        <v>-35756.161971830981</v>
      </c>
    </row>
    <row r="293" spans="1:11" x14ac:dyDescent="0.25">
      <c r="A293" s="37">
        <f>Données!A290</f>
        <v>5922</v>
      </c>
      <c r="B293" s="126" t="str">
        <f>Données!B290</f>
        <v>Montagny-près-Yverdon</v>
      </c>
      <c r="C293" s="7">
        <f>Données!Z290</f>
        <v>783</v>
      </c>
      <c r="D293" s="7">
        <f t="shared" si="16"/>
        <v>783</v>
      </c>
      <c r="E293" s="150">
        <f t="shared" si="17"/>
        <v>0</v>
      </c>
      <c r="F293" s="7">
        <f t="shared" si="17"/>
        <v>0</v>
      </c>
      <c r="G293" s="150">
        <f t="shared" si="17"/>
        <v>0</v>
      </c>
      <c r="H293" s="30">
        <f t="shared" si="17"/>
        <v>0</v>
      </c>
      <c r="I293" s="7">
        <f t="shared" si="17"/>
        <v>0</v>
      </c>
      <c r="J293" s="7">
        <f t="shared" si="18"/>
        <v>0</v>
      </c>
      <c r="K293" s="69">
        <f t="shared" si="19"/>
        <v>-104078.34507042253</v>
      </c>
    </row>
    <row r="294" spans="1:11" x14ac:dyDescent="0.25">
      <c r="A294" s="37">
        <f>Données!A291</f>
        <v>5923</v>
      </c>
      <c r="B294" s="126" t="str">
        <f>Données!B291</f>
        <v>Oppens</v>
      </c>
      <c r="C294" s="7">
        <f>Données!Z291</f>
        <v>202</v>
      </c>
      <c r="D294" s="7">
        <f t="shared" si="16"/>
        <v>202</v>
      </c>
      <c r="E294" s="150">
        <f t="shared" si="17"/>
        <v>0</v>
      </c>
      <c r="F294" s="7">
        <f t="shared" si="17"/>
        <v>0</v>
      </c>
      <c r="G294" s="150">
        <f t="shared" si="17"/>
        <v>0</v>
      </c>
      <c r="H294" s="30">
        <f t="shared" si="17"/>
        <v>0</v>
      </c>
      <c r="I294" s="7">
        <f t="shared" si="17"/>
        <v>0</v>
      </c>
      <c r="J294" s="7">
        <f t="shared" si="18"/>
        <v>0</v>
      </c>
      <c r="K294" s="69">
        <f t="shared" si="19"/>
        <v>-26850.352112676053</v>
      </c>
    </row>
    <row r="295" spans="1:11" x14ac:dyDescent="0.25">
      <c r="A295" s="37">
        <f>Données!A292</f>
        <v>5924</v>
      </c>
      <c r="B295" s="126" t="str">
        <f>Données!B292</f>
        <v>Orges</v>
      </c>
      <c r="C295" s="7">
        <f>Données!Z292</f>
        <v>424</v>
      </c>
      <c r="D295" s="7">
        <f t="shared" si="16"/>
        <v>424</v>
      </c>
      <c r="E295" s="150">
        <f t="shared" si="17"/>
        <v>0</v>
      </c>
      <c r="F295" s="7">
        <f t="shared" si="17"/>
        <v>0</v>
      </c>
      <c r="G295" s="150">
        <f t="shared" si="17"/>
        <v>0</v>
      </c>
      <c r="H295" s="30">
        <f t="shared" si="17"/>
        <v>0</v>
      </c>
      <c r="I295" s="7">
        <f t="shared" si="17"/>
        <v>0</v>
      </c>
      <c r="J295" s="7">
        <f t="shared" si="18"/>
        <v>0</v>
      </c>
      <c r="K295" s="69">
        <f t="shared" si="19"/>
        <v>-56359.15492957746</v>
      </c>
    </row>
    <row r="296" spans="1:11" x14ac:dyDescent="0.25">
      <c r="A296" s="37">
        <f>Données!A293</f>
        <v>5925</v>
      </c>
      <c r="B296" s="126" t="str">
        <f>Données!B293</f>
        <v>Orzens</v>
      </c>
      <c r="C296" s="7">
        <f>Données!Z293</f>
        <v>216</v>
      </c>
      <c r="D296" s="7">
        <f t="shared" si="16"/>
        <v>216</v>
      </c>
      <c r="E296" s="150">
        <f t="shared" si="17"/>
        <v>0</v>
      </c>
      <c r="F296" s="7">
        <f t="shared" si="17"/>
        <v>0</v>
      </c>
      <c r="G296" s="150">
        <f t="shared" si="17"/>
        <v>0</v>
      </c>
      <c r="H296" s="30">
        <f t="shared" si="17"/>
        <v>0</v>
      </c>
      <c r="I296" s="7">
        <f t="shared" si="17"/>
        <v>0</v>
      </c>
      <c r="J296" s="7">
        <f t="shared" si="18"/>
        <v>0</v>
      </c>
      <c r="K296" s="69">
        <f t="shared" si="19"/>
        <v>-28711.267605633799</v>
      </c>
    </row>
    <row r="297" spans="1:11" x14ac:dyDescent="0.25">
      <c r="A297" s="37">
        <f>Données!A294</f>
        <v>5926</v>
      </c>
      <c r="B297" s="126" t="str">
        <f>Données!B294</f>
        <v>Pomy</v>
      </c>
      <c r="C297" s="7">
        <f>Données!Z294</f>
        <v>877</v>
      </c>
      <c r="D297" s="7">
        <f t="shared" si="16"/>
        <v>877</v>
      </c>
      <c r="E297" s="150">
        <f t="shared" si="17"/>
        <v>0</v>
      </c>
      <c r="F297" s="7">
        <f t="shared" si="17"/>
        <v>0</v>
      </c>
      <c r="G297" s="150">
        <f t="shared" si="17"/>
        <v>0</v>
      </c>
      <c r="H297" s="30">
        <f t="shared" si="17"/>
        <v>0</v>
      </c>
      <c r="I297" s="7">
        <f t="shared" si="17"/>
        <v>0</v>
      </c>
      <c r="J297" s="7">
        <f t="shared" si="18"/>
        <v>0</v>
      </c>
      <c r="K297" s="69">
        <f t="shared" si="19"/>
        <v>-116573.06338028167</v>
      </c>
    </row>
    <row r="298" spans="1:11" x14ac:dyDescent="0.25">
      <c r="A298" s="37">
        <f>Données!A295</f>
        <v>5928</v>
      </c>
      <c r="B298" s="126" t="str">
        <f>Données!B295</f>
        <v>Rovray</v>
      </c>
      <c r="C298" s="7">
        <f>Données!Z295</f>
        <v>195</v>
      </c>
      <c r="D298" s="7">
        <f t="shared" si="16"/>
        <v>195</v>
      </c>
      <c r="E298" s="150">
        <f t="shared" si="17"/>
        <v>0</v>
      </c>
      <c r="F298" s="7">
        <f t="shared" si="17"/>
        <v>0</v>
      </c>
      <c r="G298" s="150">
        <f t="shared" si="17"/>
        <v>0</v>
      </c>
      <c r="H298" s="30">
        <f t="shared" si="17"/>
        <v>0</v>
      </c>
      <c r="I298" s="7">
        <f t="shared" si="17"/>
        <v>0</v>
      </c>
      <c r="J298" s="7">
        <f t="shared" si="18"/>
        <v>0</v>
      </c>
      <c r="K298" s="69">
        <f t="shared" si="19"/>
        <v>-25919.894366197179</v>
      </c>
    </row>
    <row r="299" spans="1:11" x14ac:dyDescent="0.25">
      <c r="A299" s="37">
        <f>Données!A296</f>
        <v>5929</v>
      </c>
      <c r="B299" s="126" t="str">
        <f>Données!B296</f>
        <v>Suchy</v>
      </c>
      <c r="C299" s="7">
        <f>Données!Z296</f>
        <v>670</v>
      </c>
      <c r="D299" s="7">
        <f t="shared" si="16"/>
        <v>670</v>
      </c>
      <c r="E299" s="150">
        <f t="shared" si="17"/>
        <v>0</v>
      </c>
      <c r="F299" s="7">
        <f t="shared" si="17"/>
        <v>0</v>
      </c>
      <c r="G299" s="150">
        <f t="shared" si="17"/>
        <v>0</v>
      </c>
      <c r="H299" s="30">
        <f t="shared" si="17"/>
        <v>0</v>
      </c>
      <c r="I299" s="7">
        <f t="shared" si="17"/>
        <v>0</v>
      </c>
      <c r="J299" s="7">
        <f t="shared" si="18"/>
        <v>0</v>
      </c>
      <c r="K299" s="69">
        <f t="shared" si="19"/>
        <v>-89058.098591549278</v>
      </c>
    </row>
    <row r="300" spans="1:11" x14ac:dyDescent="0.25">
      <c r="A300" s="37">
        <f>Données!A297</f>
        <v>5930</v>
      </c>
      <c r="B300" s="126" t="str">
        <f>Données!B297</f>
        <v>Suscévaz</v>
      </c>
      <c r="C300" s="7">
        <f>Données!Z297</f>
        <v>237</v>
      </c>
      <c r="D300" s="7">
        <f t="shared" ref="D300:D308" si="20">IF($C300&gt;D$5,IF($C300&lt;D$6,$C300-D$5,D$6-D$5),0)</f>
        <v>237</v>
      </c>
      <c r="E300" s="150">
        <f t="shared" si="17"/>
        <v>0</v>
      </c>
      <c r="F300" s="7">
        <f t="shared" si="17"/>
        <v>0</v>
      </c>
      <c r="G300" s="150">
        <f t="shared" si="17"/>
        <v>0</v>
      </c>
      <c r="H300" s="30">
        <f t="shared" si="17"/>
        <v>0</v>
      </c>
      <c r="I300" s="7">
        <f t="shared" si="17"/>
        <v>0</v>
      </c>
      <c r="J300" s="7">
        <f t="shared" si="18"/>
        <v>0</v>
      </c>
      <c r="K300" s="69">
        <f t="shared" si="19"/>
        <v>-31502.640845070418</v>
      </c>
    </row>
    <row r="301" spans="1:11" x14ac:dyDescent="0.25">
      <c r="A301" s="37">
        <f>Données!A298</f>
        <v>5931</v>
      </c>
      <c r="B301" s="126" t="str">
        <f>Données!B298</f>
        <v>Treycovagnes</v>
      </c>
      <c r="C301" s="7">
        <f>Données!Z298</f>
        <v>513</v>
      </c>
      <c r="D301" s="7">
        <f t="shared" si="20"/>
        <v>513</v>
      </c>
      <c r="E301" s="150">
        <f t="shared" si="17"/>
        <v>0</v>
      </c>
      <c r="F301" s="7">
        <f t="shared" si="17"/>
        <v>0</v>
      </c>
      <c r="G301" s="150">
        <f t="shared" si="17"/>
        <v>0</v>
      </c>
      <c r="H301" s="30">
        <f t="shared" si="17"/>
        <v>0</v>
      </c>
      <c r="I301" s="7">
        <f t="shared" si="17"/>
        <v>0</v>
      </c>
      <c r="J301" s="7">
        <f t="shared" si="18"/>
        <v>0</v>
      </c>
      <c r="K301" s="69">
        <f t="shared" si="19"/>
        <v>-68189.260563380274</v>
      </c>
    </row>
    <row r="302" spans="1:11" x14ac:dyDescent="0.25">
      <c r="A302" s="37">
        <f>Données!A299</f>
        <v>5932</v>
      </c>
      <c r="B302" s="126" t="str">
        <f>Données!B299</f>
        <v>Ursins</v>
      </c>
      <c r="C302" s="7">
        <f>Données!Z299</f>
        <v>233</v>
      </c>
      <c r="D302" s="7">
        <f t="shared" si="20"/>
        <v>233</v>
      </c>
      <c r="E302" s="150">
        <f t="shared" si="17"/>
        <v>0</v>
      </c>
      <c r="F302" s="7">
        <f t="shared" si="17"/>
        <v>0</v>
      </c>
      <c r="G302" s="150">
        <f t="shared" si="17"/>
        <v>0</v>
      </c>
      <c r="H302" s="30">
        <f t="shared" si="17"/>
        <v>0</v>
      </c>
      <c r="I302" s="7">
        <f t="shared" si="17"/>
        <v>0</v>
      </c>
      <c r="J302" s="7">
        <f t="shared" si="18"/>
        <v>0</v>
      </c>
      <c r="K302" s="69">
        <f t="shared" si="19"/>
        <v>-30970.950704225346</v>
      </c>
    </row>
    <row r="303" spans="1:11" x14ac:dyDescent="0.25">
      <c r="A303" s="37">
        <f>Données!A300</f>
        <v>5933</v>
      </c>
      <c r="B303" s="126" t="str">
        <f>Données!B300</f>
        <v>Valeyres-sous-Montagny</v>
      </c>
      <c r="C303" s="7">
        <f>Données!Z300</f>
        <v>706</v>
      </c>
      <c r="D303" s="7">
        <f t="shared" si="20"/>
        <v>706</v>
      </c>
      <c r="E303" s="150">
        <f t="shared" si="17"/>
        <v>0</v>
      </c>
      <c r="F303" s="7">
        <f t="shared" si="17"/>
        <v>0</v>
      </c>
      <c r="G303" s="150">
        <f t="shared" si="17"/>
        <v>0</v>
      </c>
      <c r="H303" s="30">
        <f t="shared" si="17"/>
        <v>0</v>
      </c>
      <c r="I303" s="7">
        <f t="shared" si="17"/>
        <v>0</v>
      </c>
      <c r="J303" s="7">
        <f t="shared" si="18"/>
        <v>0</v>
      </c>
      <c r="K303" s="69">
        <f t="shared" si="19"/>
        <v>-93843.309859154921</v>
      </c>
    </row>
    <row r="304" spans="1:11" x14ac:dyDescent="0.25">
      <c r="A304" s="37">
        <f>Données!A301</f>
        <v>5934</v>
      </c>
      <c r="B304" s="126" t="str">
        <f>Données!B301</f>
        <v>Valeyres-sous-Ursins</v>
      </c>
      <c r="C304" s="7">
        <f>Données!Z301</f>
        <v>236</v>
      </c>
      <c r="D304" s="7">
        <f t="shared" si="20"/>
        <v>236</v>
      </c>
      <c r="E304" s="150">
        <f t="shared" si="17"/>
        <v>0</v>
      </c>
      <c r="F304" s="7">
        <f t="shared" si="17"/>
        <v>0</v>
      </c>
      <c r="G304" s="150">
        <f t="shared" si="17"/>
        <v>0</v>
      </c>
      <c r="H304" s="30">
        <f t="shared" si="17"/>
        <v>0</v>
      </c>
      <c r="I304" s="7">
        <f t="shared" si="17"/>
        <v>0</v>
      </c>
      <c r="J304" s="7">
        <f t="shared" si="18"/>
        <v>0</v>
      </c>
      <c r="K304" s="69">
        <f t="shared" si="19"/>
        <v>-31369.718309859149</v>
      </c>
    </row>
    <row r="305" spans="1:11" x14ac:dyDescent="0.25">
      <c r="A305" s="37">
        <f>Données!A302</f>
        <v>5935</v>
      </c>
      <c r="B305" s="126" t="str">
        <f>Données!B302</f>
        <v>Villars-Epeney</v>
      </c>
      <c r="C305" s="7">
        <f>Données!Z302</f>
        <v>108</v>
      </c>
      <c r="D305" s="7">
        <f t="shared" si="20"/>
        <v>108</v>
      </c>
      <c r="E305" s="150">
        <f t="shared" si="17"/>
        <v>0</v>
      </c>
      <c r="F305" s="7">
        <f t="shared" si="17"/>
        <v>0</v>
      </c>
      <c r="G305" s="150">
        <f t="shared" si="17"/>
        <v>0</v>
      </c>
      <c r="H305" s="30">
        <f t="shared" si="17"/>
        <v>0</v>
      </c>
      <c r="I305" s="7">
        <f t="shared" si="17"/>
        <v>0</v>
      </c>
      <c r="J305" s="7">
        <f t="shared" si="18"/>
        <v>0</v>
      </c>
      <c r="K305" s="69">
        <f t="shared" si="19"/>
        <v>-14355.633802816899</v>
      </c>
    </row>
    <row r="306" spans="1:11" x14ac:dyDescent="0.25">
      <c r="A306" s="37">
        <f>Données!A303</f>
        <v>5937</v>
      </c>
      <c r="B306" s="126" t="str">
        <f>Données!B303</f>
        <v>Vugelles-La Mothe</v>
      </c>
      <c r="C306" s="7">
        <f>Données!Z303</f>
        <v>147</v>
      </c>
      <c r="D306" s="7">
        <f t="shared" si="20"/>
        <v>147</v>
      </c>
      <c r="E306" s="150">
        <f t="shared" si="17"/>
        <v>0</v>
      </c>
      <c r="F306" s="7">
        <f t="shared" si="17"/>
        <v>0</v>
      </c>
      <c r="G306" s="150">
        <f t="shared" si="17"/>
        <v>0</v>
      </c>
      <c r="H306" s="30">
        <f t="shared" si="17"/>
        <v>0</v>
      </c>
      <c r="I306" s="7">
        <f t="shared" si="17"/>
        <v>0</v>
      </c>
      <c r="J306" s="7">
        <f t="shared" si="18"/>
        <v>0</v>
      </c>
      <c r="K306" s="69">
        <f t="shared" si="19"/>
        <v>-19539.612676056335</v>
      </c>
    </row>
    <row r="307" spans="1:11" x14ac:dyDescent="0.25">
      <c r="A307" s="37">
        <f>Données!A304</f>
        <v>5938</v>
      </c>
      <c r="B307" s="126" t="str">
        <f>Données!B304</f>
        <v>Yverdon-les-Bains</v>
      </c>
      <c r="C307" s="7">
        <f>Données!Z304</f>
        <v>30332</v>
      </c>
      <c r="D307" s="7">
        <f t="shared" si="20"/>
        <v>1000</v>
      </c>
      <c r="E307" s="150">
        <f t="shared" si="17"/>
        <v>2000</v>
      </c>
      <c r="F307" s="7">
        <f t="shared" si="17"/>
        <v>2000</v>
      </c>
      <c r="G307" s="150">
        <f t="shared" si="17"/>
        <v>4000</v>
      </c>
      <c r="H307" s="30">
        <f t="shared" si="17"/>
        <v>3000</v>
      </c>
      <c r="I307" s="7">
        <f t="shared" si="17"/>
        <v>3000</v>
      </c>
      <c r="J307" s="7">
        <f t="shared" si="18"/>
        <v>15332</v>
      </c>
      <c r="K307" s="69">
        <f t="shared" si="19"/>
        <v>-27513476.056338027</v>
      </c>
    </row>
    <row r="308" spans="1:11" x14ac:dyDescent="0.25">
      <c r="A308" s="37">
        <f>Données!A305</f>
        <v>5939</v>
      </c>
      <c r="B308" s="126" t="str">
        <f>Données!B305</f>
        <v>Yvonand</v>
      </c>
      <c r="C308" s="151">
        <f>Données!Z305</f>
        <v>3525</v>
      </c>
      <c r="D308" s="7">
        <f t="shared" si="20"/>
        <v>1000</v>
      </c>
      <c r="E308" s="150">
        <f t="shared" si="17"/>
        <v>2000</v>
      </c>
      <c r="F308" s="7">
        <f t="shared" si="17"/>
        <v>525</v>
      </c>
      <c r="G308" s="150">
        <f t="shared" si="17"/>
        <v>0</v>
      </c>
      <c r="H308" s="30">
        <f t="shared" si="17"/>
        <v>0</v>
      </c>
      <c r="I308" s="7">
        <f t="shared" si="17"/>
        <v>0</v>
      </c>
      <c r="J308" s="7">
        <f t="shared" si="18"/>
        <v>0</v>
      </c>
      <c r="K308" s="69">
        <f t="shared" si="19"/>
        <v>-1156426.0563380281</v>
      </c>
    </row>
    <row r="309" spans="1:11" x14ac:dyDescent="0.25">
      <c r="A309" s="24"/>
      <c r="B309" s="71">
        <f>COUNTA(B9:B308)</f>
        <v>300</v>
      </c>
      <c r="C309" s="8">
        <f>SUM(C9:C308)</f>
        <v>855749</v>
      </c>
      <c r="D309" s="8">
        <f t="shared" ref="D309:J309" si="21">SUM(D9:D308)</f>
        <v>217117</v>
      </c>
      <c r="E309" s="8">
        <f t="shared" si="21"/>
        <v>176691</v>
      </c>
      <c r="F309" s="8">
        <f t="shared" si="21"/>
        <v>92389</v>
      </c>
      <c r="G309" s="8">
        <f t="shared" si="21"/>
        <v>103619</v>
      </c>
      <c r="H309" s="8">
        <f t="shared" si="21"/>
        <v>51898</v>
      </c>
      <c r="I309" s="8">
        <f t="shared" si="21"/>
        <v>29400</v>
      </c>
      <c r="J309" s="8">
        <f t="shared" si="21"/>
        <v>184635</v>
      </c>
      <c r="K309" s="29">
        <f>SUM(K9:K308)</f>
        <v>-494181980.10563397</v>
      </c>
    </row>
    <row r="310" spans="1:11" x14ac:dyDescent="0.25">
      <c r="C310" s="51"/>
      <c r="K310" s="4"/>
    </row>
    <row r="311" spans="1:11" x14ac:dyDescent="0.25">
      <c r="K311" s="152"/>
    </row>
    <row r="312" spans="1:11" x14ac:dyDescent="0.25">
      <c r="K312" s="152"/>
    </row>
    <row r="320" spans="1:11" x14ac:dyDescent="0.25">
      <c r="C320" s="44"/>
    </row>
  </sheetData>
  <sheetProtection sheet="1" objects="1" scenarios="1"/>
  <mergeCells count="6">
    <mergeCell ref="K7:K8"/>
    <mergeCell ref="C4:J4"/>
    <mergeCell ref="A7:A8"/>
    <mergeCell ref="B7:B8"/>
    <mergeCell ref="C7:C8"/>
    <mergeCell ref="D7:J7"/>
  </mergeCells>
  <phoneticPr fontId="21" type="noConversion"/>
  <hyperlinks>
    <hyperlink ref="G1" location="'Péréquation directe'!A1" display="← Précédent" xr:uid="{4A68310A-425D-4B7C-A602-B19E50C59698}"/>
    <hyperlink ref="H1" location="'Table des matières'!A1" display="Table des             matières" xr:uid="{45E00C4B-D76D-485B-A963-90DFF5ED91F9}"/>
    <hyperlink ref="I1" location="Solidarité!A1" display="Suivant →" xr:uid="{3CE52556-7647-4955-BB2C-AB3DA5B0FC22}"/>
  </hyperlinks>
  <pageMargins left="0.78740157499999996" right="0.78740157499999996" top="0.984251969" bottom="0.984251969" header="0.4921259845" footer="0.4921259845"/>
  <pageSetup paperSize="9" orientation="portrait" horizontalDpi="4294967292" verticalDpi="4294967292"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0">
    <tabColor theme="6" tint="0.39997558519241921"/>
  </sheetPr>
  <dimension ref="A1:L306"/>
  <sheetViews>
    <sheetView workbookViewId="0">
      <pane xSplit="2" ySplit="5" topLeftCell="C6" activePane="bottomRight" state="frozen"/>
      <selection pane="topRight" activeCell="C1" sqref="C1"/>
      <selection pane="bottomLeft" activeCell="A6" sqref="A6"/>
      <selection pane="bottomRight"/>
    </sheetView>
  </sheetViews>
  <sheetFormatPr baseColWidth="10" defaultColWidth="11" defaultRowHeight="15" x14ac:dyDescent="0.25"/>
  <cols>
    <col min="1" max="1" width="7.25" style="10" customWidth="1"/>
    <col min="2" max="2" width="21.25" style="10" customWidth="1"/>
    <col min="3" max="3" width="10.125" style="10" customWidth="1"/>
    <col min="4" max="4" width="20.5" style="10" customWidth="1"/>
    <col min="5" max="5" width="12" style="10" bestFit="1" customWidth="1"/>
    <col min="6" max="6" width="10.625" style="11" customWidth="1"/>
    <col min="7" max="7" width="12.5" style="12" bestFit="1" customWidth="1"/>
    <col min="8" max="8" width="11.125" style="10" bestFit="1" customWidth="1"/>
    <col min="9" max="9" width="13.875" style="4" customWidth="1"/>
    <col min="10" max="16384" width="11" style="10"/>
  </cols>
  <sheetData>
    <row r="1" spans="1:12" s="194" customFormat="1" ht="26.25" x14ac:dyDescent="0.4">
      <c r="A1" s="187" t="s">
        <v>562</v>
      </c>
      <c r="B1" s="192"/>
      <c r="C1" s="193"/>
      <c r="D1" s="193"/>
      <c r="E1" s="287" t="s">
        <v>402</v>
      </c>
      <c r="F1" s="208" t="s">
        <v>394</v>
      </c>
      <c r="G1" s="348" t="s">
        <v>403</v>
      </c>
      <c r="I1" s="195"/>
      <c r="J1" s="268"/>
      <c r="K1" s="268"/>
      <c r="L1" s="268"/>
    </row>
    <row r="2" spans="1:12" s="146" customFormat="1" ht="15.75" customHeight="1" x14ac:dyDescent="0.25">
      <c r="A2" s="253" t="str">
        <f>Paramètres!B4</f>
        <v>Décompte 2024</v>
      </c>
      <c r="B2" s="31"/>
      <c r="C2" s="58"/>
      <c r="D2" s="58"/>
      <c r="F2" s="158"/>
      <c r="G2" s="159"/>
      <c r="I2" s="4"/>
      <c r="J2" s="274"/>
      <c r="K2" s="274"/>
      <c r="L2" s="274"/>
    </row>
    <row r="3" spans="1:12" ht="26.45" customHeight="1" x14ac:dyDescent="0.25">
      <c r="J3" s="274"/>
      <c r="K3" s="274"/>
      <c r="L3" s="274"/>
    </row>
    <row r="4" spans="1:12" ht="36.75" customHeight="1" x14ac:dyDescent="0.25">
      <c r="A4" s="763" t="s">
        <v>44</v>
      </c>
      <c r="B4" s="763" t="s">
        <v>84</v>
      </c>
      <c r="C4" s="763" t="s">
        <v>257</v>
      </c>
      <c r="D4" s="763" t="s">
        <v>491</v>
      </c>
      <c r="E4" s="216" t="s">
        <v>299</v>
      </c>
      <c r="F4" s="771" t="s">
        <v>71</v>
      </c>
      <c r="G4" s="769" t="s">
        <v>480</v>
      </c>
      <c r="H4" s="763" t="s">
        <v>421</v>
      </c>
      <c r="I4" s="769" t="s">
        <v>495</v>
      </c>
      <c r="J4" s="274"/>
      <c r="K4" s="274"/>
      <c r="L4" s="274"/>
    </row>
    <row r="5" spans="1:12" x14ac:dyDescent="0.25">
      <c r="A5" s="765"/>
      <c r="B5" s="765"/>
      <c r="C5" s="765"/>
      <c r="D5" s="765"/>
      <c r="E5" s="166">
        <f>+Paramètres!B36</f>
        <v>0.27</v>
      </c>
      <c r="F5" s="772"/>
      <c r="G5" s="773"/>
      <c r="H5" s="765"/>
      <c r="I5" s="770"/>
    </row>
    <row r="6" spans="1:12" x14ac:dyDescent="0.25">
      <c r="A6" s="37">
        <f>Données!A6</f>
        <v>5401</v>
      </c>
      <c r="B6" s="26" t="str">
        <f>Données!B6</f>
        <v>Aigle</v>
      </c>
      <c r="C6" s="30">
        <f>Données!Z6</f>
        <v>11780</v>
      </c>
      <c r="D6" s="162">
        <f>Ecrêtage!E6</f>
        <v>26.452802562981251</v>
      </c>
      <c r="E6" s="162">
        <f>IF($D$306-D6&lt;0,0,$D$306-D6)</f>
        <v>23.512631245150384</v>
      </c>
      <c r="F6" s="162">
        <f>+Données!X6</f>
        <v>66</v>
      </c>
      <c r="G6" s="270">
        <f>-((C6*E6*F6)*$E$5)</f>
        <v>-4935762.1459294707</v>
      </c>
      <c r="H6" s="120">
        <f>F6/$F$306</f>
        <v>0.9772870148543823</v>
      </c>
      <c r="I6" s="41">
        <f>G6*H6</f>
        <v>-4823656.2536266726</v>
      </c>
    </row>
    <row r="7" spans="1:12" x14ac:dyDescent="0.25">
      <c r="A7" s="37">
        <f>Données!A7</f>
        <v>5402</v>
      </c>
      <c r="B7" s="26" t="str">
        <f>Données!B7</f>
        <v>Bex</v>
      </c>
      <c r="C7" s="30">
        <f>Données!Z7</f>
        <v>8806</v>
      </c>
      <c r="D7" s="162">
        <f>Ecrêtage!E7</f>
        <v>22.6664034765029</v>
      </c>
      <c r="E7" s="162">
        <f t="shared" ref="E7:E70" si="0">IF($D$306-D7&lt;0,0,$D$306-D7)</f>
        <v>27.299030331628735</v>
      </c>
      <c r="F7" s="162">
        <f>+Données!X7</f>
        <v>71</v>
      </c>
      <c r="G7" s="271">
        <f t="shared" ref="G7:G70" si="1">-((C7*E7*F7)*$E$5)</f>
        <v>-4608377.1552931853</v>
      </c>
      <c r="H7" s="120">
        <f t="shared" ref="H7:H70" si="2">F7/$F$306</f>
        <v>1.0513239099191083</v>
      </c>
      <c r="I7" s="41">
        <f t="shared" ref="I7:I70" si="3">G7*H7</f>
        <v>-4844897.0892847292</v>
      </c>
    </row>
    <row r="8" spans="1:12" x14ac:dyDescent="0.25">
      <c r="A8" s="37">
        <f>Données!A8</f>
        <v>5403</v>
      </c>
      <c r="B8" s="26" t="str">
        <f>Données!B8</f>
        <v>Chessel</v>
      </c>
      <c r="C8" s="30">
        <f>Données!Z8</f>
        <v>528</v>
      </c>
      <c r="D8" s="162">
        <f>Ecrêtage!E8</f>
        <v>23.107655885780883</v>
      </c>
      <c r="E8" s="162">
        <f t="shared" si="0"/>
        <v>26.857777922350753</v>
      </c>
      <c r="F8" s="162">
        <f>+Données!X8</f>
        <v>65</v>
      </c>
      <c r="G8" s="271">
        <f t="shared" si="1"/>
        <v>-248874.91333967104</v>
      </c>
      <c r="H8" s="120">
        <f t="shared" si="2"/>
        <v>0.96247963584143714</v>
      </c>
      <c r="I8" s="41">
        <f t="shared" si="3"/>
        <v>-239537.03596123582</v>
      </c>
    </row>
    <row r="9" spans="1:12" x14ac:dyDescent="0.25">
      <c r="A9" s="37">
        <f>Données!A9</f>
        <v>5404</v>
      </c>
      <c r="B9" s="26" t="str">
        <f>Données!B9</f>
        <v>Corbeyrier</v>
      </c>
      <c r="C9" s="30">
        <f>Données!Z9</f>
        <v>452</v>
      </c>
      <c r="D9" s="162">
        <f>Ecrêtage!E9</f>
        <v>26.77165341226182</v>
      </c>
      <c r="E9" s="162">
        <f t="shared" si="0"/>
        <v>23.193780395869815</v>
      </c>
      <c r="F9" s="162">
        <f>+Données!X9</f>
        <v>74</v>
      </c>
      <c r="G9" s="271">
        <f t="shared" si="1"/>
        <v>-209462.10300388449</v>
      </c>
      <c r="H9" s="120">
        <f t="shared" si="2"/>
        <v>1.0957460469579439</v>
      </c>
      <c r="I9" s="41">
        <f t="shared" si="3"/>
        <v>-229517.2713540041</v>
      </c>
    </row>
    <row r="10" spans="1:12" x14ac:dyDescent="0.25">
      <c r="A10" s="37">
        <f>Données!A10</f>
        <v>5405</v>
      </c>
      <c r="B10" s="26" t="str">
        <f>Données!B10</f>
        <v>Gryon</v>
      </c>
      <c r="C10" s="30">
        <f>Données!Z10</f>
        <v>1525</v>
      </c>
      <c r="D10" s="162">
        <f>Ecrêtage!E10</f>
        <v>52.491677484108408</v>
      </c>
      <c r="E10" s="162">
        <f t="shared" si="0"/>
        <v>0</v>
      </c>
      <c r="F10" s="162">
        <f>+Données!X10</f>
        <v>73.5</v>
      </c>
      <c r="G10" s="271">
        <f t="shared" si="1"/>
        <v>0</v>
      </c>
      <c r="H10" s="120">
        <f t="shared" si="2"/>
        <v>1.0883423574514712</v>
      </c>
      <c r="I10" s="41">
        <f t="shared" si="3"/>
        <v>0</v>
      </c>
    </row>
    <row r="11" spans="1:12" x14ac:dyDescent="0.25">
      <c r="A11" s="37">
        <f>Données!A11</f>
        <v>5406</v>
      </c>
      <c r="B11" s="26" t="str">
        <f>Données!B11</f>
        <v>Lavey-Morcles</v>
      </c>
      <c r="C11" s="30">
        <f>Données!Z11</f>
        <v>1014</v>
      </c>
      <c r="D11" s="162">
        <f>Ecrêtage!E11</f>
        <v>23.482676175288823</v>
      </c>
      <c r="E11" s="162">
        <f t="shared" si="0"/>
        <v>26.482757632842812</v>
      </c>
      <c r="F11" s="162">
        <f>+Données!X11</f>
        <v>71.5</v>
      </c>
      <c r="G11" s="271">
        <f t="shared" si="1"/>
        <v>-518407.13100745896</v>
      </c>
      <c r="H11" s="120">
        <f t="shared" si="2"/>
        <v>1.0587275994255809</v>
      </c>
      <c r="I11" s="41">
        <f t="shared" si="3"/>
        <v>-548851.93733662961</v>
      </c>
    </row>
    <row r="12" spans="1:12" x14ac:dyDescent="0.25">
      <c r="A12" s="37">
        <f>Données!A12</f>
        <v>5407</v>
      </c>
      <c r="B12" s="26" t="str">
        <f>Données!B12</f>
        <v>Leysin</v>
      </c>
      <c r="C12" s="30">
        <f>Données!Z12</f>
        <v>3685</v>
      </c>
      <c r="D12" s="162">
        <f>Ecrêtage!E12</f>
        <v>25.594491957462111</v>
      </c>
      <c r="E12" s="162">
        <f t="shared" si="0"/>
        <v>24.370941850669524</v>
      </c>
      <c r="F12" s="162">
        <f>+Données!X12</f>
        <v>78</v>
      </c>
      <c r="G12" s="271">
        <f t="shared" si="1"/>
        <v>-1891333.7503572442</v>
      </c>
      <c r="H12" s="120">
        <f t="shared" si="2"/>
        <v>1.1549755630097245</v>
      </c>
      <c r="I12" s="41">
        <f t="shared" si="3"/>
        <v>-2184444.2631581519</v>
      </c>
    </row>
    <row r="13" spans="1:12" x14ac:dyDescent="0.25">
      <c r="A13" s="37">
        <f>Données!A13</f>
        <v>5408</v>
      </c>
      <c r="B13" s="26" t="str">
        <f>Données!B13</f>
        <v>Noville</v>
      </c>
      <c r="C13" s="30">
        <f>Données!Z13</f>
        <v>1208</v>
      </c>
      <c r="D13" s="162">
        <f>Ecrêtage!E13</f>
        <v>34.554453164091235</v>
      </c>
      <c r="E13" s="162">
        <f t="shared" si="0"/>
        <v>15.4109806440404</v>
      </c>
      <c r="F13" s="162">
        <f>+Données!X13</f>
        <v>75</v>
      </c>
      <c r="G13" s="271">
        <f t="shared" si="1"/>
        <v>-376983.40851451625</v>
      </c>
      <c r="H13" s="120">
        <f t="shared" si="2"/>
        <v>1.1105534259708889</v>
      </c>
      <c r="I13" s="41">
        <f t="shared" si="3"/>
        <v>-418660.21585997922</v>
      </c>
    </row>
    <row r="14" spans="1:12" x14ac:dyDescent="0.25">
      <c r="A14" s="37">
        <f>Données!A14</f>
        <v>5409</v>
      </c>
      <c r="B14" s="26" t="str">
        <f>Données!B14</f>
        <v>Ollon</v>
      </c>
      <c r="C14" s="30">
        <f>Données!Z14</f>
        <v>8222</v>
      </c>
      <c r="D14" s="162">
        <f>Ecrêtage!E14</f>
        <v>52.263319882590693</v>
      </c>
      <c r="E14" s="162">
        <f t="shared" si="0"/>
        <v>0</v>
      </c>
      <c r="F14" s="162">
        <f>+Données!X14</f>
        <v>68</v>
      </c>
      <c r="G14" s="271">
        <f t="shared" si="1"/>
        <v>0</v>
      </c>
      <c r="H14" s="120">
        <f t="shared" si="2"/>
        <v>1.0069017728802727</v>
      </c>
      <c r="I14" s="41">
        <f t="shared" si="3"/>
        <v>0</v>
      </c>
    </row>
    <row r="15" spans="1:12" x14ac:dyDescent="0.25">
      <c r="A15" s="37">
        <f>Données!A15</f>
        <v>5410</v>
      </c>
      <c r="B15" s="26" t="str">
        <f>Données!B15</f>
        <v>Ormont-Dessous</v>
      </c>
      <c r="C15" s="30">
        <f>Données!Z15</f>
        <v>1244</v>
      </c>
      <c r="D15" s="162">
        <f>Ecrêtage!E15</f>
        <v>31.721329185284173</v>
      </c>
      <c r="E15" s="162">
        <f t="shared" si="0"/>
        <v>18.244104622847463</v>
      </c>
      <c r="F15" s="162">
        <f>+Données!X15</f>
        <v>77</v>
      </c>
      <c r="G15" s="271">
        <f t="shared" si="1"/>
        <v>-471842.89927559445</v>
      </c>
      <c r="H15" s="120">
        <f t="shared" si="2"/>
        <v>1.1401681839967794</v>
      </c>
      <c r="I15" s="41">
        <f t="shared" si="3"/>
        <v>-537980.26159882988</v>
      </c>
    </row>
    <row r="16" spans="1:12" x14ac:dyDescent="0.25">
      <c r="A16" s="37">
        <f>Données!A16</f>
        <v>5411</v>
      </c>
      <c r="B16" s="26" t="str">
        <f>Données!B16</f>
        <v>Ormont-Dessus</v>
      </c>
      <c r="C16" s="30">
        <f>Données!Z16</f>
        <v>1435</v>
      </c>
      <c r="D16" s="162">
        <f>Ecrêtage!E16</f>
        <v>57.681938779876518</v>
      </c>
      <c r="E16" s="162">
        <f t="shared" si="0"/>
        <v>0</v>
      </c>
      <c r="F16" s="162">
        <f>+Données!X16</f>
        <v>76</v>
      </c>
      <c r="G16" s="271">
        <f t="shared" si="1"/>
        <v>0</v>
      </c>
      <c r="H16" s="120">
        <f t="shared" si="2"/>
        <v>1.1253608049838342</v>
      </c>
      <c r="I16" s="41">
        <f t="shared" si="3"/>
        <v>0</v>
      </c>
    </row>
    <row r="17" spans="1:9" x14ac:dyDescent="0.25">
      <c r="A17" s="37">
        <f>Données!A17</f>
        <v>5412</v>
      </c>
      <c r="B17" s="26" t="str">
        <f>Données!B17</f>
        <v>Rennaz</v>
      </c>
      <c r="C17" s="30">
        <f>Données!Z17</f>
        <v>949</v>
      </c>
      <c r="D17" s="162">
        <f>Ecrêtage!E17</f>
        <v>32.939767059424589</v>
      </c>
      <c r="E17" s="162">
        <f t="shared" si="0"/>
        <v>17.025666748707046</v>
      </c>
      <c r="F17" s="162">
        <f>+Données!X17</f>
        <v>66</v>
      </c>
      <c r="G17" s="271">
        <f t="shared" si="1"/>
        <v>-287924.11500739964</v>
      </c>
      <c r="H17" s="120">
        <f t="shared" si="2"/>
        <v>0.9772870148543823</v>
      </c>
      <c r="I17" s="41">
        <f t="shared" si="3"/>
        <v>-281384.49886017147</v>
      </c>
    </row>
    <row r="18" spans="1:9" x14ac:dyDescent="0.25">
      <c r="A18" s="37">
        <f>Données!A18</f>
        <v>5413</v>
      </c>
      <c r="B18" s="26" t="str">
        <f>Données!B18</f>
        <v>Roche</v>
      </c>
      <c r="C18" s="30">
        <f>Données!Z18</f>
        <v>1996</v>
      </c>
      <c r="D18" s="162">
        <f>Ecrêtage!E18</f>
        <v>20.925934331899093</v>
      </c>
      <c r="E18" s="162">
        <f t="shared" si="0"/>
        <v>29.039499476232542</v>
      </c>
      <c r="F18" s="162">
        <f>+Données!X18</f>
        <v>68</v>
      </c>
      <c r="G18" s="271">
        <f t="shared" si="1"/>
        <v>-1064197.7599257245</v>
      </c>
      <c r="H18" s="120">
        <f t="shared" si="2"/>
        <v>1.0069017728802727</v>
      </c>
      <c r="I18" s="41">
        <f t="shared" si="3"/>
        <v>-1071542.6111644269</v>
      </c>
    </row>
    <row r="19" spans="1:9" x14ac:dyDescent="0.25">
      <c r="A19" s="37">
        <f>Données!A19</f>
        <v>5414</v>
      </c>
      <c r="B19" s="26" t="str">
        <f>Données!B19</f>
        <v>Villeneuve</v>
      </c>
      <c r="C19" s="30">
        <f>Données!Z19</f>
        <v>6039</v>
      </c>
      <c r="D19" s="162">
        <f>Ecrêtage!E19</f>
        <v>29.143080677351598</v>
      </c>
      <c r="E19" s="162">
        <f t="shared" si="0"/>
        <v>20.822353130780037</v>
      </c>
      <c r="F19" s="162">
        <f>+Données!X19</f>
        <v>66.5</v>
      </c>
      <c r="G19" s="271">
        <f t="shared" si="1"/>
        <v>-2257772.8514469964</v>
      </c>
      <c r="H19" s="120">
        <f t="shared" si="2"/>
        <v>0.98469070436085493</v>
      </c>
      <c r="I19" s="41">
        <f t="shared" si="3"/>
        <v>-2223207.9393781587</v>
      </c>
    </row>
    <row r="20" spans="1:9" x14ac:dyDescent="0.25">
      <c r="A20" s="37">
        <f>Données!A20</f>
        <v>5415</v>
      </c>
      <c r="B20" s="26" t="str">
        <f>Données!B20</f>
        <v>Yvorne</v>
      </c>
      <c r="C20" s="30">
        <f>Données!Z20</f>
        <v>1110</v>
      </c>
      <c r="D20" s="162">
        <f>Ecrêtage!E20</f>
        <v>33.229685335685332</v>
      </c>
      <c r="E20" s="162">
        <f t="shared" si="0"/>
        <v>16.735748472446303</v>
      </c>
      <c r="F20" s="162">
        <f>+Données!X20</f>
        <v>71.5</v>
      </c>
      <c r="G20" s="271">
        <f t="shared" si="1"/>
        <v>-358622.82292923925</v>
      </c>
      <c r="H20" s="120">
        <f t="shared" si="2"/>
        <v>1.0587275994255809</v>
      </c>
      <c r="I20" s="41">
        <f t="shared" si="3"/>
        <v>-379683.88041909866</v>
      </c>
    </row>
    <row r="21" spans="1:9" x14ac:dyDescent="0.25">
      <c r="A21" s="37">
        <f>Données!A21</f>
        <v>5422</v>
      </c>
      <c r="B21" s="26" t="str">
        <f>Données!B21</f>
        <v>Aubonne</v>
      </c>
      <c r="C21" s="30">
        <f>Données!Z21</f>
        <v>3862</v>
      </c>
      <c r="D21" s="162">
        <f>Ecrêtage!E21</f>
        <v>95.225758103085866</v>
      </c>
      <c r="E21" s="162">
        <f t="shared" si="0"/>
        <v>0</v>
      </c>
      <c r="F21" s="162">
        <f>+Données!X21</f>
        <v>68</v>
      </c>
      <c r="G21" s="271">
        <f t="shared" si="1"/>
        <v>0</v>
      </c>
      <c r="H21" s="120">
        <f t="shared" si="2"/>
        <v>1.0069017728802727</v>
      </c>
      <c r="I21" s="41">
        <f t="shared" si="3"/>
        <v>0</v>
      </c>
    </row>
    <row r="22" spans="1:9" x14ac:dyDescent="0.25">
      <c r="A22" s="37">
        <f>Données!A22</f>
        <v>5423</v>
      </c>
      <c r="B22" s="26" t="str">
        <f>Données!B22</f>
        <v>Ballens</v>
      </c>
      <c r="C22" s="30">
        <f>Données!Z22</f>
        <v>579</v>
      </c>
      <c r="D22" s="162">
        <f>Ecrêtage!E22</f>
        <v>28.542796271322782</v>
      </c>
      <c r="E22" s="162">
        <f t="shared" si="0"/>
        <v>21.422637536808853</v>
      </c>
      <c r="F22" s="162">
        <f>+Données!X22</f>
        <v>73</v>
      </c>
      <c r="G22" s="271">
        <f t="shared" si="1"/>
        <v>-244477.06760744096</v>
      </c>
      <c r="H22" s="120">
        <f t="shared" si="2"/>
        <v>1.0809386679449986</v>
      </c>
      <c r="I22" s="41">
        <f t="shared" si="3"/>
        <v>-264264.71580268658</v>
      </c>
    </row>
    <row r="23" spans="1:9" x14ac:dyDescent="0.25">
      <c r="A23" s="37">
        <f>Données!A23</f>
        <v>5424</v>
      </c>
      <c r="B23" s="26" t="str">
        <f>Données!B23</f>
        <v>Berolle</v>
      </c>
      <c r="C23" s="30">
        <f>Données!Z23</f>
        <v>303</v>
      </c>
      <c r="D23" s="162">
        <f>Ecrêtage!E23</f>
        <v>32.132163136843481</v>
      </c>
      <c r="E23" s="162">
        <f t="shared" si="0"/>
        <v>17.833270671288155</v>
      </c>
      <c r="F23" s="162">
        <f>+Données!X23</f>
        <v>75.5</v>
      </c>
      <c r="G23" s="271">
        <f t="shared" si="1"/>
        <v>-110149.96045816535</v>
      </c>
      <c r="H23" s="120">
        <f t="shared" si="2"/>
        <v>1.1179571154773615</v>
      </c>
      <c r="I23" s="41">
        <f t="shared" si="3"/>
        <v>-123142.93206375597</v>
      </c>
    </row>
    <row r="24" spans="1:9" x14ac:dyDescent="0.25">
      <c r="A24" s="37">
        <f>Données!A24</f>
        <v>5425</v>
      </c>
      <c r="B24" s="26" t="str">
        <f>Données!B24</f>
        <v>Bière</v>
      </c>
      <c r="C24" s="30">
        <f>Données!Z24</f>
        <v>1680</v>
      </c>
      <c r="D24" s="162">
        <f>Ecrêtage!E24</f>
        <v>26.701743003498251</v>
      </c>
      <c r="E24" s="162">
        <f t="shared" si="0"/>
        <v>23.263690804633384</v>
      </c>
      <c r="F24" s="162">
        <f>+Données!X24</f>
        <v>69</v>
      </c>
      <c r="G24" s="271">
        <f t="shared" si="1"/>
        <v>-728116.30027973745</v>
      </c>
      <c r="H24" s="120">
        <f t="shared" si="2"/>
        <v>1.0217091518932178</v>
      </c>
      <c r="I24" s="41">
        <f t="shared" si="3"/>
        <v>-743923.08763843798</v>
      </c>
    </row>
    <row r="25" spans="1:9" x14ac:dyDescent="0.25">
      <c r="A25" s="37">
        <f>Données!A25</f>
        <v>5426</v>
      </c>
      <c r="B25" s="26" t="str">
        <f>Données!B25</f>
        <v>Bougy-Villars</v>
      </c>
      <c r="C25" s="30">
        <f>Données!Z25</f>
        <v>511</v>
      </c>
      <c r="D25" s="162">
        <f>Ecrêtage!E25</f>
        <v>134.45165273542781</v>
      </c>
      <c r="E25" s="162">
        <f t="shared" si="0"/>
        <v>0</v>
      </c>
      <c r="F25" s="162">
        <f>+Données!X25</f>
        <v>64.5</v>
      </c>
      <c r="G25" s="271">
        <f t="shared" si="1"/>
        <v>0</v>
      </c>
      <c r="H25" s="120">
        <f t="shared" si="2"/>
        <v>0.95507594633496451</v>
      </c>
      <c r="I25" s="41">
        <f t="shared" si="3"/>
        <v>0</v>
      </c>
    </row>
    <row r="26" spans="1:9" x14ac:dyDescent="0.25">
      <c r="A26" s="37">
        <f>Données!A26</f>
        <v>5427</v>
      </c>
      <c r="B26" s="26" t="str">
        <f>Données!B26</f>
        <v>Féchy</v>
      </c>
      <c r="C26" s="30">
        <f>Données!Z26</f>
        <v>919</v>
      </c>
      <c r="D26" s="162">
        <f>Ecrêtage!E26</f>
        <v>112.09816784548421</v>
      </c>
      <c r="E26" s="162">
        <f t="shared" si="0"/>
        <v>0</v>
      </c>
      <c r="F26" s="162">
        <f>+Données!X26</f>
        <v>64</v>
      </c>
      <c r="G26" s="271">
        <f t="shared" si="1"/>
        <v>0</v>
      </c>
      <c r="H26" s="120">
        <f t="shared" si="2"/>
        <v>0.94767225682849188</v>
      </c>
      <c r="I26" s="41">
        <f t="shared" si="3"/>
        <v>0</v>
      </c>
    </row>
    <row r="27" spans="1:9" x14ac:dyDescent="0.25">
      <c r="A27" s="37">
        <f>Données!A27</f>
        <v>5428</v>
      </c>
      <c r="B27" s="26" t="str">
        <f>Données!B27</f>
        <v>Gimel</v>
      </c>
      <c r="C27" s="30">
        <f>Données!Z27</f>
        <v>2458</v>
      </c>
      <c r="D27" s="162">
        <f>Ecrêtage!E27</f>
        <v>30.573582775096515</v>
      </c>
      <c r="E27" s="162">
        <f t="shared" si="0"/>
        <v>19.39185103303512</v>
      </c>
      <c r="F27" s="162">
        <f>+Données!X27</f>
        <v>73</v>
      </c>
      <c r="G27" s="271">
        <f t="shared" si="1"/>
        <v>-939480.49753063836</v>
      </c>
      <c r="H27" s="120">
        <f t="shared" si="2"/>
        <v>1.0809386679449986</v>
      </c>
      <c r="I27" s="41">
        <f t="shared" si="3"/>
        <v>-1015520.7975610727</v>
      </c>
    </row>
    <row r="28" spans="1:9" x14ac:dyDescent="0.25">
      <c r="A28" s="37">
        <f>Données!A28</f>
        <v>5429</v>
      </c>
      <c r="B28" s="26" t="str">
        <f>Données!B28</f>
        <v>Longirod</v>
      </c>
      <c r="C28" s="30">
        <f>Données!Z28</f>
        <v>555</v>
      </c>
      <c r="D28" s="162">
        <f>Ecrêtage!E28</f>
        <v>32.337798314443468</v>
      </c>
      <c r="E28" s="162">
        <f t="shared" si="0"/>
        <v>17.627635493688167</v>
      </c>
      <c r="F28" s="162">
        <f>+Données!X28</f>
        <v>77.5</v>
      </c>
      <c r="G28" s="271">
        <f t="shared" si="1"/>
        <v>-204716.34135151081</v>
      </c>
      <c r="H28" s="120">
        <f t="shared" si="2"/>
        <v>1.1475718735032518</v>
      </c>
      <c r="I28" s="41">
        <f t="shared" si="3"/>
        <v>-234926.71538148448</v>
      </c>
    </row>
    <row r="29" spans="1:9" x14ac:dyDescent="0.25">
      <c r="A29" s="37">
        <f>Données!A29</f>
        <v>5430</v>
      </c>
      <c r="B29" s="26" t="str">
        <f>Données!B29</f>
        <v>Marchissy</v>
      </c>
      <c r="C29" s="30">
        <f>Données!Z29</f>
        <v>510</v>
      </c>
      <c r="D29" s="162">
        <f>Ecrêtage!E29</f>
        <v>31.821232890575583</v>
      </c>
      <c r="E29" s="162">
        <f t="shared" si="0"/>
        <v>18.144200917556052</v>
      </c>
      <c r="F29" s="162">
        <f>+Données!X29</f>
        <v>77.5</v>
      </c>
      <c r="G29" s="271">
        <f t="shared" si="1"/>
        <v>-193630.37614192881</v>
      </c>
      <c r="H29" s="120">
        <f t="shared" si="2"/>
        <v>1.1475718735032518</v>
      </c>
      <c r="I29" s="41">
        <f t="shared" si="3"/>
        <v>-222204.77351633259</v>
      </c>
    </row>
    <row r="30" spans="1:9" x14ac:dyDescent="0.25">
      <c r="A30" s="37">
        <f>Données!A30</f>
        <v>5431</v>
      </c>
      <c r="B30" s="26" t="str">
        <f>Données!B30</f>
        <v>Mollens</v>
      </c>
      <c r="C30" s="30">
        <f>Données!Z30</f>
        <v>324</v>
      </c>
      <c r="D30" s="162">
        <f>Ecrêtage!E30</f>
        <v>33.028817150483817</v>
      </c>
      <c r="E30" s="162">
        <f t="shared" si="0"/>
        <v>16.936616657647818</v>
      </c>
      <c r="F30" s="162">
        <f>+Données!X30</f>
        <v>74</v>
      </c>
      <c r="G30" s="271">
        <f t="shared" si="1"/>
        <v>-109639.5266656163</v>
      </c>
      <c r="H30" s="120">
        <f t="shared" si="2"/>
        <v>1.0957460469579439</v>
      </c>
      <c r="I30" s="41">
        <f t="shared" si="3"/>
        <v>-120137.07793418913</v>
      </c>
    </row>
    <row r="31" spans="1:9" x14ac:dyDescent="0.25">
      <c r="A31" s="37">
        <f>Données!A31</f>
        <v>5434</v>
      </c>
      <c r="B31" s="26" t="str">
        <f>Données!B31</f>
        <v>Saint-George</v>
      </c>
      <c r="C31" s="30">
        <f>Données!Z31</f>
        <v>1083</v>
      </c>
      <c r="D31" s="162">
        <f>Ecrêtage!E31</f>
        <v>46.981726042988335</v>
      </c>
      <c r="E31" s="162">
        <f t="shared" si="0"/>
        <v>2.9837077651433006</v>
      </c>
      <c r="F31" s="162">
        <f>+Données!X31</f>
        <v>69.5</v>
      </c>
      <c r="G31" s="271">
        <f t="shared" si="1"/>
        <v>-60636.386138585905</v>
      </c>
      <c r="H31" s="120">
        <f t="shared" si="2"/>
        <v>1.0291128413996904</v>
      </c>
      <c r="I31" s="41">
        <f t="shared" si="3"/>
        <v>-62401.683631288943</v>
      </c>
    </row>
    <row r="32" spans="1:9" x14ac:dyDescent="0.25">
      <c r="A32" s="37">
        <f>Données!A32</f>
        <v>5435</v>
      </c>
      <c r="B32" s="26" t="str">
        <f>Données!B32</f>
        <v>Saint-Livres</v>
      </c>
      <c r="C32" s="30">
        <f>Données!Z32</f>
        <v>715</v>
      </c>
      <c r="D32" s="162">
        <f>Ecrêtage!E32</f>
        <v>37.781009019965538</v>
      </c>
      <c r="E32" s="162">
        <f t="shared" si="0"/>
        <v>12.184424788166098</v>
      </c>
      <c r="F32" s="162">
        <f>+Données!X32</f>
        <v>69</v>
      </c>
      <c r="G32" s="271">
        <f t="shared" si="1"/>
        <v>-162302.02116952711</v>
      </c>
      <c r="H32" s="120">
        <f t="shared" si="2"/>
        <v>1.0217091518932178</v>
      </c>
      <c r="I32" s="41">
        <f t="shared" si="3"/>
        <v>-165825.46039967262</v>
      </c>
    </row>
    <row r="33" spans="1:9" x14ac:dyDescent="0.25">
      <c r="A33" s="37">
        <f>Données!A33</f>
        <v>5436</v>
      </c>
      <c r="B33" s="26" t="str">
        <f>Données!B33</f>
        <v>Saint-Oyens</v>
      </c>
      <c r="C33" s="30">
        <f>Données!Z33</f>
        <v>457</v>
      </c>
      <c r="D33" s="162">
        <f>Ecrêtage!E33</f>
        <v>38.485682768744987</v>
      </c>
      <c r="E33" s="162">
        <f t="shared" si="0"/>
        <v>11.479751039386649</v>
      </c>
      <c r="F33" s="162">
        <f>+Données!X33</f>
        <v>79</v>
      </c>
      <c r="G33" s="271">
        <f t="shared" si="1"/>
        <v>-111902.43197924359</v>
      </c>
      <c r="H33" s="120">
        <f t="shared" si="2"/>
        <v>1.1697829420226697</v>
      </c>
      <c r="I33" s="41">
        <f t="shared" si="3"/>
        <v>-130901.55610017125</v>
      </c>
    </row>
    <row r="34" spans="1:9" x14ac:dyDescent="0.25">
      <c r="A34" s="37">
        <f>Données!A34</f>
        <v>5437</v>
      </c>
      <c r="B34" s="26" t="str">
        <f>Données!B34</f>
        <v>Saubraz</v>
      </c>
      <c r="C34" s="30">
        <f>Données!Z34</f>
        <v>446</v>
      </c>
      <c r="D34" s="162">
        <f>Ecrêtage!E34</f>
        <v>29.621122757847534</v>
      </c>
      <c r="E34" s="162">
        <f t="shared" si="0"/>
        <v>20.344311050284102</v>
      </c>
      <c r="F34" s="162">
        <f>+Données!X34</f>
        <v>80</v>
      </c>
      <c r="G34" s="271">
        <f t="shared" si="1"/>
        <v>-195988.95493401692</v>
      </c>
      <c r="H34" s="120">
        <f t="shared" si="2"/>
        <v>1.184590321035615</v>
      </c>
      <c r="I34" s="41">
        <f t="shared" si="3"/>
        <v>-232166.6190447218</v>
      </c>
    </row>
    <row r="35" spans="1:9" x14ac:dyDescent="0.25">
      <c r="A35" s="37">
        <f>Données!A35</f>
        <v>5451</v>
      </c>
      <c r="B35" s="26" t="str">
        <f>Données!B35</f>
        <v>Avenches</v>
      </c>
      <c r="C35" s="30">
        <f>Données!Z35</f>
        <v>4895</v>
      </c>
      <c r="D35" s="162">
        <f>Ecrêtage!E35</f>
        <v>29.011214467929076</v>
      </c>
      <c r="E35" s="162">
        <f t="shared" si="0"/>
        <v>20.95421934020256</v>
      </c>
      <c r="F35" s="162">
        <f>+Données!X35</f>
        <v>65</v>
      </c>
      <c r="G35" s="271">
        <f t="shared" si="1"/>
        <v>-1800119.3594136166</v>
      </c>
      <c r="H35" s="120">
        <f t="shared" si="2"/>
        <v>0.96247963584143714</v>
      </c>
      <c r="I35" s="41">
        <f t="shared" si="3"/>
        <v>-1732578.2255195389</v>
      </c>
    </row>
    <row r="36" spans="1:9" x14ac:dyDescent="0.25">
      <c r="A36" s="37">
        <f>Données!A36</f>
        <v>5456</v>
      </c>
      <c r="B36" s="26" t="str">
        <f>Données!B36</f>
        <v>Cudrefin</v>
      </c>
      <c r="C36" s="30">
        <f>Données!Z36</f>
        <v>1885</v>
      </c>
      <c r="D36" s="162">
        <f>Ecrêtage!E36</f>
        <v>36.748114582865021</v>
      </c>
      <c r="E36" s="162">
        <f t="shared" si="0"/>
        <v>13.217319225266614</v>
      </c>
      <c r="F36" s="162">
        <f>+Données!X36</f>
        <v>59</v>
      </c>
      <c r="G36" s="271">
        <f t="shared" si="1"/>
        <v>-396890.32256226719</v>
      </c>
      <c r="H36" s="120">
        <f t="shared" si="2"/>
        <v>0.87363536176376599</v>
      </c>
      <c r="I36" s="41">
        <f t="shared" si="3"/>
        <v>-346737.42053222406</v>
      </c>
    </row>
    <row r="37" spans="1:9" x14ac:dyDescent="0.25">
      <c r="A37" s="37">
        <f>Données!A37</f>
        <v>5458</v>
      </c>
      <c r="B37" s="26" t="str">
        <f>Données!B37</f>
        <v>Faoug</v>
      </c>
      <c r="C37" s="30">
        <f>Données!Z37</f>
        <v>900</v>
      </c>
      <c r="D37" s="162">
        <f>Ecrêtage!E37</f>
        <v>37.000703703703699</v>
      </c>
      <c r="E37" s="162">
        <f t="shared" si="0"/>
        <v>12.964730104427936</v>
      </c>
      <c r="F37" s="162">
        <f>+Données!X37</f>
        <v>65</v>
      </c>
      <c r="G37" s="271">
        <f t="shared" si="1"/>
        <v>-204777.91199943927</v>
      </c>
      <c r="H37" s="120">
        <f t="shared" si="2"/>
        <v>0.96247963584143714</v>
      </c>
      <c r="I37" s="41">
        <f t="shared" si="3"/>
        <v>-197094.57016959018</v>
      </c>
    </row>
    <row r="38" spans="1:9" x14ac:dyDescent="0.25">
      <c r="A38" s="37">
        <f>Données!A38</f>
        <v>5464</v>
      </c>
      <c r="B38" s="26" t="str">
        <f>Données!B38</f>
        <v>Vully-les-Lacs</v>
      </c>
      <c r="C38" s="30">
        <f>Données!Z38</f>
        <v>3639</v>
      </c>
      <c r="D38" s="162">
        <f>Ecrêtage!E38</f>
        <v>34.212247829278994</v>
      </c>
      <c r="E38" s="162">
        <f t="shared" si="0"/>
        <v>15.753185978852642</v>
      </c>
      <c r="F38" s="162">
        <f>+Données!X38</f>
        <v>67</v>
      </c>
      <c r="G38" s="271">
        <f t="shared" si="1"/>
        <v>-1037024.5139267399</v>
      </c>
      <c r="H38" s="120">
        <f t="shared" si="2"/>
        <v>0.99209439386732745</v>
      </c>
      <c r="I38" s="41">
        <f t="shared" si="3"/>
        <v>-1028826.2065697089</v>
      </c>
    </row>
    <row r="39" spans="1:9" x14ac:dyDescent="0.25">
      <c r="A39" s="37">
        <f>Données!A39</f>
        <v>5471</v>
      </c>
      <c r="B39" s="26" t="str">
        <f>Données!B39</f>
        <v>Bettens</v>
      </c>
      <c r="C39" s="30">
        <f>Données!Z39</f>
        <v>653</v>
      </c>
      <c r="D39" s="162">
        <f>Ecrêtage!E39</f>
        <v>36.425504120177926</v>
      </c>
      <c r="E39" s="162">
        <f t="shared" si="0"/>
        <v>13.539929687953709</v>
      </c>
      <c r="F39" s="162">
        <f>+Données!X39</f>
        <v>70</v>
      </c>
      <c r="G39" s="271">
        <f t="shared" si="1"/>
        <v>-167105.75022981831</v>
      </c>
      <c r="H39" s="120">
        <f t="shared" si="2"/>
        <v>1.036516530906163</v>
      </c>
      <c r="I39" s="41">
        <f t="shared" si="3"/>
        <v>-173207.87252268303</v>
      </c>
    </row>
    <row r="40" spans="1:9" x14ac:dyDescent="0.25">
      <c r="A40" s="37">
        <f>Données!A40</f>
        <v>5472</v>
      </c>
      <c r="B40" s="26" t="str">
        <f>Données!B40</f>
        <v>Bournens</v>
      </c>
      <c r="C40" s="30">
        <f>Données!Z40</f>
        <v>532</v>
      </c>
      <c r="D40" s="162">
        <f>Ecrêtage!E40</f>
        <v>37.20682648930017</v>
      </c>
      <c r="E40" s="162">
        <f t="shared" si="0"/>
        <v>12.758607318831466</v>
      </c>
      <c r="F40" s="162">
        <f>+Données!X40</f>
        <v>65</v>
      </c>
      <c r="G40" s="271">
        <f t="shared" si="1"/>
        <v>-119122.01309300186</v>
      </c>
      <c r="H40" s="120">
        <f t="shared" si="2"/>
        <v>0.96247963584143714</v>
      </c>
      <c r="I40" s="41">
        <f t="shared" si="3"/>
        <v>-114652.51178245134</v>
      </c>
    </row>
    <row r="41" spans="1:9" x14ac:dyDescent="0.25">
      <c r="A41" s="37">
        <f>Données!A41</f>
        <v>5473</v>
      </c>
      <c r="B41" s="26" t="str">
        <f>Données!B41</f>
        <v>Boussens</v>
      </c>
      <c r="C41" s="30">
        <f>Données!Z41</f>
        <v>1007</v>
      </c>
      <c r="D41" s="162">
        <f>Ecrêtage!E41</f>
        <v>38.369419221698116</v>
      </c>
      <c r="E41" s="162">
        <f t="shared" si="0"/>
        <v>11.596014586433519</v>
      </c>
      <c r="F41" s="162">
        <f>+Données!X41</f>
        <v>64</v>
      </c>
      <c r="G41" s="271">
        <f t="shared" si="1"/>
        <v>-201781.78597794622</v>
      </c>
      <c r="H41" s="120">
        <f t="shared" si="2"/>
        <v>0.94767225682849188</v>
      </c>
      <c r="I41" s="41">
        <f t="shared" si="3"/>
        <v>-191223.00050460402</v>
      </c>
    </row>
    <row r="42" spans="1:9" x14ac:dyDescent="0.25">
      <c r="A42" s="37">
        <f>Données!A42</f>
        <v>5474</v>
      </c>
      <c r="B42" s="26" t="str">
        <f>Données!B42</f>
        <v>La Chaux (Cossonay)</v>
      </c>
      <c r="C42" s="30">
        <f>Données!Z42</f>
        <v>436</v>
      </c>
      <c r="D42" s="162">
        <f>Ecrêtage!E42</f>
        <v>30.422157774022207</v>
      </c>
      <c r="E42" s="162">
        <f t="shared" si="0"/>
        <v>19.543276034109429</v>
      </c>
      <c r="F42" s="162">
        <f>+Données!X42</f>
        <v>76</v>
      </c>
      <c r="G42" s="271">
        <f t="shared" si="1"/>
        <v>-174848.21855988752</v>
      </c>
      <c r="H42" s="120">
        <f t="shared" si="2"/>
        <v>1.1253608049838342</v>
      </c>
      <c r="I42" s="41">
        <f t="shared" si="3"/>
        <v>-196767.33198854441</v>
      </c>
    </row>
    <row r="43" spans="1:9" x14ac:dyDescent="0.25">
      <c r="A43" s="37">
        <f>Données!A43</f>
        <v>5475</v>
      </c>
      <c r="B43" s="26" t="str">
        <f>Données!B43</f>
        <v>Chavannes-le-Veyron</v>
      </c>
      <c r="C43" s="30">
        <f>Données!Z43</f>
        <v>160</v>
      </c>
      <c r="D43" s="162">
        <f>Ecrêtage!E43</f>
        <v>25.553728333333332</v>
      </c>
      <c r="E43" s="162">
        <f t="shared" si="0"/>
        <v>24.411705474798303</v>
      </c>
      <c r="F43" s="162">
        <f>+Données!X43</f>
        <v>75</v>
      </c>
      <c r="G43" s="271">
        <f t="shared" si="1"/>
        <v>-79093.925738346516</v>
      </c>
      <c r="H43" s="120">
        <f t="shared" si="2"/>
        <v>1.1105534259708889</v>
      </c>
      <c r="I43" s="41">
        <f t="shared" si="3"/>
        <v>-87838.030202207796</v>
      </c>
    </row>
    <row r="44" spans="1:9" x14ac:dyDescent="0.25">
      <c r="A44" s="37">
        <f>Données!A44</f>
        <v>5476</v>
      </c>
      <c r="B44" s="26" t="str">
        <f>Données!B44</f>
        <v>Chevilly</v>
      </c>
      <c r="C44" s="30">
        <f>Données!Z44</f>
        <v>346</v>
      </c>
      <c r="D44" s="162">
        <f>Ecrêtage!E44</f>
        <v>34.557452931461604</v>
      </c>
      <c r="E44" s="162">
        <f t="shared" si="0"/>
        <v>15.407980876670031</v>
      </c>
      <c r="F44" s="162">
        <f>+Données!X44</f>
        <v>70</v>
      </c>
      <c r="G44" s="271">
        <f t="shared" si="1"/>
        <v>-100758.95014489601</v>
      </c>
      <c r="H44" s="120">
        <f t="shared" si="2"/>
        <v>1.036516530906163</v>
      </c>
      <c r="I44" s="41">
        <f t="shared" si="3"/>
        <v>-104438.31746193464</v>
      </c>
    </row>
    <row r="45" spans="1:9" x14ac:dyDescent="0.25">
      <c r="A45" s="37">
        <f>Données!A45</f>
        <v>5477</v>
      </c>
      <c r="B45" s="26" t="str">
        <f>Données!B45</f>
        <v>Cossonay</v>
      </c>
      <c r="C45" s="30">
        <f>Données!Z45</f>
        <v>4902</v>
      </c>
      <c r="D45" s="162">
        <f>Ecrêtage!E45</f>
        <v>37.025850763193901</v>
      </c>
      <c r="E45" s="162">
        <f t="shared" si="0"/>
        <v>12.939583044937734</v>
      </c>
      <c r="F45" s="162">
        <f>+Données!X45</f>
        <v>68</v>
      </c>
      <c r="G45" s="271">
        <f t="shared" si="1"/>
        <v>-1164571.7905441886</v>
      </c>
      <c r="H45" s="120">
        <f t="shared" si="2"/>
        <v>1.0069017728802727</v>
      </c>
      <c r="I45" s="41">
        <f t="shared" si="3"/>
        <v>-1172609.4005452972</v>
      </c>
    </row>
    <row r="46" spans="1:9" x14ac:dyDescent="0.25">
      <c r="A46" s="37">
        <f>Données!A46</f>
        <v>5479</v>
      </c>
      <c r="B46" s="26" t="str">
        <f>Données!B46</f>
        <v>Cuarnens</v>
      </c>
      <c r="C46" s="30">
        <f>Données!Z46</f>
        <v>561</v>
      </c>
      <c r="D46" s="162">
        <f>Ecrêtage!E46</f>
        <v>34.140166525940522</v>
      </c>
      <c r="E46" s="162">
        <f t="shared" si="0"/>
        <v>15.825267282191113</v>
      </c>
      <c r="F46" s="162">
        <f>+Données!X46</f>
        <v>76</v>
      </c>
      <c r="G46" s="271">
        <f t="shared" si="1"/>
        <v>-182176.04587774511</v>
      </c>
      <c r="H46" s="120">
        <f t="shared" si="2"/>
        <v>1.1253608049838342</v>
      </c>
      <c r="I46" s="41">
        <f t="shared" si="3"/>
        <v>-205013.78163775115</v>
      </c>
    </row>
    <row r="47" spans="1:9" x14ac:dyDescent="0.25">
      <c r="A47" s="37">
        <f>Données!A47</f>
        <v>5480</v>
      </c>
      <c r="B47" s="26" t="str">
        <f>Données!B47</f>
        <v>Daillens</v>
      </c>
      <c r="C47" s="30">
        <f>Données!Z47</f>
        <v>1099</v>
      </c>
      <c r="D47" s="162">
        <f>Ecrêtage!E47</f>
        <v>45.049234290126009</v>
      </c>
      <c r="E47" s="162">
        <f t="shared" si="0"/>
        <v>4.9161995180056266</v>
      </c>
      <c r="F47" s="162">
        <f>+Données!X47</f>
        <v>66</v>
      </c>
      <c r="G47" s="271">
        <f t="shared" si="1"/>
        <v>-96279.736276535434</v>
      </c>
      <c r="H47" s="120">
        <f t="shared" si="2"/>
        <v>0.9772870148543823</v>
      </c>
      <c r="I47" s="41">
        <f t="shared" si="3"/>
        <v>-94092.936056662496</v>
      </c>
    </row>
    <row r="48" spans="1:9" x14ac:dyDescent="0.25">
      <c r="A48" s="37">
        <f>Données!A48</f>
        <v>5481</v>
      </c>
      <c r="B48" s="26" t="str">
        <f>Données!B48</f>
        <v>Dizy</v>
      </c>
      <c r="C48" s="30">
        <f>Données!Z48</f>
        <v>238</v>
      </c>
      <c r="D48" s="162">
        <f>Ecrêtage!E48</f>
        <v>52.037671148459388</v>
      </c>
      <c r="E48" s="162">
        <f t="shared" si="0"/>
        <v>0</v>
      </c>
      <c r="F48" s="162">
        <f>+Données!X48</f>
        <v>75</v>
      </c>
      <c r="G48" s="271">
        <f t="shared" si="1"/>
        <v>0</v>
      </c>
      <c r="H48" s="120">
        <f t="shared" si="2"/>
        <v>1.1105534259708889</v>
      </c>
      <c r="I48" s="41">
        <f t="shared" si="3"/>
        <v>0</v>
      </c>
    </row>
    <row r="49" spans="1:9" x14ac:dyDescent="0.25">
      <c r="A49" s="37">
        <f>Données!A49</f>
        <v>5482</v>
      </c>
      <c r="B49" s="26" t="str">
        <f>Données!B49</f>
        <v>Eclépens</v>
      </c>
      <c r="C49" s="30">
        <f>Données!Z49</f>
        <v>1211</v>
      </c>
      <c r="D49" s="162">
        <f>Ecrêtage!E49</f>
        <v>44.916050694718699</v>
      </c>
      <c r="E49" s="162">
        <f t="shared" si="0"/>
        <v>5.0493831134129366</v>
      </c>
      <c r="F49" s="162">
        <f>+Données!X49</f>
        <v>46</v>
      </c>
      <c r="G49" s="271">
        <f t="shared" si="1"/>
        <v>-75945.852643260892</v>
      </c>
      <c r="H49" s="120">
        <f t="shared" si="2"/>
        <v>0.68113943459547854</v>
      </c>
      <c r="I49" s="41">
        <f t="shared" si="3"/>
        <v>-51729.715129302254</v>
      </c>
    </row>
    <row r="50" spans="1:9" x14ac:dyDescent="0.25">
      <c r="A50" s="37">
        <f>Données!A50</f>
        <v>5483</v>
      </c>
      <c r="B50" s="26" t="str">
        <f>Données!B50</f>
        <v>Ferreyres</v>
      </c>
      <c r="C50" s="30">
        <f>Données!Z50</f>
        <v>309</v>
      </c>
      <c r="D50" s="162">
        <f>Ecrêtage!E50</f>
        <v>36.231765457332656</v>
      </c>
      <c r="E50" s="162">
        <f t="shared" si="0"/>
        <v>13.733668350798979</v>
      </c>
      <c r="F50" s="162">
        <f>+Données!X50</f>
        <v>76</v>
      </c>
      <c r="G50" s="271">
        <f t="shared" si="1"/>
        <v>-87080.796238544077</v>
      </c>
      <c r="H50" s="120">
        <f t="shared" si="2"/>
        <v>1.1253608049838342</v>
      </c>
      <c r="I50" s="41">
        <f t="shared" si="3"/>
        <v>-97997.314953641195</v>
      </c>
    </row>
    <row r="51" spans="1:9" x14ac:dyDescent="0.25">
      <c r="A51" s="37">
        <f>Données!A51</f>
        <v>5484</v>
      </c>
      <c r="B51" s="26" t="str">
        <f>Données!B51</f>
        <v>Gollion</v>
      </c>
      <c r="C51" s="30">
        <f>Données!Z51</f>
        <v>1064</v>
      </c>
      <c r="D51" s="162">
        <f>Ecrêtage!E51</f>
        <v>31.690754546840068</v>
      </c>
      <c r="E51" s="162">
        <f t="shared" si="0"/>
        <v>18.274679261291567</v>
      </c>
      <c r="F51" s="162">
        <f>+Données!X51</f>
        <v>74</v>
      </c>
      <c r="G51" s="271">
        <f t="shared" si="1"/>
        <v>-388496.28950560431</v>
      </c>
      <c r="H51" s="120">
        <f t="shared" si="2"/>
        <v>1.0957460469579439</v>
      </c>
      <c r="I51" s="41">
        <f t="shared" si="3"/>
        <v>-425693.27348359482</v>
      </c>
    </row>
    <row r="52" spans="1:9" x14ac:dyDescent="0.25">
      <c r="A52" s="37">
        <f>Données!A52</f>
        <v>5485</v>
      </c>
      <c r="B52" s="26" t="str">
        <f>Données!B52</f>
        <v>Grancy</v>
      </c>
      <c r="C52" s="30">
        <f>Données!Z52</f>
        <v>540</v>
      </c>
      <c r="D52" s="162">
        <f>Ecrêtage!E52</f>
        <v>48.980554497354504</v>
      </c>
      <c r="E52" s="162">
        <f t="shared" si="0"/>
        <v>0.98487931077713142</v>
      </c>
      <c r="F52" s="162">
        <f>+Données!X52</f>
        <v>70</v>
      </c>
      <c r="G52" s="271">
        <f t="shared" si="1"/>
        <v>-10051.678245791405</v>
      </c>
      <c r="H52" s="120">
        <f t="shared" si="2"/>
        <v>1.036516530906163</v>
      </c>
      <c r="I52" s="41">
        <f t="shared" si="3"/>
        <v>-10418.730665112653</v>
      </c>
    </row>
    <row r="53" spans="1:9" x14ac:dyDescent="0.25">
      <c r="A53" s="37">
        <f>Données!A53</f>
        <v>5486</v>
      </c>
      <c r="B53" s="26" t="str">
        <f>Données!B53</f>
        <v>L'Isle</v>
      </c>
      <c r="C53" s="30">
        <f>Données!Z53</f>
        <v>1096</v>
      </c>
      <c r="D53" s="162">
        <f>Ecrêtage!E53</f>
        <v>33.725057664233589</v>
      </c>
      <c r="E53" s="162">
        <f t="shared" si="0"/>
        <v>16.240376143898047</v>
      </c>
      <c r="F53" s="162">
        <f>+Données!X53</f>
        <v>75</v>
      </c>
      <c r="G53" s="271">
        <f t="shared" si="1"/>
        <v>-360438.90813767322</v>
      </c>
      <c r="H53" s="120">
        <f t="shared" si="2"/>
        <v>1.1105534259708889</v>
      </c>
      <c r="I53" s="41">
        <f t="shared" si="3"/>
        <v>-400286.66428549949</v>
      </c>
    </row>
    <row r="54" spans="1:9" x14ac:dyDescent="0.25">
      <c r="A54" s="37">
        <f>Données!A54</f>
        <v>5487</v>
      </c>
      <c r="B54" s="26" t="str">
        <f>Données!B54</f>
        <v>Lussery-Villars</v>
      </c>
      <c r="C54" s="30">
        <f>Données!Z54</f>
        <v>468</v>
      </c>
      <c r="D54" s="162">
        <f>Ecrêtage!E54</f>
        <v>32.211702279202278</v>
      </c>
      <c r="E54" s="162">
        <f t="shared" si="0"/>
        <v>17.753731528929357</v>
      </c>
      <c r="F54" s="162">
        <f>+Données!X54</f>
        <v>75</v>
      </c>
      <c r="G54" s="271">
        <f t="shared" si="1"/>
        <v>-168252.11369966352</v>
      </c>
      <c r="H54" s="120">
        <f t="shared" si="2"/>
        <v>1.1105534259708889</v>
      </c>
      <c r="I54" s="41">
        <f t="shared" si="3"/>
        <v>-186852.96129600485</v>
      </c>
    </row>
    <row r="55" spans="1:9" x14ac:dyDescent="0.25">
      <c r="A55" s="37">
        <f>Données!A55</f>
        <v>5488</v>
      </c>
      <c r="B55" s="26" t="str">
        <f>Données!B55</f>
        <v>Mauraz</v>
      </c>
      <c r="C55" s="30">
        <f>Données!Z55</f>
        <v>67</v>
      </c>
      <c r="D55" s="162">
        <f>Ecrêtage!E55</f>
        <v>28.202438457065323</v>
      </c>
      <c r="E55" s="162">
        <f t="shared" si="0"/>
        <v>21.762995351066312</v>
      </c>
      <c r="F55" s="162">
        <f>+Données!X55</f>
        <v>77</v>
      </c>
      <c r="G55" s="271">
        <f t="shared" si="1"/>
        <v>-30314.3291143608</v>
      </c>
      <c r="H55" s="120">
        <f t="shared" si="2"/>
        <v>1.1401681839967794</v>
      </c>
      <c r="I55" s="41">
        <f t="shared" si="3"/>
        <v>-34563.433575401454</v>
      </c>
    </row>
    <row r="56" spans="1:9" x14ac:dyDescent="0.25">
      <c r="A56" s="37">
        <f>Données!A56</f>
        <v>5489</v>
      </c>
      <c r="B56" s="26" t="str">
        <f>Données!B56</f>
        <v>Mex</v>
      </c>
      <c r="C56" s="30">
        <f>Données!Z56</f>
        <v>809</v>
      </c>
      <c r="D56" s="162">
        <f>Ecrêtage!E56</f>
        <v>95.313233060838684</v>
      </c>
      <c r="E56" s="162">
        <f t="shared" si="0"/>
        <v>0</v>
      </c>
      <c r="F56" s="162">
        <f>+Données!X56</f>
        <v>59.5</v>
      </c>
      <c r="G56" s="271">
        <f t="shared" si="1"/>
        <v>0</v>
      </c>
      <c r="H56" s="120">
        <f t="shared" si="2"/>
        <v>0.88103905127023863</v>
      </c>
      <c r="I56" s="41">
        <f t="shared" si="3"/>
        <v>0</v>
      </c>
    </row>
    <row r="57" spans="1:9" x14ac:dyDescent="0.25">
      <c r="A57" s="37">
        <f>Données!A57</f>
        <v>5490</v>
      </c>
      <c r="B57" s="26" t="str">
        <f>Données!B57</f>
        <v>Moiry</v>
      </c>
      <c r="C57" s="30">
        <f>Données!Z57</f>
        <v>299</v>
      </c>
      <c r="D57" s="162">
        <f>Ecrêtage!E57</f>
        <v>27.045906530540393</v>
      </c>
      <c r="E57" s="162">
        <f t="shared" si="0"/>
        <v>22.919527277591243</v>
      </c>
      <c r="F57" s="162">
        <f>+Données!X57</f>
        <v>76</v>
      </c>
      <c r="G57" s="271">
        <f t="shared" si="1"/>
        <v>-140622.30122111554</v>
      </c>
      <c r="H57" s="120">
        <f t="shared" si="2"/>
        <v>1.1253608049838342</v>
      </c>
      <c r="I57" s="41">
        <f t="shared" si="3"/>
        <v>-158250.82610087379</v>
      </c>
    </row>
    <row r="58" spans="1:9" x14ac:dyDescent="0.25">
      <c r="A58" s="37">
        <f>Données!A58</f>
        <v>5491</v>
      </c>
      <c r="B58" s="26" t="str">
        <f>Données!B58</f>
        <v>Mont-la-Ville</v>
      </c>
      <c r="C58" s="30">
        <f>Données!Z58</f>
        <v>495</v>
      </c>
      <c r="D58" s="162">
        <f>Ecrêtage!E58</f>
        <v>28.404033492822965</v>
      </c>
      <c r="E58" s="162">
        <f t="shared" si="0"/>
        <v>21.561400315308671</v>
      </c>
      <c r="F58" s="162">
        <f>+Données!X58</f>
        <v>76</v>
      </c>
      <c r="G58" s="271">
        <f t="shared" si="1"/>
        <v>-219007.76756271633</v>
      </c>
      <c r="H58" s="120">
        <f t="shared" si="2"/>
        <v>1.1253608049838342</v>
      </c>
      <c r="I58" s="41">
        <f t="shared" si="3"/>
        <v>-246462.75760209089</v>
      </c>
    </row>
    <row r="59" spans="1:9" x14ac:dyDescent="0.25">
      <c r="A59" s="37">
        <f>Données!A59</f>
        <v>5492</v>
      </c>
      <c r="B59" s="26" t="str">
        <f>Données!B59</f>
        <v>Montricher</v>
      </c>
      <c r="C59" s="30">
        <f>Données!Z59</f>
        <v>943</v>
      </c>
      <c r="D59" s="162">
        <f>Ecrêtage!E59</f>
        <v>210.13258914369038</v>
      </c>
      <c r="E59" s="162">
        <f t="shared" si="0"/>
        <v>0</v>
      </c>
      <c r="F59" s="162">
        <f>+Données!X59</f>
        <v>64</v>
      </c>
      <c r="G59" s="271">
        <f t="shared" si="1"/>
        <v>0</v>
      </c>
      <c r="H59" s="120">
        <f t="shared" si="2"/>
        <v>0.94767225682849188</v>
      </c>
      <c r="I59" s="41">
        <f t="shared" si="3"/>
        <v>0</v>
      </c>
    </row>
    <row r="60" spans="1:9" x14ac:dyDescent="0.25">
      <c r="A60" s="37">
        <f>Données!A60</f>
        <v>5493</v>
      </c>
      <c r="B60" s="26" t="str">
        <f>Données!B60</f>
        <v>Orny</v>
      </c>
      <c r="C60" s="30">
        <f>Données!Z60</f>
        <v>497</v>
      </c>
      <c r="D60" s="162">
        <f>Ecrêtage!E60</f>
        <v>32.437437183692261</v>
      </c>
      <c r="E60" s="162">
        <f t="shared" si="0"/>
        <v>17.527996624439375</v>
      </c>
      <c r="F60" s="162">
        <f>+Données!X60</f>
        <v>73</v>
      </c>
      <c r="G60" s="271">
        <f t="shared" si="1"/>
        <v>-171701.97629344696</v>
      </c>
      <c r="H60" s="120">
        <f t="shared" si="2"/>
        <v>1.0809386679449986</v>
      </c>
      <c r="I60" s="41">
        <f t="shared" si="3"/>
        <v>-185599.3055381623</v>
      </c>
    </row>
    <row r="61" spans="1:9" x14ac:dyDescent="0.25">
      <c r="A61" s="37">
        <f>Données!A61</f>
        <v>5495</v>
      </c>
      <c r="B61" s="26" t="str">
        <f>Données!B61</f>
        <v>Penthalaz</v>
      </c>
      <c r="C61" s="30">
        <f>Données!Z61</f>
        <v>3177</v>
      </c>
      <c r="D61" s="162">
        <f>Ecrêtage!E61</f>
        <v>30.413677314317351</v>
      </c>
      <c r="E61" s="162">
        <f t="shared" si="0"/>
        <v>19.551756493814285</v>
      </c>
      <c r="F61" s="162">
        <f>+Données!X61</f>
        <v>72.5</v>
      </c>
      <c r="G61" s="271">
        <f t="shared" si="1"/>
        <v>-1215919.3372050994</v>
      </c>
      <c r="H61" s="120">
        <f t="shared" si="2"/>
        <v>1.073534978438526</v>
      </c>
      <c r="I61" s="41">
        <f t="shared" si="3"/>
        <v>-1305331.9394494633</v>
      </c>
    </row>
    <row r="62" spans="1:9" x14ac:dyDescent="0.25">
      <c r="A62" s="37">
        <f>Données!A62</f>
        <v>5496</v>
      </c>
      <c r="B62" s="26" t="str">
        <f>Données!B62</f>
        <v>Penthaz</v>
      </c>
      <c r="C62" s="30">
        <f>Données!Z62</f>
        <v>1946</v>
      </c>
      <c r="D62" s="162">
        <f>Ecrêtage!E62</f>
        <v>32.592190880389218</v>
      </c>
      <c r="E62" s="162">
        <f t="shared" si="0"/>
        <v>17.373242927742417</v>
      </c>
      <c r="F62" s="162">
        <f>+Données!X62</f>
        <v>69.5</v>
      </c>
      <c r="G62" s="271">
        <f t="shared" si="1"/>
        <v>-634413.32628706226</v>
      </c>
      <c r="H62" s="120">
        <f t="shared" si="2"/>
        <v>1.0291128413996904</v>
      </c>
      <c r="I62" s="41">
        <f t="shared" si="3"/>
        <v>-652882.90083710756</v>
      </c>
    </row>
    <row r="63" spans="1:9" x14ac:dyDescent="0.25">
      <c r="A63" s="37">
        <f>Données!A63</f>
        <v>5497</v>
      </c>
      <c r="B63" s="26" t="str">
        <f>Données!B63</f>
        <v>Pompaples</v>
      </c>
      <c r="C63" s="30">
        <f>Données!Z63</f>
        <v>930</v>
      </c>
      <c r="D63" s="162">
        <f>Ecrêtage!E63</f>
        <v>31.486851254480289</v>
      </c>
      <c r="E63" s="162">
        <f t="shared" si="0"/>
        <v>18.478582553651346</v>
      </c>
      <c r="F63" s="162">
        <f>+Données!X63</f>
        <v>66</v>
      </c>
      <c r="G63" s="271">
        <f t="shared" si="1"/>
        <v>-306238.15722864232</v>
      </c>
      <c r="H63" s="120">
        <f t="shared" si="2"/>
        <v>0.9772870148543823</v>
      </c>
      <c r="I63" s="41">
        <f t="shared" si="3"/>
        <v>-299282.57451248681</v>
      </c>
    </row>
    <row r="64" spans="1:9" x14ac:dyDescent="0.25">
      <c r="A64" s="37">
        <f>Données!A64</f>
        <v>5498</v>
      </c>
      <c r="B64" s="26" t="str">
        <f>Données!B64</f>
        <v>La Sarraz</v>
      </c>
      <c r="C64" s="30">
        <f>Données!Z64</f>
        <v>2618</v>
      </c>
      <c r="D64" s="162">
        <f>Ecrêtage!E64</f>
        <v>29.25867396049329</v>
      </c>
      <c r="E64" s="162">
        <f t="shared" si="0"/>
        <v>20.706759847638345</v>
      </c>
      <c r="F64" s="162">
        <f>+Données!X64</f>
        <v>70</v>
      </c>
      <c r="G64" s="271">
        <f t="shared" si="1"/>
        <v>-1024574.6186131148</v>
      </c>
      <c r="H64" s="120">
        <f t="shared" si="2"/>
        <v>1.036516530906163</v>
      </c>
      <c r="I64" s="41">
        <f t="shared" si="3"/>
        <v>-1061988.5293393708</v>
      </c>
    </row>
    <row r="65" spans="1:9" x14ac:dyDescent="0.25">
      <c r="A65" s="37">
        <f>Données!A65</f>
        <v>5499</v>
      </c>
      <c r="B65" s="26" t="str">
        <f>Données!B65</f>
        <v>Senarclens</v>
      </c>
      <c r="C65" s="30">
        <f>Données!Z65</f>
        <v>480</v>
      </c>
      <c r="D65" s="162">
        <f>Ecrêtage!E65</f>
        <v>44.033701946472021</v>
      </c>
      <c r="E65" s="162">
        <f t="shared" si="0"/>
        <v>5.931731861659614</v>
      </c>
      <c r="F65" s="162">
        <f>+Données!X65</f>
        <v>68.5</v>
      </c>
      <c r="G65" s="271">
        <f t="shared" si="1"/>
        <v>-52659.542775069393</v>
      </c>
      <c r="H65" s="120">
        <f t="shared" si="2"/>
        <v>1.0143054623867453</v>
      </c>
      <c r="I65" s="41">
        <f t="shared" si="3"/>
        <v>-53412.861883541358</v>
      </c>
    </row>
    <row r="66" spans="1:9" x14ac:dyDescent="0.25">
      <c r="A66" s="37">
        <f>Données!A66</f>
        <v>5501</v>
      </c>
      <c r="B66" s="26" t="str">
        <f>Données!B66</f>
        <v>Sullens</v>
      </c>
      <c r="C66" s="30">
        <f>Données!Z66</f>
        <v>1225</v>
      </c>
      <c r="D66" s="162">
        <f>Ecrêtage!E66</f>
        <v>47.144355484693875</v>
      </c>
      <c r="E66" s="162">
        <f t="shared" si="0"/>
        <v>2.8210783234377601</v>
      </c>
      <c r="F66" s="162">
        <f>+Données!X66</f>
        <v>64</v>
      </c>
      <c r="G66" s="271">
        <f t="shared" si="1"/>
        <v>-59716.585950530512</v>
      </c>
      <c r="H66" s="120">
        <f t="shared" si="2"/>
        <v>0.94767225682849188</v>
      </c>
      <c r="I66" s="41">
        <f t="shared" si="3"/>
        <v>-56591.751777831858</v>
      </c>
    </row>
    <row r="67" spans="1:9" x14ac:dyDescent="0.25">
      <c r="A67" s="37">
        <f>Données!A67</f>
        <v>5503</v>
      </c>
      <c r="B67" s="26" t="str">
        <f>Données!B67</f>
        <v>Vufflens-la-Ville</v>
      </c>
      <c r="C67" s="30">
        <f>Données!Z67</f>
        <v>1342</v>
      </c>
      <c r="D67" s="162">
        <f>Ecrêtage!E67</f>
        <v>51.282911189210431</v>
      </c>
      <c r="E67" s="162">
        <f t="shared" si="0"/>
        <v>0</v>
      </c>
      <c r="F67" s="162">
        <f>+Données!X67</f>
        <v>67</v>
      </c>
      <c r="G67" s="271">
        <f t="shared" si="1"/>
        <v>0</v>
      </c>
      <c r="H67" s="120">
        <f t="shared" si="2"/>
        <v>0.99209439386732745</v>
      </c>
      <c r="I67" s="41">
        <f t="shared" si="3"/>
        <v>0</v>
      </c>
    </row>
    <row r="68" spans="1:9" x14ac:dyDescent="0.25">
      <c r="A68" s="37">
        <f>Données!A68</f>
        <v>5511</v>
      </c>
      <c r="B68" s="26" t="str">
        <f>Données!B68</f>
        <v>Assens</v>
      </c>
      <c r="C68" s="30">
        <f>Données!Z68</f>
        <v>1711</v>
      </c>
      <c r="D68" s="162">
        <f>Ecrêtage!E68</f>
        <v>40.81140853302162</v>
      </c>
      <c r="E68" s="162">
        <f t="shared" si="0"/>
        <v>9.1540252751100155</v>
      </c>
      <c r="F68" s="162">
        <f>+Données!X68</f>
        <v>70</v>
      </c>
      <c r="G68" s="271">
        <f t="shared" si="1"/>
        <v>-296021.95394398022</v>
      </c>
      <c r="H68" s="120">
        <f t="shared" si="2"/>
        <v>1.036516530906163</v>
      </c>
      <c r="I68" s="41">
        <f t="shared" si="3"/>
        <v>-306831.64877407835</v>
      </c>
    </row>
    <row r="69" spans="1:9" x14ac:dyDescent="0.25">
      <c r="A69" s="37">
        <f>Données!A69</f>
        <v>5512</v>
      </c>
      <c r="B69" s="26" t="str">
        <f>Données!B69</f>
        <v>Bercher</v>
      </c>
      <c r="C69" s="30">
        <f>Données!Z69</f>
        <v>1344</v>
      </c>
      <c r="D69" s="162">
        <f>Ecrêtage!E69</f>
        <v>30.647205677365875</v>
      </c>
      <c r="E69" s="162">
        <f t="shared" si="0"/>
        <v>19.31822813076576</v>
      </c>
      <c r="F69" s="162">
        <f>+Données!X69</f>
        <v>79</v>
      </c>
      <c r="G69" s="271">
        <f t="shared" si="1"/>
        <v>-553805.69130329008</v>
      </c>
      <c r="H69" s="120">
        <f t="shared" si="2"/>
        <v>1.1697829420226697</v>
      </c>
      <c r="I69" s="41">
        <f t="shared" si="3"/>
        <v>-647832.45088166115</v>
      </c>
    </row>
    <row r="70" spans="1:9" x14ac:dyDescent="0.25">
      <c r="A70" s="37">
        <f>Données!A70</f>
        <v>5514</v>
      </c>
      <c r="B70" s="26" t="str">
        <f>Données!B70</f>
        <v>Bottens</v>
      </c>
      <c r="C70" s="30">
        <f>Données!Z70</f>
        <v>1358</v>
      </c>
      <c r="D70" s="162">
        <f>Ecrêtage!E70</f>
        <v>33.84047341425017</v>
      </c>
      <c r="E70" s="162">
        <f t="shared" si="0"/>
        <v>16.124960393881466</v>
      </c>
      <c r="F70" s="162">
        <f>+Données!X70</f>
        <v>72.5</v>
      </c>
      <c r="G70" s="271">
        <f t="shared" si="1"/>
        <v>-428647.40340649197</v>
      </c>
      <c r="H70" s="120">
        <f t="shared" si="2"/>
        <v>1.073534978438526</v>
      </c>
      <c r="I70" s="41">
        <f t="shared" si="3"/>
        <v>-460167.98097371851</v>
      </c>
    </row>
    <row r="71" spans="1:9" x14ac:dyDescent="0.25">
      <c r="A71" s="37">
        <f>Données!A71</f>
        <v>5515</v>
      </c>
      <c r="B71" s="26" t="str">
        <f>Données!B71</f>
        <v>Bretigny-sur-Morrens</v>
      </c>
      <c r="C71" s="30">
        <f>Données!Z71</f>
        <v>898</v>
      </c>
      <c r="D71" s="162">
        <f>Ecrêtage!E71</f>
        <v>35.763954942607498</v>
      </c>
      <c r="E71" s="162">
        <f t="shared" ref="E71:E134" si="4">IF($D$306-D71&lt;0,0,$D$306-D71)</f>
        <v>14.201478865524138</v>
      </c>
      <c r="F71" s="162">
        <f>+Données!X71</f>
        <v>78</v>
      </c>
      <c r="G71" s="271">
        <f t="shared" ref="G71:G134" si="5">-((C71*E71*F71)*$E$5)</f>
        <v>-268576.66412732861</v>
      </c>
      <c r="H71" s="120">
        <f t="shared" ref="H71:H134" si="6">F71/$F$306</f>
        <v>1.1549755630097245</v>
      </c>
      <c r="I71" s="41">
        <f t="shared" ref="I71:I134" si="7">G71*H71</f>
        <v>-310199.48386173503</v>
      </c>
    </row>
    <row r="72" spans="1:9" x14ac:dyDescent="0.25">
      <c r="A72" s="37">
        <f>Données!A72</f>
        <v>5516</v>
      </c>
      <c r="B72" s="26" t="str">
        <f>Données!B72</f>
        <v>Cugy</v>
      </c>
      <c r="C72" s="30">
        <f>Données!Z72</f>
        <v>2790</v>
      </c>
      <c r="D72" s="162">
        <f>Ecrêtage!E72</f>
        <v>40.157056451612902</v>
      </c>
      <c r="E72" s="162">
        <f t="shared" si="4"/>
        <v>9.8083773565187329</v>
      </c>
      <c r="F72" s="162">
        <f>+Données!X72</f>
        <v>76</v>
      </c>
      <c r="G72" s="271">
        <f t="shared" si="5"/>
        <v>-561537.45036258269</v>
      </c>
      <c r="H72" s="120">
        <f t="shared" si="6"/>
        <v>1.1253608049838342</v>
      </c>
      <c r="I72" s="41">
        <f t="shared" si="7"/>
        <v>-631932.23716860591</v>
      </c>
    </row>
    <row r="73" spans="1:9" x14ac:dyDescent="0.25">
      <c r="A73" s="37">
        <f>Données!A73</f>
        <v>5518</v>
      </c>
      <c r="B73" s="26" t="str">
        <f>Données!B73</f>
        <v>Echallens</v>
      </c>
      <c r="C73" s="30">
        <f>Données!Z73</f>
        <v>6722</v>
      </c>
      <c r="D73" s="162">
        <f>Ecrêtage!E73</f>
        <v>32.26228564979634</v>
      </c>
      <c r="E73" s="162">
        <f t="shared" si="4"/>
        <v>17.703148158335296</v>
      </c>
      <c r="F73" s="162">
        <f>+Données!X73</f>
        <v>72.5</v>
      </c>
      <c r="G73" s="271">
        <f t="shared" si="5"/>
        <v>-2329435.999590457</v>
      </c>
      <c r="H73" s="120">
        <f t="shared" si="6"/>
        <v>1.073534978438526</v>
      </c>
      <c r="I73" s="41">
        <f t="shared" si="7"/>
        <v>-2500731.0255942675</v>
      </c>
    </row>
    <row r="74" spans="1:9" x14ac:dyDescent="0.25">
      <c r="A74" s="37">
        <f>Données!A74</f>
        <v>5520</v>
      </c>
      <c r="B74" s="26" t="str">
        <f>Données!B74</f>
        <v>Essertines-sur-Yverdon</v>
      </c>
      <c r="C74" s="30">
        <f>Données!Z74</f>
        <v>1148</v>
      </c>
      <c r="D74" s="162">
        <f>Ecrêtage!E74</f>
        <v>30.780378095865899</v>
      </c>
      <c r="E74" s="162">
        <f t="shared" si="4"/>
        <v>19.185055712265736</v>
      </c>
      <c r="F74" s="162">
        <f>+Données!X74</f>
        <v>74</v>
      </c>
      <c r="G74" s="271">
        <f t="shared" si="5"/>
        <v>-440048.3902744677</v>
      </c>
      <c r="H74" s="120">
        <f t="shared" si="6"/>
        <v>1.0957460469579439</v>
      </c>
      <c r="I74" s="41">
        <f t="shared" si="7"/>
        <v>-482181.28411345452</v>
      </c>
    </row>
    <row r="75" spans="1:9" x14ac:dyDescent="0.25">
      <c r="A75" s="37">
        <f>Données!A75</f>
        <v>5521</v>
      </c>
      <c r="B75" s="26" t="str">
        <f>Données!B75</f>
        <v>Etagnières</v>
      </c>
      <c r="C75" s="30">
        <f>Données!Z75</f>
        <v>1189</v>
      </c>
      <c r="D75" s="162">
        <f>Ecrêtage!E75</f>
        <v>39.418568038065828</v>
      </c>
      <c r="E75" s="162">
        <f t="shared" si="4"/>
        <v>10.546865770065807</v>
      </c>
      <c r="F75" s="162">
        <f>+Données!X75</f>
        <v>73</v>
      </c>
      <c r="G75" s="271">
        <f t="shared" si="5"/>
        <v>-247167.80322598855</v>
      </c>
      <c r="H75" s="120">
        <f t="shared" si="6"/>
        <v>1.0809386679449986</v>
      </c>
      <c r="I75" s="41">
        <f t="shared" si="7"/>
        <v>-267173.2359779916</v>
      </c>
    </row>
    <row r="76" spans="1:9" x14ac:dyDescent="0.25">
      <c r="A76" s="37">
        <f>Données!A76</f>
        <v>5522</v>
      </c>
      <c r="B76" s="26" t="str">
        <f>Données!B76</f>
        <v>Fey</v>
      </c>
      <c r="C76" s="30">
        <f>Données!Z76</f>
        <v>789</v>
      </c>
      <c r="D76" s="162">
        <f>Ecrêtage!E76</f>
        <v>31.918125728770598</v>
      </c>
      <c r="E76" s="162">
        <f t="shared" si="4"/>
        <v>18.047308079361038</v>
      </c>
      <c r="F76" s="162">
        <f>+Données!X76</f>
        <v>75</v>
      </c>
      <c r="G76" s="271">
        <f t="shared" si="5"/>
        <v>-288346.35301097116</v>
      </c>
      <c r="H76" s="120">
        <f t="shared" si="6"/>
        <v>1.1105534259708889</v>
      </c>
      <c r="I76" s="41">
        <f t="shared" si="7"/>
        <v>-320224.03020254534</v>
      </c>
    </row>
    <row r="77" spans="1:9" x14ac:dyDescent="0.25">
      <c r="A77" s="37">
        <f>Données!A77</f>
        <v>5523</v>
      </c>
      <c r="B77" s="26" t="str">
        <f>Données!B77</f>
        <v>Froideville</v>
      </c>
      <c r="C77" s="30">
        <f>Données!Z77</f>
        <v>2731</v>
      </c>
      <c r="D77" s="162">
        <f>Ecrêtage!E77</f>
        <v>32.668844948940141</v>
      </c>
      <c r="E77" s="162">
        <f t="shared" si="4"/>
        <v>17.296588859191495</v>
      </c>
      <c r="F77" s="162">
        <f>+Données!X77</f>
        <v>72</v>
      </c>
      <c r="G77" s="271">
        <f t="shared" si="5"/>
        <v>-918286.9723513464</v>
      </c>
      <c r="H77" s="120">
        <f t="shared" si="6"/>
        <v>1.0661312889320533</v>
      </c>
      <c r="I77" s="41">
        <f t="shared" si="7"/>
        <v>-979014.47344245377</v>
      </c>
    </row>
    <row r="78" spans="1:9" x14ac:dyDescent="0.25">
      <c r="A78" s="37">
        <f>Données!A78</f>
        <v>5527</v>
      </c>
      <c r="B78" s="26" t="str">
        <f>Données!B78</f>
        <v>Morrens</v>
      </c>
      <c r="C78" s="30">
        <f>Données!Z78</f>
        <v>1153</v>
      </c>
      <c r="D78" s="162">
        <f>Ecrêtage!E78</f>
        <v>36.963262347343012</v>
      </c>
      <c r="E78" s="162">
        <f t="shared" si="4"/>
        <v>13.002171460788624</v>
      </c>
      <c r="F78" s="162">
        <f>+Données!X78</f>
        <v>74</v>
      </c>
      <c r="G78" s="271">
        <f t="shared" si="5"/>
        <v>-299530.24381189991</v>
      </c>
      <c r="H78" s="120">
        <f t="shared" si="6"/>
        <v>1.0957460469579439</v>
      </c>
      <c r="I78" s="41">
        <f t="shared" si="7"/>
        <v>-328209.08060123847</v>
      </c>
    </row>
    <row r="79" spans="1:9" x14ac:dyDescent="0.25">
      <c r="A79" s="37">
        <f>Données!A79</f>
        <v>5529</v>
      </c>
      <c r="B79" s="26" t="str">
        <f>Données!B79</f>
        <v>Oulens-sous-Echallens</v>
      </c>
      <c r="C79" s="30">
        <f>Données!Z79</f>
        <v>607</v>
      </c>
      <c r="D79" s="162">
        <f>Ecrêtage!E79</f>
        <v>35.123571710327873</v>
      </c>
      <c r="E79" s="162">
        <f t="shared" si="4"/>
        <v>14.841862097803762</v>
      </c>
      <c r="F79" s="162">
        <f>+Données!X79</f>
        <v>71</v>
      </c>
      <c r="G79" s="271">
        <f t="shared" si="5"/>
        <v>-172702.7273238432</v>
      </c>
      <c r="H79" s="120">
        <f t="shared" si="6"/>
        <v>1.0513239099191083</v>
      </c>
      <c r="I79" s="41">
        <f t="shared" si="7"/>
        <v>-181566.50654379645</v>
      </c>
    </row>
    <row r="80" spans="1:9" x14ac:dyDescent="0.25">
      <c r="A80" s="37">
        <f>Données!A80</f>
        <v>5530</v>
      </c>
      <c r="B80" s="26" t="str">
        <f>Données!B80</f>
        <v>Pailly</v>
      </c>
      <c r="C80" s="30">
        <f>Données!Z80</f>
        <v>576</v>
      </c>
      <c r="D80" s="162">
        <f>Ecrêtage!E80</f>
        <v>32.960983377497563</v>
      </c>
      <c r="E80" s="162">
        <f t="shared" si="4"/>
        <v>17.004450430634073</v>
      </c>
      <c r="F80" s="162">
        <f>+Données!X80</f>
        <v>76</v>
      </c>
      <c r="G80" s="271">
        <f t="shared" si="5"/>
        <v>-200984.44195388808</v>
      </c>
      <c r="H80" s="120">
        <f t="shared" si="6"/>
        <v>1.1253608049838342</v>
      </c>
      <c r="I80" s="41">
        <f t="shared" si="7"/>
        <v>-226180.01338645417</v>
      </c>
    </row>
    <row r="81" spans="1:9" x14ac:dyDescent="0.25">
      <c r="A81" s="37">
        <f>Données!A81</f>
        <v>5531</v>
      </c>
      <c r="B81" s="26" t="str">
        <f>Données!B81</f>
        <v>Penthéréaz</v>
      </c>
      <c r="C81" s="30">
        <f>Données!Z81</f>
        <v>430</v>
      </c>
      <c r="D81" s="162">
        <f>Ecrêtage!E81</f>
        <v>39.486093337523577</v>
      </c>
      <c r="E81" s="162">
        <f t="shared" si="4"/>
        <v>10.479340470608058</v>
      </c>
      <c r="F81" s="162">
        <f>+Données!X81</f>
        <v>74</v>
      </c>
      <c r="G81" s="271">
        <f t="shared" si="5"/>
        <v>-90032.205719182079</v>
      </c>
      <c r="H81" s="120">
        <f t="shared" si="6"/>
        <v>1.0957460469579439</v>
      </c>
      <c r="I81" s="41">
        <f t="shared" si="7"/>
        <v>-98652.433515698154</v>
      </c>
    </row>
    <row r="82" spans="1:9" x14ac:dyDescent="0.25">
      <c r="A82" s="37">
        <f>Données!A82</f>
        <v>5533</v>
      </c>
      <c r="B82" s="26" t="str">
        <f>Données!B82</f>
        <v>Poliez-Pittet</v>
      </c>
      <c r="C82" s="30">
        <f>Données!Z82</f>
        <v>850</v>
      </c>
      <c r="D82" s="162">
        <f>Ecrêtage!E82</f>
        <v>32.196892344883153</v>
      </c>
      <c r="E82" s="162">
        <f t="shared" si="4"/>
        <v>17.768541463248482</v>
      </c>
      <c r="F82" s="162">
        <f>+Données!X82</f>
        <v>73</v>
      </c>
      <c r="G82" s="271">
        <f t="shared" si="5"/>
        <v>-297685.25940453348</v>
      </c>
      <c r="H82" s="120">
        <f t="shared" si="6"/>
        <v>1.0809386679449986</v>
      </c>
      <c r="I82" s="41">
        <f t="shared" si="7"/>
        <v>-321779.5077675978</v>
      </c>
    </row>
    <row r="83" spans="1:9" x14ac:dyDescent="0.25">
      <c r="A83" s="37">
        <f>Données!A83</f>
        <v>5534</v>
      </c>
      <c r="B83" s="26" t="str">
        <f>Données!B83</f>
        <v>Rueyres</v>
      </c>
      <c r="C83" s="30">
        <f>Données!Z83</f>
        <v>304</v>
      </c>
      <c r="D83" s="162">
        <f>Ecrêtage!E83</f>
        <v>59.152580434390778</v>
      </c>
      <c r="E83" s="162">
        <f t="shared" si="4"/>
        <v>0</v>
      </c>
      <c r="F83" s="162">
        <f>+Données!X83</f>
        <v>73</v>
      </c>
      <c r="G83" s="271">
        <f t="shared" si="5"/>
        <v>0</v>
      </c>
      <c r="H83" s="120">
        <f t="shared" si="6"/>
        <v>1.0809386679449986</v>
      </c>
      <c r="I83" s="41">
        <f t="shared" si="7"/>
        <v>0</v>
      </c>
    </row>
    <row r="84" spans="1:9" x14ac:dyDescent="0.25">
      <c r="A84" s="37">
        <f>Données!A84</f>
        <v>5535</v>
      </c>
      <c r="B84" s="26" t="str">
        <f>Données!B84</f>
        <v>Saint-Barthélemy</v>
      </c>
      <c r="C84" s="30">
        <f>Données!Z84</f>
        <v>837</v>
      </c>
      <c r="D84" s="162">
        <f>Ecrêtage!E84</f>
        <v>31.688277180406217</v>
      </c>
      <c r="E84" s="162">
        <f t="shared" si="4"/>
        <v>18.277156627725418</v>
      </c>
      <c r="F84" s="162">
        <f>+Données!X84</f>
        <v>75</v>
      </c>
      <c r="G84" s="271">
        <f t="shared" si="5"/>
        <v>-309784.09697247506</v>
      </c>
      <c r="H84" s="120">
        <f t="shared" si="6"/>
        <v>1.1105534259708889</v>
      </c>
      <c r="I84" s="41">
        <f t="shared" si="7"/>
        <v>-344031.79020408023</v>
      </c>
    </row>
    <row r="85" spans="1:9" x14ac:dyDescent="0.25">
      <c r="A85" s="37">
        <f>Données!A85</f>
        <v>5537</v>
      </c>
      <c r="B85" s="26" t="str">
        <f>Données!B85</f>
        <v>Villars-le-Terroir</v>
      </c>
      <c r="C85" s="30">
        <f>Données!Z85</f>
        <v>1307</v>
      </c>
      <c r="D85" s="162">
        <f>Ecrêtage!E85</f>
        <v>28.172581444046234</v>
      </c>
      <c r="E85" s="162">
        <f t="shared" si="4"/>
        <v>21.792852364085402</v>
      </c>
      <c r="F85" s="162">
        <f>+Données!X85</f>
        <v>76</v>
      </c>
      <c r="G85" s="271">
        <f t="shared" si="5"/>
        <v>-584476.45497791946</v>
      </c>
      <c r="H85" s="120">
        <f t="shared" si="6"/>
        <v>1.1253608049838342</v>
      </c>
      <c r="I85" s="41">
        <f t="shared" si="7"/>
        <v>-657746.89386804914</v>
      </c>
    </row>
    <row r="86" spans="1:9" x14ac:dyDescent="0.25">
      <c r="A86" s="37">
        <f>Données!A86</f>
        <v>5539</v>
      </c>
      <c r="B86" s="26" t="str">
        <f>Données!B86</f>
        <v>Vuarrens</v>
      </c>
      <c r="C86" s="30">
        <f>Données!Z86</f>
        <v>1120</v>
      </c>
      <c r="D86" s="162">
        <f>Ecrêtage!E86</f>
        <v>31.164060860058303</v>
      </c>
      <c r="E86" s="162">
        <f t="shared" si="4"/>
        <v>18.801372948073332</v>
      </c>
      <c r="F86" s="162">
        <f>+Données!X86</f>
        <v>73.5</v>
      </c>
      <c r="G86" s="271">
        <f t="shared" si="5"/>
        <v>-417886.8356930571</v>
      </c>
      <c r="H86" s="120">
        <f t="shared" si="6"/>
        <v>1.0883423574514712</v>
      </c>
      <c r="I86" s="41">
        <f t="shared" si="7"/>
        <v>-454803.94390611741</v>
      </c>
    </row>
    <row r="87" spans="1:9" x14ac:dyDescent="0.25">
      <c r="A87" s="37">
        <f>Données!A87</f>
        <v>5540</v>
      </c>
      <c r="B87" s="26" t="str">
        <f>Données!B87</f>
        <v>Montilliez</v>
      </c>
      <c r="C87" s="30">
        <f>Données!Z87</f>
        <v>1874</v>
      </c>
      <c r="D87" s="162">
        <f>Ecrêtage!E87</f>
        <v>34.703118941596429</v>
      </c>
      <c r="E87" s="162">
        <f t="shared" si="4"/>
        <v>15.262314866535206</v>
      </c>
      <c r="F87" s="162">
        <f>+Données!X87</f>
        <v>72.5</v>
      </c>
      <c r="G87" s="271">
        <f t="shared" si="5"/>
        <v>-559875.89052228758</v>
      </c>
      <c r="H87" s="120">
        <f t="shared" si="6"/>
        <v>1.073534978438526</v>
      </c>
      <c r="I87" s="41">
        <f t="shared" si="7"/>
        <v>-601046.35206009448</v>
      </c>
    </row>
    <row r="88" spans="1:9" x14ac:dyDescent="0.25">
      <c r="A88" s="37">
        <f>Données!A88</f>
        <v>5541</v>
      </c>
      <c r="B88" s="26" t="str">
        <f>Données!B88</f>
        <v>Goumoëns</v>
      </c>
      <c r="C88" s="30">
        <f>Données!Z88</f>
        <v>1211</v>
      </c>
      <c r="D88" s="162">
        <f>Ecrêtage!E88</f>
        <v>33.862043628767211</v>
      </c>
      <c r="E88" s="162">
        <f t="shared" si="4"/>
        <v>16.103390179364425</v>
      </c>
      <c r="F88" s="162">
        <f>+Données!X88</f>
        <v>75.5</v>
      </c>
      <c r="G88" s="271">
        <f t="shared" si="5"/>
        <v>-397532.07426448236</v>
      </c>
      <c r="H88" s="120">
        <f t="shared" si="6"/>
        <v>1.1179571154773615</v>
      </c>
      <c r="I88" s="41">
        <f t="shared" si="7"/>
        <v>-444423.81105445296</v>
      </c>
    </row>
    <row r="89" spans="1:9" x14ac:dyDescent="0.25">
      <c r="A89" s="37">
        <f>Données!A89</f>
        <v>5551</v>
      </c>
      <c r="B89" s="26" t="str">
        <f>Données!B89</f>
        <v>Bonvillars</v>
      </c>
      <c r="C89" s="30">
        <f>Données!Z89</f>
        <v>518</v>
      </c>
      <c r="D89" s="162">
        <f>Ecrêtage!E89</f>
        <v>37.581387590598119</v>
      </c>
      <c r="E89" s="162">
        <f t="shared" si="4"/>
        <v>12.384046217533516</v>
      </c>
      <c r="F89" s="162">
        <f>+Données!X89</f>
        <v>57</v>
      </c>
      <c r="G89" s="271">
        <f t="shared" si="5"/>
        <v>-98725.864127101537</v>
      </c>
      <c r="H89" s="120">
        <f t="shared" si="6"/>
        <v>0.84402060373787557</v>
      </c>
      <c r="I89" s="41">
        <f t="shared" si="7"/>
        <v>-83326.663445099708</v>
      </c>
    </row>
    <row r="90" spans="1:9" x14ac:dyDescent="0.25">
      <c r="A90" s="37">
        <f>Données!A90</f>
        <v>5552</v>
      </c>
      <c r="B90" s="26" t="str">
        <f>Données!B90</f>
        <v>Bullet</v>
      </c>
      <c r="C90" s="30">
        <f>Données!Z90</f>
        <v>682</v>
      </c>
      <c r="D90" s="162">
        <f>Ecrêtage!E90</f>
        <v>29.445234604105575</v>
      </c>
      <c r="E90" s="162">
        <f t="shared" si="4"/>
        <v>20.52019920402606</v>
      </c>
      <c r="F90" s="162">
        <f>+Données!X90</f>
        <v>72</v>
      </c>
      <c r="G90" s="271">
        <f t="shared" si="5"/>
        <v>-272058.44266291382</v>
      </c>
      <c r="H90" s="120">
        <f t="shared" si="6"/>
        <v>1.0661312889320533</v>
      </c>
      <c r="I90" s="41">
        <f t="shared" si="7"/>
        <v>-290050.01814105944</v>
      </c>
    </row>
    <row r="91" spans="1:9" x14ac:dyDescent="0.25">
      <c r="A91" s="37">
        <f>Données!A91</f>
        <v>5553</v>
      </c>
      <c r="B91" s="26" t="str">
        <f>Données!B91</f>
        <v>Champagne</v>
      </c>
      <c r="C91" s="30">
        <f>Données!Z91</f>
        <v>1071</v>
      </c>
      <c r="D91" s="162">
        <f>Ecrêtage!E91</f>
        <v>35.824858866623565</v>
      </c>
      <c r="E91" s="162">
        <f t="shared" si="4"/>
        <v>14.140574941508071</v>
      </c>
      <c r="F91" s="162">
        <f>+Données!X91</f>
        <v>65</v>
      </c>
      <c r="G91" s="271">
        <f t="shared" si="5"/>
        <v>-265786.95362933277</v>
      </c>
      <c r="H91" s="120">
        <f t="shared" si="6"/>
        <v>0.96247963584143714</v>
      </c>
      <c r="I91" s="41">
        <f t="shared" si="7"/>
        <v>-255814.53034056514</v>
      </c>
    </row>
    <row r="92" spans="1:9" x14ac:dyDescent="0.25">
      <c r="A92" s="37">
        <f>Données!A92</f>
        <v>5554</v>
      </c>
      <c r="B92" s="26" t="str">
        <f>Données!B92</f>
        <v>Concise</v>
      </c>
      <c r="C92" s="30">
        <f>Données!Z92</f>
        <v>1025</v>
      </c>
      <c r="D92" s="162">
        <f>Ecrêtage!E92</f>
        <v>32.204720302301617</v>
      </c>
      <c r="E92" s="162">
        <f t="shared" si="4"/>
        <v>17.760713505830019</v>
      </c>
      <c r="F92" s="162">
        <f>+Données!X92</f>
        <v>71</v>
      </c>
      <c r="G92" s="271">
        <f t="shared" si="5"/>
        <v>-348984.69985443057</v>
      </c>
      <c r="H92" s="120">
        <f t="shared" si="6"/>
        <v>1.0513239099191083</v>
      </c>
      <c r="I92" s="41">
        <f t="shared" si="7"/>
        <v>-366895.95915290643</v>
      </c>
    </row>
    <row r="93" spans="1:9" x14ac:dyDescent="0.25">
      <c r="A93" s="37">
        <f>Données!A93</f>
        <v>5555</v>
      </c>
      <c r="B93" s="26" t="str">
        <f>Données!B93</f>
        <v>Corcelles-près-Concise</v>
      </c>
      <c r="C93" s="30">
        <f>Données!Z93</f>
        <v>438</v>
      </c>
      <c r="D93" s="162">
        <f>Ecrêtage!E93</f>
        <v>32.397213619217787</v>
      </c>
      <c r="E93" s="162">
        <f t="shared" si="4"/>
        <v>17.568220188913848</v>
      </c>
      <c r="F93" s="162">
        <f>+Données!X93</f>
        <v>69</v>
      </c>
      <c r="G93" s="271">
        <f t="shared" si="5"/>
        <v>-143355.62264832569</v>
      </c>
      <c r="H93" s="120">
        <f t="shared" si="6"/>
        <v>1.0217091518932178</v>
      </c>
      <c r="I93" s="41">
        <f t="shared" si="7"/>
        <v>-146467.75163514499</v>
      </c>
    </row>
    <row r="94" spans="1:9" x14ac:dyDescent="0.25">
      <c r="A94" s="37">
        <f>Données!A94</f>
        <v>5556</v>
      </c>
      <c r="B94" s="26" t="str">
        <f>Données!B94</f>
        <v>Fiez</v>
      </c>
      <c r="C94" s="30">
        <f>Données!Z94</f>
        <v>431</v>
      </c>
      <c r="D94" s="162">
        <f>Ecrêtage!E94</f>
        <v>29.724716029456271</v>
      </c>
      <c r="E94" s="162">
        <f t="shared" si="4"/>
        <v>20.240717778675364</v>
      </c>
      <c r="F94" s="162">
        <f>+Données!X94</f>
        <v>69</v>
      </c>
      <c r="G94" s="271">
        <f t="shared" si="5"/>
        <v>-162523.45062540722</v>
      </c>
      <c r="H94" s="120">
        <f t="shared" si="6"/>
        <v>1.0217091518932178</v>
      </c>
      <c r="I94" s="41">
        <f t="shared" si="7"/>
        <v>-166051.69690124405</v>
      </c>
    </row>
    <row r="95" spans="1:9" x14ac:dyDescent="0.25">
      <c r="A95" s="37">
        <f>Données!A95</f>
        <v>5557</v>
      </c>
      <c r="B95" s="26" t="str">
        <f>Données!B95</f>
        <v>Fontaines-sur-Grandson</v>
      </c>
      <c r="C95" s="30">
        <f>Données!Z95</f>
        <v>220</v>
      </c>
      <c r="D95" s="162">
        <f>Ecrêtage!E95</f>
        <v>23.473708168642951</v>
      </c>
      <c r="E95" s="162">
        <f t="shared" si="4"/>
        <v>26.491725639488685</v>
      </c>
      <c r="F95" s="162">
        <f>+Données!X95</f>
        <v>69</v>
      </c>
      <c r="G95" s="271">
        <f t="shared" si="5"/>
        <v>-108578.98670600833</v>
      </c>
      <c r="H95" s="120">
        <f t="shared" si="6"/>
        <v>1.0217091518932178</v>
      </c>
      <c r="I95" s="41">
        <f t="shared" si="7"/>
        <v>-110936.14442082074</v>
      </c>
    </row>
    <row r="96" spans="1:9" x14ac:dyDescent="0.25">
      <c r="A96" s="37">
        <f>Données!A96</f>
        <v>5559</v>
      </c>
      <c r="B96" s="26" t="str">
        <f>Données!B96</f>
        <v>Giez</v>
      </c>
      <c r="C96" s="30">
        <f>Données!Z96</f>
        <v>464</v>
      </c>
      <c r="D96" s="162">
        <f>Ecrêtage!E96</f>
        <v>50.157890149594323</v>
      </c>
      <c r="E96" s="162">
        <f t="shared" si="4"/>
        <v>0</v>
      </c>
      <c r="F96" s="162">
        <f>+Données!X96</f>
        <v>68</v>
      </c>
      <c r="G96" s="271">
        <f t="shared" si="5"/>
        <v>0</v>
      </c>
      <c r="H96" s="120">
        <f t="shared" si="6"/>
        <v>1.0069017728802727</v>
      </c>
      <c r="I96" s="41">
        <f t="shared" si="7"/>
        <v>0</v>
      </c>
    </row>
    <row r="97" spans="1:9" x14ac:dyDescent="0.25">
      <c r="A97" s="37">
        <f>Données!A97</f>
        <v>5560</v>
      </c>
      <c r="B97" s="26" t="str">
        <f>Données!B97</f>
        <v>Grandevent</v>
      </c>
      <c r="C97" s="30">
        <f>Données!Z97</f>
        <v>241</v>
      </c>
      <c r="D97" s="162">
        <f>Ecrêtage!E97</f>
        <v>33.263180201541203</v>
      </c>
      <c r="E97" s="162">
        <f t="shared" si="4"/>
        <v>16.702253606590432</v>
      </c>
      <c r="F97" s="162">
        <f>+Données!X97</f>
        <v>70</v>
      </c>
      <c r="G97" s="271">
        <f t="shared" si="5"/>
        <v>-76077.094952658765</v>
      </c>
      <c r="H97" s="120">
        <f t="shared" si="6"/>
        <v>1.036516530906163</v>
      </c>
      <c r="I97" s="41">
        <f t="shared" si="7"/>
        <v>-78855.166541748622</v>
      </c>
    </row>
    <row r="98" spans="1:9" x14ac:dyDescent="0.25">
      <c r="A98" s="37">
        <f>Données!A98</f>
        <v>5561</v>
      </c>
      <c r="B98" s="26" t="str">
        <f>Données!B98</f>
        <v>Grandson</v>
      </c>
      <c r="C98" s="30">
        <f>Données!Z98</f>
        <v>3396</v>
      </c>
      <c r="D98" s="162">
        <f>Ecrêtage!E98</f>
        <v>37.020430088253867</v>
      </c>
      <c r="E98" s="162">
        <f t="shared" si="4"/>
        <v>12.945003719877768</v>
      </c>
      <c r="F98" s="162">
        <f>+Données!X98</f>
        <v>69</v>
      </c>
      <c r="G98" s="271">
        <f t="shared" si="5"/>
        <v>-818997.76394729235</v>
      </c>
      <c r="H98" s="120">
        <f t="shared" si="6"/>
        <v>1.0217091518932178</v>
      </c>
      <c r="I98" s="41">
        <f t="shared" si="7"/>
        <v>-836777.51080502977</v>
      </c>
    </row>
    <row r="99" spans="1:9" x14ac:dyDescent="0.25">
      <c r="A99" s="37">
        <f>Données!A99</f>
        <v>5562</v>
      </c>
      <c r="B99" s="26" t="str">
        <f>Données!B99</f>
        <v>Mauborget</v>
      </c>
      <c r="C99" s="30">
        <f>Données!Z99</f>
        <v>145</v>
      </c>
      <c r="D99" s="162">
        <f>Ecrêtage!E99</f>
        <v>31.407636288998358</v>
      </c>
      <c r="E99" s="162">
        <f t="shared" si="4"/>
        <v>18.557797519133278</v>
      </c>
      <c r="F99" s="162">
        <f>+Données!X99</f>
        <v>70</v>
      </c>
      <c r="G99" s="271">
        <f t="shared" si="5"/>
        <v>-50857.644101184749</v>
      </c>
      <c r="H99" s="120">
        <f t="shared" si="6"/>
        <v>1.036516530906163</v>
      </c>
      <c r="I99" s="41">
        <f t="shared" si="7"/>
        <v>-52714.788833820305</v>
      </c>
    </row>
    <row r="100" spans="1:9" x14ac:dyDescent="0.25">
      <c r="A100" s="37">
        <f>Données!A100</f>
        <v>5563</v>
      </c>
      <c r="B100" s="26" t="str">
        <f>Données!B100</f>
        <v>Mutrux</v>
      </c>
      <c r="C100" s="30">
        <f>Données!Z100</f>
        <v>144</v>
      </c>
      <c r="D100" s="162">
        <f>Ecrêtage!E100</f>
        <v>27.981554687500001</v>
      </c>
      <c r="E100" s="162">
        <f t="shared" si="4"/>
        <v>21.983879120631634</v>
      </c>
      <c r="F100" s="162">
        <f>+Données!X100</f>
        <v>80</v>
      </c>
      <c r="G100" s="271">
        <f t="shared" si="5"/>
        <v>-68378.657616812634</v>
      </c>
      <c r="H100" s="120">
        <f t="shared" si="6"/>
        <v>1.184590321035615</v>
      </c>
      <c r="I100" s="41">
        <f t="shared" si="7"/>
        <v>-81000.695978284479</v>
      </c>
    </row>
    <row r="101" spans="1:9" x14ac:dyDescent="0.25">
      <c r="A101" s="37">
        <f>Données!A101</f>
        <v>5564</v>
      </c>
      <c r="B101" s="26" t="str">
        <f>Données!B101</f>
        <v>Novalles</v>
      </c>
      <c r="C101" s="30">
        <f>Données!Z101</f>
        <v>106</v>
      </c>
      <c r="D101" s="162">
        <f>Ecrêtage!E101</f>
        <v>23.248283577457794</v>
      </c>
      <c r="E101" s="162">
        <f t="shared" si="4"/>
        <v>26.717150230673841</v>
      </c>
      <c r="F101" s="162">
        <f>+Données!X101</f>
        <v>76</v>
      </c>
      <c r="G101" s="271">
        <f t="shared" si="5"/>
        <v>-58113.007809743285</v>
      </c>
      <c r="H101" s="120">
        <f t="shared" si="6"/>
        <v>1.1253608049838342</v>
      </c>
      <c r="I101" s="41">
        <f t="shared" si="7"/>
        <v>-65398.101248804545</v>
      </c>
    </row>
    <row r="102" spans="1:9" x14ac:dyDescent="0.25">
      <c r="A102" s="37">
        <f>Données!A102</f>
        <v>5565</v>
      </c>
      <c r="B102" s="26" t="str">
        <f>Données!B102</f>
        <v>Onnens</v>
      </c>
      <c r="C102" s="30">
        <f>Données!Z102</f>
        <v>520</v>
      </c>
      <c r="D102" s="162">
        <f>Ecrêtage!E102</f>
        <v>38.823278921865544</v>
      </c>
      <c r="E102" s="162">
        <f t="shared" si="4"/>
        <v>11.142154886266091</v>
      </c>
      <c r="F102" s="162">
        <f>+Données!X102</f>
        <v>63.5</v>
      </c>
      <c r="G102" s="271">
        <f t="shared" si="5"/>
        <v>-99336.767673016715</v>
      </c>
      <c r="H102" s="120">
        <f t="shared" si="6"/>
        <v>0.94026856732201936</v>
      </c>
      <c r="I102" s="41">
        <f t="shared" si="7"/>
        <v>-93403.240222307708</v>
      </c>
    </row>
    <row r="103" spans="1:9" x14ac:dyDescent="0.25">
      <c r="A103" s="37">
        <f>Données!A103</f>
        <v>5566</v>
      </c>
      <c r="B103" s="26" t="str">
        <f>Données!B103</f>
        <v>Provence</v>
      </c>
      <c r="C103" s="30">
        <f>Données!Z103</f>
        <v>411</v>
      </c>
      <c r="D103" s="162">
        <f>Ecrêtage!E103</f>
        <v>27.627283550108636</v>
      </c>
      <c r="E103" s="162">
        <f t="shared" si="4"/>
        <v>22.338150258022999</v>
      </c>
      <c r="F103" s="162">
        <f>+Données!X103</f>
        <v>81</v>
      </c>
      <c r="G103" s="271">
        <f t="shared" si="5"/>
        <v>-200788.02726475778</v>
      </c>
      <c r="H103" s="120">
        <f t="shared" si="6"/>
        <v>1.1993977000485601</v>
      </c>
      <c r="I103" s="41">
        <f t="shared" si="7"/>
        <v>-240824.69809863804</v>
      </c>
    </row>
    <row r="104" spans="1:9" x14ac:dyDescent="0.25">
      <c r="A104" s="37">
        <f>Données!A104</f>
        <v>5568</v>
      </c>
      <c r="B104" s="26" t="str">
        <f>Données!B104</f>
        <v>Sainte-Croix</v>
      </c>
      <c r="C104" s="30">
        <f>Données!Z104</f>
        <v>5130</v>
      </c>
      <c r="D104" s="162">
        <f>Ecrêtage!E104</f>
        <v>22.333594597605124</v>
      </c>
      <c r="E104" s="162">
        <f t="shared" si="4"/>
        <v>27.631839210526511</v>
      </c>
      <c r="F104" s="162">
        <f>+Données!X104</f>
        <v>70</v>
      </c>
      <c r="G104" s="271">
        <f t="shared" si="5"/>
        <v>-2679100.2343350188</v>
      </c>
      <c r="H104" s="120">
        <f t="shared" si="6"/>
        <v>1.036516530906163</v>
      </c>
      <c r="I104" s="41">
        <f t="shared" si="7"/>
        <v>-2776931.680842822</v>
      </c>
    </row>
    <row r="105" spans="1:9" x14ac:dyDescent="0.25">
      <c r="A105" s="37">
        <f>Données!A105</f>
        <v>5571</v>
      </c>
      <c r="B105" s="26" t="str">
        <f>Données!B105</f>
        <v>Tévenon</v>
      </c>
      <c r="C105" s="30">
        <f>Données!Z105</f>
        <v>861</v>
      </c>
      <c r="D105" s="162">
        <f>Ecrêtage!E105</f>
        <v>30.36648592599812</v>
      </c>
      <c r="E105" s="162">
        <f t="shared" si="4"/>
        <v>19.598947882133515</v>
      </c>
      <c r="F105" s="162">
        <f>+Données!X105</f>
        <v>71.5</v>
      </c>
      <c r="G105" s="271">
        <f t="shared" si="5"/>
        <v>-325765.97011240985</v>
      </c>
      <c r="H105" s="120">
        <f t="shared" si="6"/>
        <v>1.0587275994255809</v>
      </c>
      <c r="I105" s="41">
        <f t="shared" si="7"/>
        <v>-344897.42351165722</v>
      </c>
    </row>
    <row r="106" spans="1:9" x14ac:dyDescent="0.25">
      <c r="A106" s="37">
        <f>Données!A106</f>
        <v>5581</v>
      </c>
      <c r="B106" s="26" t="str">
        <f>Données!B106</f>
        <v>Belmont-sur-Lausanne</v>
      </c>
      <c r="C106" s="30">
        <f>Données!Z106</f>
        <v>3922</v>
      </c>
      <c r="D106" s="162">
        <f>Ecrêtage!E106</f>
        <v>62.960327214006469</v>
      </c>
      <c r="E106" s="162">
        <f t="shared" si="4"/>
        <v>0</v>
      </c>
      <c r="F106" s="162">
        <f>+Données!X106</f>
        <v>72</v>
      </c>
      <c r="G106" s="271">
        <f t="shared" si="5"/>
        <v>0</v>
      </c>
      <c r="H106" s="120">
        <f t="shared" si="6"/>
        <v>1.0661312889320533</v>
      </c>
      <c r="I106" s="41">
        <f t="shared" si="7"/>
        <v>0</v>
      </c>
    </row>
    <row r="107" spans="1:9" x14ac:dyDescent="0.25">
      <c r="A107" s="37">
        <f>Données!A107</f>
        <v>5582</v>
      </c>
      <c r="B107" s="26" t="str">
        <f>Données!B107</f>
        <v>Cheseaux-sur-Lausanne</v>
      </c>
      <c r="C107" s="30">
        <f>Données!Z107</f>
        <v>4855</v>
      </c>
      <c r="D107" s="162">
        <f>Ecrêtage!E107</f>
        <v>36.988861673461905</v>
      </c>
      <c r="E107" s="162">
        <f t="shared" si="4"/>
        <v>12.97657213466973</v>
      </c>
      <c r="F107" s="162">
        <f>+Données!X107</f>
        <v>73</v>
      </c>
      <c r="G107" s="271">
        <f t="shared" si="5"/>
        <v>-1241754.7895394226</v>
      </c>
      <c r="H107" s="120">
        <f t="shared" si="6"/>
        <v>1.0809386679449986</v>
      </c>
      <c r="I107" s="41">
        <f t="shared" si="7"/>
        <v>-1342260.7681190656</v>
      </c>
    </row>
    <row r="108" spans="1:9" x14ac:dyDescent="0.25">
      <c r="A108" s="37">
        <f>Données!A108</f>
        <v>5583</v>
      </c>
      <c r="B108" s="26" t="str">
        <f>Données!B108</f>
        <v>Crissier</v>
      </c>
      <c r="C108" s="30">
        <f>Données!Z108</f>
        <v>10680</v>
      </c>
      <c r="D108" s="162">
        <f>Ecrêtage!E108</f>
        <v>42.729065852723458</v>
      </c>
      <c r="E108" s="162">
        <f t="shared" si="4"/>
        <v>7.236367955408177</v>
      </c>
      <c r="F108" s="162">
        <f>+Données!X108</f>
        <v>63.5</v>
      </c>
      <c r="G108" s="271">
        <f t="shared" si="5"/>
        <v>-1325041.2053996539</v>
      </c>
      <c r="H108" s="120">
        <f t="shared" si="6"/>
        <v>0.94026856732201936</v>
      </c>
      <c r="I108" s="41">
        <f t="shared" si="7"/>
        <v>-1245894.595843774</v>
      </c>
    </row>
    <row r="109" spans="1:9" x14ac:dyDescent="0.25">
      <c r="A109" s="37">
        <f>Données!A109</f>
        <v>5584</v>
      </c>
      <c r="B109" s="26" t="str">
        <f>Données!B109</f>
        <v>Epalinges</v>
      </c>
      <c r="C109" s="30">
        <f>Données!Z109</f>
        <v>9905</v>
      </c>
      <c r="D109" s="162">
        <f>Ecrêtage!E109</f>
        <v>53.274217672540303</v>
      </c>
      <c r="E109" s="162">
        <f t="shared" si="4"/>
        <v>0</v>
      </c>
      <c r="F109" s="162">
        <f>+Données!X109</f>
        <v>64.5</v>
      </c>
      <c r="G109" s="271">
        <f t="shared" si="5"/>
        <v>0</v>
      </c>
      <c r="H109" s="120">
        <f t="shared" si="6"/>
        <v>0.95507594633496451</v>
      </c>
      <c r="I109" s="41">
        <f t="shared" si="7"/>
        <v>0</v>
      </c>
    </row>
    <row r="110" spans="1:9" x14ac:dyDescent="0.25">
      <c r="A110" s="37">
        <f>Données!A110</f>
        <v>5585</v>
      </c>
      <c r="B110" s="26" t="str">
        <f>Données!B110</f>
        <v>Jouxtens-Mézery</v>
      </c>
      <c r="C110" s="30">
        <f>Données!Z110</f>
        <v>1482</v>
      </c>
      <c r="D110" s="162">
        <f>Ecrêtage!E110</f>
        <v>140.24265471915339</v>
      </c>
      <c r="E110" s="162">
        <f t="shared" si="4"/>
        <v>0</v>
      </c>
      <c r="F110" s="162">
        <f>+Données!X110</f>
        <v>59</v>
      </c>
      <c r="G110" s="271">
        <f t="shared" si="5"/>
        <v>0</v>
      </c>
      <c r="H110" s="120">
        <f t="shared" si="6"/>
        <v>0.87363536176376599</v>
      </c>
      <c r="I110" s="41">
        <f t="shared" si="7"/>
        <v>0</v>
      </c>
    </row>
    <row r="111" spans="1:9" x14ac:dyDescent="0.25">
      <c r="A111" s="37">
        <f>Données!A111</f>
        <v>5586</v>
      </c>
      <c r="B111" s="26" t="str">
        <f>Données!B111</f>
        <v>Lausanne</v>
      </c>
      <c r="C111" s="30">
        <f>Données!Z111</f>
        <v>145037</v>
      </c>
      <c r="D111" s="162">
        <f>Ecrêtage!E111</f>
        <v>48.449342360797694</v>
      </c>
      <c r="E111" s="162">
        <f t="shared" si="4"/>
        <v>1.5160914473339417</v>
      </c>
      <c r="F111" s="162">
        <f>+Données!X111</f>
        <v>78.5</v>
      </c>
      <c r="G111" s="271">
        <f t="shared" si="5"/>
        <v>-4660554.8844595905</v>
      </c>
      <c r="H111" s="120">
        <f t="shared" si="6"/>
        <v>1.1623792525161971</v>
      </c>
      <c r="I111" s="41">
        <f t="shared" si="7"/>
        <v>-5417332.3029088499</v>
      </c>
    </row>
    <row r="112" spans="1:9" x14ac:dyDescent="0.25">
      <c r="A112" s="37">
        <f>Données!A112</f>
        <v>5587</v>
      </c>
      <c r="B112" s="26" t="str">
        <f>Données!B112</f>
        <v>Le Mont-sur-Lausanne</v>
      </c>
      <c r="C112" s="30">
        <f>Données!Z112</f>
        <v>9543</v>
      </c>
      <c r="D112" s="162">
        <f>Ecrêtage!E112</f>
        <v>53.979161844438998</v>
      </c>
      <c r="E112" s="162">
        <f t="shared" si="4"/>
        <v>0</v>
      </c>
      <c r="F112" s="162">
        <f>+Données!X112</f>
        <v>72</v>
      </c>
      <c r="G112" s="271">
        <f t="shared" si="5"/>
        <v>0</v>
      </c>
      <c r="H112" s="120">
        <f t="shared" si="6"/>
        <v>1.0661312889320533</v>
      </c>
      <c r="I112" s="41">
        <f t="shared" si="7"/>
        <v>0</v>
      </c>
    </row>
    <row r="113" spans="1:9" x14ac:dyDescent="0.25">
      <c r="A113" s="37">
        <f>Données!A113</f>
        <v>5588</v>
      </c>
      <c r="B113" s="26" t="str">
        <f>Données!B113</f>
        <v>Paudex</v>
      </c>
      <c r="C113" s="30">
        <f>Données!Z113</f>
        <v>1512</v>
      </c>
      <c r="D113" s="162">
        <f>Ecrêtage!E113</f>
        <v>100.38938167414001</v>
      </c>
      <c r="E113" s="162">
        <f t="shared" si="4"/>
        <v>0</v>
      </c>
      <c r="F113" s="162">
        <f>+Données!X113</f>
        <v>66.5</v>
      </c>
      <c r="G113" s="271">
        <f t="shared" si="5"/>
        <v>0</v>
      </c>
      <c r="H113" s="120">
        <f t="shared" si="6"/>
        <v>0.98469070436085493</v>
      </c>
      <c r="I113" s="41">
        <f t="shared" si="7"/>
        <v>0</v>
      </c>
    </row>
    <row r="114" spans="1:9" x14ac:dyDescent="0.25">
      <c r="A114" s="37">
        <f>Données!A114</f>
        <v>5589</v>
      </c>
      <c r="B114" s="26" t="str">
        <f>Données!B114</f>
        <v>Prilly</v>
      </c>
      <c r="C114" s="30">
        <f>Données!Z114</f>
        <v>12766</v>
      </c>
      <c r="D114" s="162">
        <f>Ecrêtage!E114</f>
        <v>34.668995364427474</v>
      </c>
      <c r="E114" s="162">
        <f t="shared" si="4"/>
        <v>15.296438443704162</v>
      </c>
      <c r="F114" s="162">
        <f>+Données!X114</f>
        <v>72.5</v>
      </c>
      <c r="G114" s="271">
        <f t="shared" si="5"/>
        <v>-3822495.0718483073</v>
      </c>
      <c r="H114" s="120">
        <f t="shared" si="6"/>
        <v>1.073534978438526</v>
      </c>
      <c r="I114" s="41">
        <f t="shared" si="7"/>
        <v>-4103582.1645380445</v>
      </c>
    </row>
    <row r="115" spans="1:9" x14ac:dyDescent="0.25">
      <c r="A115" s="37">
        <f>Données!A115</f>
        <v>5590</v>
      </c>
      <c r="B115" s="26" t="str">
        <f>Données!B115</f>
        <v>Pully</v>
      </c>
      <c r="C115" s="30">
        <f>Données!Z115</f>
        <v>19545</v>
      </c>
      <c r="D115" s="162">
        <f>Ecrêtage!E115</f>
        <v>85.449637568500734</v>
      </c>
      <c r="E115" s="162">
        <f t="shared" si="4"/>
        <v>0</v>
      </c>
      <c r="F115" s="162">
        <f>+Données!X115</f>
        <v>61</v>
      </c>
      <c r="G115" s="271">
        <f t="shared" si="5"/>
        <v>0</v>
      </c>
      <c r="H115" s="120">
        <f t="shared" si="6"/>
        <v>0.90325011978965641</v>
      </c>
      <c r="I115" s="41">
        <f t="shared" si="7"/>
        <v>0</v>
      </c>
    </row>
    <row r="116" spans="1:9" x14ac:dyDescent="0.25">
      <c r="A116" s="37">
        <f>Données!A116</f>
        <v>5591</v>
      </c>
      <c r="B116" s="26" t="str">
        <f>Données!B116</f>
        <v>Renens</v>
      </c>
      <c r="C116" s="30">
        <f>Données!Z116</f>
        <v>21568</v>
      </c>
      <c r="D116" s="162">
        <f>Ecrêtage!E116</f>
        <v>29.081620962891499</v>
      </c>
      <c r="E116" s="162">
        <f t="shared" si="4"/>
        <v>20.883812845240136</v>
      </c>
      <c r="F116" s="162">
        <f>+Données!X116</f>
        <v>77</v>
      </c>
      <c r="G116" s="271">
        <f t="shared" si="5"/>
        <v>-9364274.9485252369</v>
      </c>
      <c r="H116" s="120">
        <f t="shared" si="6"/>
        <v>1.1401681839967794</v>
      </c>
      <c r="I116" s="41">
        <f t="shared" si="7"/>
        <v>-10676848.362506555</v>
      </c>
    </row>
    <row r="117" spans="1:9" x14ac:dyDescent="0.25">
      <c r="A117" s="37">
        <f>Données!A117</f>
        <v>5592</v>
      </c>
      <c r="B117" s="26" t="str">
        <f>Données!B117</f>
        <v>Romanel-sur-Lausanne</v>
      </c>
      <c r="C117" s="30">
        <f>Données!Z117</f>
        <v>4325</v>
      </c>
      <c r="D117" s="162">
        <f>Ecrêtage!E117</f>
        <v>33.956814004017538</v>
      </c>
      <c r="E117" s="162">
        <f t="shared" si="4"/>
        <v>16.008619804114097</v>
      </c>
      <c r="F117" s="162">
        <f>+Données!X117</f>
        <v>70.5</v>
      </c>
      <c r="G117" s="271">
        <f t="shared" si="5"/>
        <v>-1317931.6372259238</v>
      </c>
      <c r="H117" s="120">
        <f t="shared" si="6"/>
        <v>1.0439202204126357</v>
      </c>
      <c r="I117" s="41">
        <f t="shared" si="7"/>
        <v>-1375815.4852216721</v>
      </c>
    </row>
    <row r="118" spans="1:9" x14ac:dyDescent="0.25">
      <c r="A118" s="37">
        <f>Données!A118</f>
        <v>5601</v>
      </c>
      <c r="B118" s="26" t="str">
        <f>Données!B118</f>
        <v>Chexbres</v>
      </c>
      <c r="C118" s="30">
        <f>Données!Z118</f>
        <v>2263</v>
      </c>
      <c r="D118" s="162">
        <f>Ecrêtage!E118</f>
        <v>49.05271848251256</v>
      </c>
      <c r="E118" s="162">
        <f t="shared" si="4"/>
        <v>0.9127153256190752</v>
      </c>
      <c r="F118" s="162">
        <f>+Données!X118</f>
        <v>67.5</v>
      </c>
      <c r="G118" s="271">
        <f t="shared" si="5"/>
        <v>-37643.277899689499</v>
      </c>
      <c r="H118" s="120">
        <f t="shared" si="6"/>
        <v>0.99949808337380008</v>
      </c>
      <c r="I118" s="41">
        <f t="shared" si="7"/>
        <v>-37624.384112646978</v>
      </c>
    </row>
    <row r="119" spans="1:9" x14ac:dyDescent="0.25">
      <c r="A119" s="37">
        <f>Données!A119</f>
        <v>5604</v>
      </c>
      <c r="B119" s="26" t="str">
        <f>Données!B119</f>
        <v>Forel (Lavaux)</v>
      </c>
      <c r="C119" s="30">
        <f>Données!Z119</f>
        <v>2088</v>
      </c>
      <c r="D119" s="162">
        <f>Ecrêtage!E119</f>
        <v>35.487302529290908</v>
      </c>
      <c r="E119" s="162">
        <f t="shared" si="4"/>
        <v>14.478131278840728</v>
      </c>
      <c r="F119" s="162">
        <f>+Données!X119</f>
        <v>69</v>
      </c>
      <c r="G119" s="271">
        <f t="shared" si="5"/>
        <v>-563191.19899338821</v>
      </c>
      <c r="H119" s="120">
        <f t="shared" si="6"/>
        <v>1.0217091518932178</v>
      </c>
      <c r="I119" s="41">
        <f t="shared" si="7"/>
        <v>-575417.60227725911</v>
      </c>
    </row>
    <row r="120" spans="1:9" x14ac:dyDescent="0.25">
      <c r="A120" s="37">
        <f>Données!A120</f>
        <v>5606</v>
      </c>
      <c r="B120" s="26" t="str">
        <f>Données!B120</f>
        <v>Lutry</v>
      </c>
      <c r="C120" s="30">
        <f>Données!Z120</f>
        <v>10750</v>
      </c>
      <c r="D120" s="162">
        <f>Ecrêtage!E120</f>
        <v>89.964789634551494</v>
      </c>
      <c r="E120" s="162">
        <f t="shared" si="4"/>
        <v>0</v>
      </c>
      <c r="F120" s="162">
        <f>+Données!X120</f>
        <v>54</v>
      </c>
      <c r="G120" s="271">
        <f t="shared" si="5"/>
        <v>0</v>
      </c>
      <c r="H120" s="120">
        <f t="shared" si="6"/>
        <v>0.79959846669904011</v>
      </c>
      <c r="I120" s="41">
        <f t="shared" si="7"/>
        <v>0</v>
      </c>
    </row>
    <row r="121" spans="1:9" x14ac:dyDescent="0.25">
      <c r="A121" s="37">
        <f>Données!A121</f>
        <v>5607</v>
      </c>
      <c r="B121" s="26" t="str">
        <f>Données!B121</f>
        <v>Puidoux</v>
      </c>
      <c r="C121" s="30">
        <f>Données!Z121</f>
        <v>2976</v>
      </c>
      <c r="D121" s="162">
        <f>Ecrêtage!E121</f>
        <v>45.962101133622028</v>
      </c>
      <c r="E121" s="162">
        <f t="shared" si="4"/>
        <v>4.0033326745096076</v>
      </c>
      <c r="F121" s="162">
        <f>+Données!X121</f>
        <v>68.5</v>
      </c>
      <c r="G121" s="271">
        <f t="shared" si="5"/>
        <v>-220347.91413760427</v>
      </c>
      <c r="H121" s="120">
        <f t="shared" si="6"/>
        <v>1.0143054623867453</v>
      </c>
      <c r="I121" s="41">
        <f t="shared" si="7"/>
        <v>-223500.09293529755</v>
      </c>
    </row>
    <row r="122" spans="1:9" x14ac:dyDescent="0.25">
      <c r="A122" s="37">
        <f>Données!A122</f>
        <v>5609</v>
      </c>
      <c r="B122" s="26" t="str">
        <f>Données!B122</f>
        <v>Rivaz</v>
      </c>
      <c r="C122" s="30">
        <f>Données!Z122</f>
        <v>329</v>
      </c>
      <c r="D122" s="162">
        <f>Ecrêtage!E122</f>
        <v>47.437280125502504</v>
      </c>
      <c r="E122" s="162">
        <f t="shared" si="4"/>
        <v>2.5281536826291315</v>
      </c>
      <c r="F122" s="162">
        <f>+Données!X122</f>
        <v>62</v>
      </c>
      <c r="G122" s="271">
        <f t="shared" si="5"/>
        <v>-13923.705280932638</v>
      </c>
      <c r="H122" s="120">
        <f t="shared" si="6"/>
        <v>0.91805749880260157</v>
      </c>
      <c r="I122" s="41">
        <f t="shared" si="7"/>
        <v>-12782.762044277591</v>
      </c>
    </row>
    <row r="123" spans="1:9" x14ac:dyDescent="0.25">
      <c r="A123" s="37">
        <f>Données!A123</f>
        <v>5610</v>
      </c>
      <c r="B123" s="26" t="str">
        <f>Données!B123</f>
        <v>St-Saphorin (Lavaux)</v>
      </c>
      <c r="C123" s="30">
        <f>Données!Z123</f>
        <v>389</v>
      </c>
      <c r="D123" s="162">
        <f>Ecrêtage!E123</f>
        <v>45.477512158688249</v>
      </c>
      <c r="E123" s="162">
        <f t="shared" si="4"/>
        <v>4.4879216494433862</v>
      </c>
      <c r="F123" s="162">
        <f>+Données!X123</f>
        <v>74</v>
      </c>
      <c r="G123" s="271">
        <f t="shared" si="5"/>
        <v>-34881.114402236875</v>
      </c>
      <c r="H123" s="120">
        <f t="shared" si="6"/>
        <v>1.0957460469579439</v>
      </c>
      <c r="I123" s="41">
        <f t="shared" si="7"/>
        <v>-38220.843219738861</v>
      </c>
    </row>
    <row r="124" spans="1:9" x14ac:dyDescent="0.25">
      <c r="A124" s="37">
        <f>Données!A124</f>
        <v>5611</v>
      </c>
      <c r="B124" s="26" t="str">
        <f>Données!B124</f>
        <v>Savigny</v>
      </c>
      <c r="C124" s="30">
        <f>Données!Z124</f>
        <v>3506</v>
      </c>
      <c r="D124" s="162">
        <f>Ecrêtage!E124</f>
        <v>44.865627178804594</v>
      </c>
      <c r="E124" s="162">
        <f t="shared" si="4"/>
        <v>5.0998066293270412</v>
      </c>
      <c r="F124" s="162">
        <f>+Données!X124</f>
        <v>69</v>
      </c>
      <c r="G124" s="271">
        <f t="shared" si="5"/>
        <v>-333102.94765029592</v>
      </c>
      <c r="H124" s="120">
        <f t="shared" si="6"/>
        <v>1.0217091518932178</v>
      </c>
      <c r="I124" s="41">
        <f t="shared" si="7"/>
        <v>-340334.33013691474</v>
      </c>
    </row>
    <row r="125" spans="1:9" x14ac:dyDescent="0.25">
      <c r="A125" s="37">
        <f>Données!A125</f>
        <v>5613</v>
      </c>
      <c r="B125" s="26" t="str">
        <f>Données!B125</f>
        <v>Bourg-en-Lavaux</v>
      </c>
      <c r="C125" s="30">
        <f>Données!Z125</f>
        <v>5465</v>
      </c>
      <c r="D125" s="162">
        <f>Ecrêtage!E125</f>
        <v>66.290050176273255</v>
      </c>
      <c r="E125" s="162">
        <f t="shared" si="4"/>
        <v>0</v>
      </c>
      <c r="F125" s="162">
        <f>+Données!X125</f>
        <v>62.5</v>
      </c>
      <c r="G125" s="271">
        <f t="shared" si="5"/>
        <v>0</v>
      </c>
      <c r="H125" s="120">
        <f t="shared" si="6"/>
        <v>0.9254611883090742</v>
      </c>
      <c r="I125" s="41">
        <f t="shared" si="7"/>
        <v>0</v>
      </c>
    </row>
    <row r="126" spans="1:9" x14ac:dyDescent="0.25">
      <c r="A126" s="37">
        <f>Données!A126</f>
        <v>5621</v>
      </c>
      <c r="B126" s="26" t="str">
        <f>Données!B126</f>
        <v>Aclens</v>
      </c>
      <c r="C126" s="30">
        <f>Données!Z126</f>
        <v>587</v>
      </c>
      <c r="D126" s="162">
        <f>Ecrêtage!E126</f>
        <v>53.28087445149967</v>
      </c>
      <c r="E126" s="162">
        <f t="shared" si="4"/>
        <v>0</v>
      </c>
      <c r="F126" s="162">
        <f>+Données!X126</f>
        <v>60</v>
      </c>
      <c r="G126" s="271">
        <f t="shared" si="5"/>
        <v>0</v>
      </c>
      <c r="H126" s="120">
        <f t="shared" si="6"/>
        <v>0.88844274077671115</v>
      </c>
      <c r="I126" s="41">
        <f t="shared" si="7"/>
        <v>0</v>
      </c>
    </row>
    <row r="127" spans="1:9" x14ac:dyDescent="0.25">
      <c r="A127" s="37">
        <f>Données!A127</f>
        <v>5622</v>
      </c>
      <c r="B127" s="26" t="str">
        <f>Données!B127</f>
        <v>Bremblens</v>
      </c>
      <c r="C127" s="30">
        <f>Données!Z127</f>
        <v>615</v>
      </c>
      <c r="D127" s="162">
        <f>Ecrêtage!E127</f>
        <v>48.204735533237688</v>
      </c>
      <c r="E127" s="162">
        <f t="shared" si="4"/>
        <v>1.7606982748939473</v>
      </c>
      <c r="F127" s="162">
        <f>+Données!X127</f>
        <v>68</v>
      </c>
      <c r="G127" s="271">
        <f t="shared" si="5"/>
        <v>-19880.748501137517</v>
      </c>
      <c r="H127" s="120">
        <f t="shared" si="6"/>
        <v>1.0069017728802727</v>
      </c>
      <c r="I127" s="41">
        <f t="shared" si="7"/>
        <v>-20017.960911982191</v>
      </c>
    </row>
    <row r="128" spans="1:9" x14ac:dyDescent="0.25">
      <c r="A128" s="37">
        <f>Données!A128</f>
        <v>5623</v>
      </c>
      <c r="B128" s="26" t="str">
        <f>Données!B128</f>
        <v>Buchillon</v>
      </c>
      <c r="C128" s="30">
        <f>Données!Z128</f>
        <v>686</v>
      </c>
      <c r="D128" s="162">
        <f>Ecrêtage!E128</f>
        <v>149.60559009867686</v>
      </c>
      <c r="E128" s="162">
        <f t="shared" si="4"/>
        <v>0</v>
      </c>
      <c r="F128" s="162">
        <f>+Données!X128</f>
        <v>52</v>
      </c>
      <c r="G128" s="271">
        <f t="shared" si="5"/>
        <v>0</v>
      </c>
      <c r="H128" s="120">
        <f t="shared" si="6"/>
        <v>0.76998370867314969</v>
      </c>
      <c r="I128" s="41">
        <f t="shared" si="7"/>
        <v>0</v>
      </c>
    </row>
    <row r="129" spans="1:9" x14ac:dyDescent="0.25">
      <c r="A129" s="37">
        <f>Données!A129</f>
        <v>5624</v>
      </c>
      <c r="B129" s="26" t="str">
        <f>Données!B129</f>
        <v>Bussigny</v>
      </c>
      <c r="C129" s="30">
        <f>Données!Z129</f>
        <v>11667</v>
      </c>
      <c r="D129" s="162">
        <f>Ecrêtage!E129</f>
        <v>38.627536360675414</v>
      </c>
      <c r="E129" s="162">
        <f t="shared" si="4"/>
        <v>11.337897447456221</v>
      </c>
      <c r="F129" s="162">
        <f>+Données!X129</f>
        <v>62.5</v>
      </c>
      <c r="G129" s="271">
        <f t="shared" si="5"/>
        <v>-2232212.3356410856</v>
      </c>
      <c r="H129" s="120">
        <f t="shared" si="6"/>
        <v>0.9254611883090742</v>
      </c>
      <c r="I129" s="41">
        <f t="shared" si="7"/>
        <v>-2065825.8807005731</v>
      </c>
    </row>
    <row r="130" spans="1:9" x14ac:dyDescent="0.25">
      <c r="A130" s="37">
        <f>Données!A130</f>
        <v>5627</v>
      </c>
      <c r="B130" s="26" t="str">
        <f>Données!B130</f>
        <v>Chavannes-près-Renens</v>
      </c>
      <c r="C130" s="30">
        <f>Données!Z130</f>
        <v>9771</v>
      </c>
      <c r="D130" s="162">
        <f>Ecrêtage!E130</f>
        <v>20.678182213550524</v>
      </c>
      <c r="E130" s="162">
        <f t="shared" si="4"/>
        <v>29.287251594581111</v>
      </c>
      <c r="F130" s="162">
        <f>+Données!X130</f>
        <v>77.5</v>
      </c>
      <c r="G130" s="271">
        <f t="shared" si="5"/>
        <v>-5988018.0117938947</v>
      </c>
      <c r="H130" s="120">
        <f t="shared" si="6"/>
        <v>1.1475718735032518</v>
      </c>
      <c r="I130" s="41">
        <f t="shared" si="7"/>
        <v>-6871681.0483655371</v>
      </c>
    </row>
    <row r="131" spans="1:9" x14ac:dyDescent="0.25">
      <c r="A131" s="37">
        <f>Données!A131</f>
        <v>5628</v>
      </c>
      <c r="B131" s="26" t="str">
        <f>Données!B131</f>
        <v>Chigny</v>
      </c>
      <c r="C131" s="30">
        <f>Données!Z131</f>
        <v>420</v>
      </c>
      <c r="D131" s="162">
        <f>Ecrêtage!E131</f>
        <v>75.633676651305677</v>
      </c>
      <c r="E131" s="162">
        <f t="shared" si="4"/>
        <v>0</v>
      </c>
      <c r="F131" s="162">
        <f>+Données!X131</f>
        <v>62</v>
      </c>
      <c r="G131" s="271">
        <f t="shared" si="5"/>
        <v>0</v>
      </c>
      <c r="H131" s="120">
        <f t="shared" si="6"/>
        <v>0.91805749880260157</v>
      </c>
      <c r="I131" s="41">
        <f t="shared" si="7"/>
        <v>0</v>
      </c>
    </row>
    <row r="132" spans="1:9" x14ac:dyDescent="0.25">
      <c r="A132" s="37">
        <f>Données!A132</f>
        <v>5629</v>
      </c>
      <c r="B132" s="26" t="str">
        <f>Données!B132</f>
        <v>Clarmont</v>
      </c>
      <c r="C132" s="30">
        <f>Données!Z132</f>
        <v>228</v>
      </c>
      <c r="D132" s="162">
        <f>Ecrêtage!E132</f>
        <v>35.213362573099424</v>
      </c>
      <c r="E132" s="162">
        <f t="shared" si="4"/>
        <v>14.752071235032211</v>
      </c>
      <c r="F132" s="162">
        <f>+Données!X132</f>
        <v>72</v>
      </c>
      <c r="G132" s="271">
        <f t="shared" si="5"/>
        <v>-65385.900376457976</v>
      </c>
      <c r="H132" s="120">
        <f t="shared" si="6"/>
        <v>1.0661312889320533</v>
      </c>
      <c r="I132" s="41">
        <f t="shared" si="7"/>
        <v>-69709.954246335968</v>
      </c>
    </row>
    <row r="133" spans="1:9" x14ac:dyDescent="0.25">
      <c r="A133" s="37">
        <f>Données!A133</f>
        <v>5631</v>
      </c>
      <c r="B133" s="26" t="str">
        <f>Données!B133</f>
        <v>Denens</v>
      </c>
      <c r="C133" s="30">
        <f>Données!Z133</f>
        <v>742</v>
      </c>
      <c r="D133" s="162">
        <f>Ecrêtage!E133</f>
        <v>63.150329670329668</v>
      </c>
      <c r="E133" s="162">
        <f t="shared" si="4"/>
        <v>0</v>
      </c>
      <c r="F133" s="162">
        <f>+Données!X133</f>
        <v>65</v>
      </c>
      <c r="G133" s="271">
        <f t="shared" si="5"/>
        <v>0</v>
      </c>
      <c r="H133" s="120">
        <f t="shared" si="6"/>
        <v>0.96247963584143714</v>
      </c>
      <c r="I133" s="41">
        <f t="shared" si="7"/>
        <v>0</v>
      </c>
    </row>
    <row r="134" spans="1:9" x14ac:dyDescent="0.25">
      <c r="A134" s="37">
        <f>Données!A134</f>
        <v>5632</v>
      </c>
      <c r="B134" s="26" t="str">
        <f>Données!B134</f>
        <v>Denges</v>
      </c>
      <c r="C134" s="30">
        <f>Données!Z134</f>
        <v>1837</v>
      </c>
      <c r="D134" s="162">
        <f>Ecrêtage!E134</f>
        <v>46.233641368289817</v>
      </c>
      <c r="E134" s="162">
        <f t="shared" si="4"/>
        <v>3.7317924398418185</v>
      </c>
      <c r="F134" s="162">
        <f>+Données!X134</f>
        <v>62</v>
      </c>
      <c r="G134" s="271">
        <f t="shared" si="5"/>
        <v>-114757.76739870291</v>
      </c>
      <c r="H134" s="120">
        <f t="shared" si="6"/>
        <v>0.91805749880260157</v>
      </c>
      <c r="I134" s="41">
        <f t="shared" si="7"/>
        <v>-105354.22890622393</v>
      </c>
    </row>
    <row r="135" spans="1:9" x14ac:dyDescent="0.25">
      <c r="A135" s="37">
        <f>Données!A135</f>
        <v>5633</v>
      </c>
      <c r="B135" s="26" t="str">
        <f>Données!B135</f>
        <v>Echandens</v>
      </c>
      <c r="C135" s="30">
        <f>Données!Z135</f>
        <v>3004</v>
      </c>
      <c r="D135" s="162">
        <f>Ecrêtage!E135</f>
        <v>50.871030361721573</v>
      </c>
      <c r="E135" s="162">
        <f t="shared" ref="E135:E198" si="8">IF($D$306-D135&lt;0,0,$D$306-D135)</f>
        <v>0</v>
      </c>
      <c r="F135" s="162">
        <f>+Données!X135</f>
        <v>60.5</v>
      </c>
      <c r="G135" s="271">
        <f t="shared" ref="G135:G198" si="9">-((C135*E135*F135)*$E$5)</f>
        <v>0</v>
      </c>
      <c r="H135" s="120">
        <f t="shared" ref="H135:H198" si="10">F135/$F$306</f>
        <v>0.89584643028318378</v>
      </c>
      <c r="I135" s="41">
        <f t="shared" ref="I135:I198" si="11">G135*H135</f>
        <v>0</v>
      </c>
    </row>
    <row r="136" spans="1:9" x14ac:dyDescent="0.25">
      <c r="A136" s="37">
        <f>Données!A136</f>
        <v>5634</v>
      </c>
      <c r="B136" s="26" t="str">
        <f>Données!B136</f>
        <v>Echichens</v>
      </c>
      <c r="C136" s="30">
        <f>Données!Z136</f>
        <v>3218</v>
      </c>
      <c r="D136" s="162">
        <f>Ecrêtage!E136</f>
        <v>53.547471467314537</v>
      </c>
      <c r="E136" s="162">
        <f t="shared" si="8"/>
        <v>0</v>
      </c>
      <c r="F136" s="162">
        <f>+Données!X136</f>
        <v>66</v>
      </c>
      <c r="G136" s="271">
        <f t="shared" si="9"/>
        <v>0</v>
      </c>
      <c r="H136" s="120">
        <f t="shared" si="10"/>
        <v>0.9772870148543823</v>
      </c>
      <c r="I136" s="41">
        <f t="shared" si="11"/>
        <v>0</v>
      </c>
    </row>
    <row r="137" spans="1:9" x14ac:dyDescent="0.25">
      <c r="A137" s="37">
        <f>Données!A137</f>
        <v>5635</v>
      </c>
      <c r="B137" s="26" t="str">
        <f>Données!B137</f>
        <v>Ecublens</v>
      </c>
      <c r="C137" s="30">
        <f>Données!Z137</f>
        <v>13391</v>
      </c>
      <c r="D137" s="162">
        <f>Ecrêtage!E137</f>
        <v>40.690200753740072</v>
      </c>
      <c r="E137" s="162">
        <f t="shared" si="8"/>
        <v>9.2752330543915633</v>
      </c>
      <c r="F137" s="162">
        <f>+Données!X137</f>
        <v>62.5</v>
      </c>
      <c r="G137" s="271">
        <f t="shared" si="9"/>
        <v>-2095953.3984041566</v>
      </c>
      <c r="H137" s="120">
        <f t="shared" si="10"/>
        <v>0.9254611883090742</v>
      </c>
      <c r="I137" s="41">
        <f t="shared" si="11"/>
        <v>-1939723.5227275533</v>
      </c>
    </row>
    <row r="138" spans="1:9" x14ac:dyDescent="0.25">
      <c r="A138" s="37">
        <f>Données!A138</f>
        <v>5636</v>
      </c>
      <c r="B138" s="26" t="str">
        <f>Données!B138</f>
        <v>Etoy</v>
      </c>
      <c r="C138" s="30">
        <f>Données!Z138</f>
        <v>2966</v>
      </c>
      <c r="D138" s="162">
        <f>Ecrêtage!E138</f>
        <v>72.319443301865576</v>
      </c>
      <c r="E138" s="162">
        <f t="shared" si="8"/>
        <v>0</v>
      </c>
      <c r="F138" s="162">
        <f>+Données!X138</f>
        <v>60</v>
      </c>
      <c r="G138" s="271">
        <f t="shared" si="9"/>
        <v>0</v>
      </c>
      <c r="H138" s="120">
        <f t="shared" si="10"/>
        <v>0.88844274077671115</v>
      </c>
      <c r="I138" s="41">
        <f t="shared" si="11"/>
        <v>0</v>
      </c>
    </row>
    <row r="139" spans="1:9" x14ac:dyDescent="0.25">
      <c r="A139" s="37">
        <f>Données!A139</f>
        <v>5637</v>
      </c>
      <c r="B139" s="26" t="str">
        <f>Données!B139</f>
        <v>Lavigny</v>
      </c>
      <c r="C139" s="30">
        <f>Données!Z139</f>
        <v>1100</v>
      </c>
      <c r="D139" s="162">
        <f>Ecrêtage!E139</f>
        <v>34.03393449564134</v>
      </c>
      <c r="E139" s="162">
        <f t="shared" si="8"/>
        <v>15.931499312490295</v>
      </c>
      <c r="F139" s="162">
        <f>+Données!X139</f>
        <v>73</v>
      </c>
      <c r="G139" s="271">
        <f t="shared" si="9"/>
        <v>-345410.83659410215</v>
      </c>
      <c r="H139" s="120">
        <f t="shared" si="10"/>
        <v>1.0809386679449986</v>
      </c>
      <c r="I139" s="41">
        <f t="shared" si="11"/>
        <v>-373367.92960179638</v>
      </c>
    </row>
    <row r="140" spans="1:9" x14ac:dyDescent="0.25">
      <c r="A140" s="37">
        <f>Données!A140</f>
        <v>5638</v>
      </c>
      <c r="B140" s="26" t="str">
        <f>Données!B140</f>
        <v>Lonay</v>
      </c>
      <c r="C140" s="30">
        <f>Données!Z140</f>
        <v>2733</v>
      </c>
      <c r="D140" s="162">
        <f>Ecrêtage!E140</f>
        <v>57.215789708279281</v>
      </c>
      <c r="E140" s="162">
        <f t="shared" si="8"/>
        <v>0</v>
      </c>
      <c r="F140" s="162">
        <f>+Données!X140</f>
        <v>55</v>
      </c>
      <c r="G140" s="271">
        <f t="shared" si="9"/>
        <v>0</v>
      </c>
      <c r="H140" s="120">
        <f t="shared" si="10"/>
        <v>0.81440584571198527</v>
      </c>
      <c r="I140" s="41">
        <f t="shared" si="11"/>
        <v>0</v>
      </c>
    </row>
    <row r="141" spans="1:9" x14ac:dyDescent="0.25">
      <c r="A141" s="37">
        <f>Données!A141</f>
        <v>5639</v>
      </c>
      <c r="B141" s="26" t="str">
        <f>Données!B141</f>
        <v>Lully</v>
      </c>
      <c r="C141" s="30">
        <f>Données!Z141</f>
        <v>838</v>
      </c>
      <c r="D141" s="162">
        <f>Ecrêtage!E141</f>
        <v>66.622824445400838</v>
      </c>
      <c r="E141" s="162">
        <f t="shared" si="8"/>
        <v>0</v>
      </c>
      <c r="F141" s="162">
        <f>+Données!X141</f>
        <v>61</v>
      </c>
      <c r="G141" s="271">
        <f t="shared" si="9"/>
        <v>0</v>
      </c>
      <c r="H141" s="120">
        <f t="shared" si="10"/>
        <v>0.90325011978965641</v>
      </c>
      <c r="I141" s="41">
        <f t="shared" si="11"/>
        <v>0</v>
      </c>
    </row>
    <row r="142" spans="1:9" x14ac:dyDescent="0.25">
      <c r="A142" s="37">
        <f>Données!A142</f>
        <v>5640</v>
      </c>
      <c r="B142" s="26" t="str">
        <f>Données!B142</f>
        <v>Lussy-sur-Morges</v>
      </c>
      <c r="C142" s="30">
        <f>Données!Z142</f>
        <v>719</v>
      </c>
      <c r="D142" s="162">
        <f>Ecrêtage!E142</f>
        <v>88.043309248391509</v>
      </c>
      <c r="E142" s="162">
        <f t="shared" si="8"/>
        <v>0</v>
      </c>
      <c r="F142" s="162">
        <f>+Données!X142</f>
        <v>61.5</v>
      </c>
      <c r="G142" s="271">
        <f t="shared" si="9"/>
        <v>0</v>
      </c>
      <c r="H142" s="120">
        <f t="shared" si="10"/>
        <v>0.91065380929612894</v>
      </c>
      <c r="I142" s="41">
        <f t="shared" si="11"/>
        <v>0</v>
      </c>
    </row>
    <row r="143" spans="1:9" x14ac:dyDescent="0.25">
      <c r="A143" s="37">
        <f>Données!A143</f>
        <v>5642</v>
      </c>
      <c r="B143" s="26" t="str">
        <f>Données!B143</f>
        <v>Morges</v>
      </c>
      <c r="C143" s="30">
        <f>Données!Z143</f>
        <v>17715</v>
      </c>
      <c r="D143" s="162">
        <f>Ecrêtage!E143</f>
        <v>59.948603451834806</v>
      </c>
      <c r="E143" s="162">
        <f t="shared" si="8"/>
        <v>0</v>
      </c>
      <c r="F143" s="162">
        <f>+Données!X143</f>
        <v>67</v>
      </c>
      <c r="G143" s="271">
        <f t="shared" si="9"/>
        <v>0</v>
      </c>
      <c r="H143" s="120">
        <f t="shared" si="10"/>
        <v>0.99209439386732745</v>
      </c>
      <c r="I143" s="41">
        <f t="shared" si="11"/>
        <v>0</v>
      </c>
    </row>
    <row r="144" spans="1:9" x14ac:dyDescent="0.25">
      <c r="A144" s="37">
        <f>Données!A144</f>
        <v>5643</v>
      </c>
      <c r="B144" s="26" t="str">
        <f>Données!B144</f>
        <v>Préverenges</v>
      </c>
      <c r="C144" s="30">
        <f>Données!Z144</f>
        <v>5273</v>
      </c>
      <c r="D144" s="162">
        <f>Ecrêtage!E144</f>
        <v>48.29952471954369</v>
      </c>
      <c r="E144" s="162">
        <f t="shared" si="8"/>
        <v>1.6659090885879451</v>
      </c>
      <c r="F144" s="162">
        <f>+Données!X144</f>
        <v>65</v>
      </c>
      <c r="G144" s="271">
        <f t="shared" si="9"/>
        <v>-154165.14285338033</v>
      </c>
      <c r="H144" s="120">
        <f t="shared" si="10"/>
        <v>0.96247963584143714</v>
      </c>
      <c r="I144" s="41">
        <f t="shared" si="11"/>
        <v>-148380.81055296463</v>
      </c>
    </row>
    <row r="145" spans="1:9" x14ac:dyDescent="0.25">
      <c r="A145" s="37">
        <f>Données!A145</f>
        <v>5645</v>
      </c>
      <c r="B145" s="26" t="str">
        <f>Données!B145</f>
        <v>Romanel-sur-Morges</v>
      </c>
      <c r="C145" s="30">
        <f>Données!Z145</f>
        <v>454</v>
      </c>
      <c r="D145" s="162">
        <f>Ecrêtage!E145</f>
        <v>62.353997010698563</v>
      </c>
      <c r="E145" s="162">
        <f t="shared" si="8"/>
        <v>0</v>
      </c>
      <c r="F145" s="162">
        <f>+Données!X145</f>
        <v>56</v>
      </c>
      <c r="G145" s="271">
        <f t="shared" si="9"/>
        <v>0</v>
      </c>
      <c r="H145" s="120">
        <f t="shared" si="10"/>
        <v>0.82921322472493042</v>
      </c>
      <c r="I145" s="41">
        <f t="shared" si="11"/>
        <v>0</v>
      </c>
    </row>
    <row r="146" spans="1:9" x14ac:dyDescent="0.25">
      <c r="A146" s="37">
        <f>Données!A146</f>
        <v>5646</v>
      </c>
      <c r="B146" s="26" t="str">
        <f>Données!B146</f>
        <v>Saint-Prex</v>
      </c>
      <c r="C146" s="30">
        <f>Données!Z146</f>
        <v>5868</v>
      </c>
      <c r="D146" s="162">
        <f>Ecrêtage!E146</f>
        <v>79.379462212940837</v>
      </c>
      <c r="E146" s="162">
        <f t="shared" si="8"/>
        <v>0</v>
      </c>
      <c r="F146" s="162">
        <f>+Données!X146</f>
        <v>59</v>
      </c>
      <c r="G146" s="271">
        <f t="shared" si="9"/>
        <v>0</v>
      </c>
      <c r="H146" s="120">
        <f t="shared" si="10"/>
        <v>0.87363536176376599</v>
      </c>
      <c r="I146" s="41">
        <f t="shared" si="11"/>
        <v>0</v>
      </c>
    </row>
    <row r="147" spans="1:9" x14ac:dyDescent="0.25">
      <c r="A147" s="37">
        <f>Données!A147</f>
        <v>5648</v>
      </c>
      <c r="B147" s="26" t="str">
        <f>Données!B147</f>
        <v>Saint-Sulpice</v>
      </c>
      <c r="C147" s="30">
        <f>Données!Z147</f>
        <v>5157</v>
      </c>
      <c r="D147" s="162">
        <f>Ecrêtage!E147</f>
        <v>82.389168429495655</v>
      </c>
      <c r="E147" s="162">
        <f t="shared" si="8"/>
        <v>0</v>
      </c>
      <c r="F147" s="162">
        <f>+Données!X147</f>
        <v>55</v>
      </c>
      <c r="G147" s="271">
        <f t="shared" si="9"/>
        <v>0</v>
      </c>
      <c r="H147" s="120">
        <f t="shared" si="10"/>
        <v>0.81440584571198527</v>
      </c>
      <c r="I147" s="41">
        <f t="shared" si="11"/>
        <v>0</v>
      </c>
    </row>
    <row r="148" spans="1:9" x14ac:dyDescent="0.25">
      <c r="A148" s="37">
        <f>Données!A148</f>
        <v>5649</v>
      </c>
      <c r="B148" s="26" t="str">
        <f>Données!B148</f>
        <v>Tolochenaz</v>
      </c>
      <c r="C148" s="30">
        <f>Données!Z148</f>
        <v>1934</v>
      </c>
      <c r="D148" s="162">
        <f>Ecrêtage!E148</f>
        <v>223.35906783221304</v>
      </c>
      <c r="E148" s="162">
        <f t="shared" si="8"/>
        <v>0</v>
      </c>
      <c r="F148" s="162">
        <f>+Données!X148</f>
        <v>64</v>
      </c>
      <c r="G148" s="271">
        <f t="shared" si="9"/>
        <v>0</v>
      </c>
      <c r="H148" s="120">
        <f t="shared" si="10"/>
        <v>0.94767225682849188</v>
      </c>
      <c r="I148" s="41">
        <f t="shared" si="11"/>
        <v>0</v>
      </c>
    </row>
    <row r="149" spans="1:9" x14ac:dyDescent="0.25">
      <c r="A149" s="37">
        <f>Données!A149</f>
        <v>5650</v>
      </c>
      <c r="B149" s="26" t="str">
        <f>Données!B149</f>
        <v>Vaux-sur-Morges</v>
      </c>
      <c r="C149" s="30">
        <f>Données!Z149</f>
        <v>185</v>
      </c>
      <c r="D149" s="162">
        <f>Ecrêtage!E149</f>
        <v>629.9840714285715</v>
      </c>
      <c r="E149" s="162">
        <f t="shared" si="8"/>
        <v>0</v>
      </c>
      <c r="F149" s="162">
        <f>+Données!X149</f>
        <v>56</v>
      </c>
      <c r="G149" s="271">
        <f t="shared" si="9"/>
        <v>0</v>
      </c>
      <c r="H149" s="120">
        <f t="shared" si="10"/>
        <v>0.82921322472493042</v>
      </c>
      <c r="I149" s="41">
        <f t="shared" si="11"/>
        <v>0</v>
      </c>
    </row>
    <row r="150" spans="1:9" x14ac:dyDescent="0.25">
      <c r="A150" s="37">
        <f>Données!A150</f>
        <v>5651</v>
      </c>
      <c r="B150" s="26" t="str">
        <f>Données!B150</f>
        <v>Villars-Sainte-Croix</v>
      </c>
      <c r="C150" s="30">
        <f>Données!Z150</f>
        <v>955</v>
      </c>
      <c r="D150" s="162">
        <f>Ecrêtage!E150</f>
        <v>65.639599671152268</v>
      </c>
      <c r="E150" s="162">
        <f t="shared" si="8"/>
        <v>0</v>
      </c>
      <c r="F150" s="162">
        <f>+Données!X150</f>
        <v>60.5</v>
      </c>
      <c r="G150" s="271">
        <f t="shared" si="9"/>
        <v>0</v>
      </c>
      <c r="H150" s="120">
        <f t="shared" si="10"/>
        <v>0.89584643028318378</v>
      </c>
      <c r="I150" s="41">
        <f t="shared" si="11"/>
        <v>0</v>
      </c>
    </row>
    <row r="151" spans="1:9" x14ac:dyDescent="0.25">
      <c r="A151" s="37">
        <f>Données!A151</f>
        <v>5652</v>
      </c>
      <c r="B151" s="26" t="str">
        <f>Données!B151</f>
        <v>Villars-sous-Yens</v>
      </c>
      <c r="C151" s="30">
        <f>Données!Z151</f>
        <v>602</v>
      </c>
      <c r="D151" s="162">
        <f>Ecrêtage!E151</f>
        <v>45.41102324084882</v>
      </c>
      <c r="E151" s="162">
        <f t="shared" si="8"/>
        <v>4.5544105672828152</v>
      </c>
      <c r="F151" s="162">
        <f>+Données!X151</f>
        <v>74</v>
      </c>
      <c r="G151" s="271">
        <f t="shared" si="9"/>
        <v>-54780.268126855015</v>
      </c>
      <c r="H151" s="120">
        <f t="shared" si="10"/>
        <v>1.0957460469579439</v>
      </c>
      <c r="I151" s="41">
        <f t="shared" si="11"/>
        <v>-60025.26225129763</v>
      </c>
    </row>
    <row r="152" spans="1:9" x14ac:dyDescent="0.25">
      <c r="A152" s="37">
        <f>Données!A152</f>
        <v>5653</v>
      </c>
      <c r="B152" s="26" t="str">
        <f>Données!B152</f>
        <v>Vufflens-le-Château</v>
      </c>
      <c r="C152" s="30">
        <f>Données!Z152</f>
        <v>838</v>
      </c>
      <c r="D152" s="162">
        <f>Ecrêtage!E152</f>
        <v>90.963841002781137</v>
      </c>
      <c r="E152" s="162">
        <f t="shared" si="8"/>
        <v>0</v>
      </c>
      <c r="F152" s="162">
        <f>+Données!X152</f>
        <v>60.5</v>
      </c>
      <c r="G152" s="271">
        <f t="shared" si="9"/>
        <v>0</v>
      </c>
      <c r="H152" s="120">
        <f t="shared" si="10"/>
        <v>0.89584643028318378</v>
      </c>
      <c r="I152" s="41">
        <f t="shared" si="11"/>
        <v>0</v>
      </c>
    </row>
    <row r="153" spans="1:9" x14ac:dyDescent="0.25">
      <c r="A153" s="37">
        <f>Données!A153</f>
        <v>5654</v>
      </c>
      <c r="B153" s="26" t="str">
        <f>Données!B153</f>
        <v>Vullierens</v>
      </c>
      <c r="C153" s="30">
        <f>Données!Z153</f>
        <v>548</v>
      </c>
      <c r="D153" s="162">
        <f>Ecrêtage!E153</f>
        <v>42.107327362658481</v>
      </c>
      <c r="E153" s="162">
        <f t="shared" si="8"/>
        <v>7.8581064454731546</v>
      </c>
      <c r="F153" s="162">
        <f>+Données!X153</f>
        <v>76</v>
      </c>
      <c r="G153" s="271">
        <f t="shared" si="9"/>
        <v>-88364.092655087821</v>
      </c>
      <c r="H153" s="120">
        <f t="shared" si="10"/>
        <v>1.1253608049838342</v>
      </c>
      <c r="I153" s="41">
        <f t="shared" si="11"/>
        <v>-99441.486441995745</v>
      </c>
    </row>
    <row r="154" spans="1:9" x14ac:dyDescent="0.25">
      <c r="A154" s="37">
        <f>Données!A154</f>
        <v>5655</v>
      </c>
      <c r="B154" s="26" t="str">
        <f>Données!B154</f>
        <v>Yens</v>
      </c>
      <c r="C154" s="30">
        <f>Données!Z154</f>
        <v>1502</v>
      </c>
      <c r="D154" s="162">
        <f>Ecrêtage!E154</f>
        <v>66.531948069241011</v>
      </c>
      <c r="E154" s="162">
        <f t="shared" si="8"/>
        <v>0</v>
      </c>
      <c r="F154" s="162">
        <f>+Données!X154</f>
        <v>70</v>
      </c>
      <c r="G154" s="271">
        <f t="shared" si="9"/>
        <v>0</v>
      </c>
      <c r="H154" s="120">
        <f t="shared" si="10"/>
        <v>1.036516530906163</v>
      </c>
      <c r="I154" s="41">
        <f t="shared" si="11"/>
        <v>0</v>
      </c>
    </row>
    <row r="155" spans="1:9" x14ac:dyDescent="0.25">
      <c r="A155" s="37">
        <f>Données!A155</f>
        <v>5656</v>
      </c>
      <c r="B155" s="26" t="str">
        <f>Données!B155</f>
        <v>Hautemorges</v>
      </c>
      <c r="C155" s="30">
        <f>Données!Z155</f>
        <v>4387</v>
      </c>
      <c r="D155" s="162">
        <f>Ecrêtage!E155</f>
        <v>39.632946894955332</v>
      </c>
      <c r="E155" s="162">
        <f t="shared" si="8"/>
        <v>10.332486913176304</v>
      </c>
      <c r="F155" s="162">
        <f>+Données!X155</f>
        <v>71</v>
      </c>
      <c r="G155" s="271">
        <f t="shared" si="9"/>
        <v>-868949.64708896214</v>
      </c>
      <c r="H155" s="120">
        <f t="shared" si="10"/>
        <v>1.0513239099191083</v>
      </c>
      <c r="I155" s="41">
        <f t="shared" si="11"/>
        <v>-913547.54050039698</v>
      </c>
    </row>
    <row r="156" spans="1:9" x14ac:dyDescent="0.25">
      <c r="A156" s="37">
        <f>Données!A156</f>
        <v>5661</v>
      </c>
      <c r="B156" s="26" t="str">
        <f>Données!B156</f>
        <v>Boulens</v>
      </c>
      <c r="C156" s="30">
        <f>Données!Z156</f>
        <v>368</v>
      </c>
      <c r="D156" s="162">
        <f>Ecrêtage!E156</f>
        <v>27.366411143204619</v>
      </c>
      <c r="E156" s="162">
        <f t="shared" si="8"/>
        <v>22.599022664927016</v>
      </c>
      <c r="F156" s="162">
        <f>+Données!X156</f>
        <v>71.5</v>
      </c>
      <c r="G156" s="271">
        <f t="shared" si="9"/>
        <v>-160548.8807770811</v>
      </c>
      <c r="H156" s="120">
        <f t="shared" si="10"/>
        <v>1.0587275994255809</v>
      </c>
      <c r="I156" s="41">
        <f t="shared" si="11"/>
        <v>-169977.53113558286</v>
      </c>
    </row>
    <row r="157" spans="1:9" x14ac:dyDescent="0.25">
      <c r="A157" s="37">
        <f>Données!A157</f>
        <v>5663</v>
      </c>
      <c r="B157" s="26" t="str">
        <f>Données!B157</f>
        <v>Bussy-sur-Moudon</v>
      </c>
      <c r="C157" s="30">
        <f>Données!Z157</f>
        <v>262</v>
      </c>
      <c r="D157" s="162">
        <f>Ecrêtage!E157</f>
        <v>22.314904944814515</v>
      </c>
      <c r="E157" s="162">
        <f t="shared" si="8"/>
        <v>27.65052886331712</v>
      </c>
      <c r="F157" s="162">
        <f>+Données!X157</f>
        <v>78.5</v>
      </c>
      <c r="G157" s="271">
        <f t="shared" si="9"/>
        <v>-153545.87532559768</v>
      </c>
      <c r="H157" s="120">
        <f t="shared" si="10"/>
        <v>1.1623792525161971</v>
      </c>
      <c r="I157" s="41">
        <f t="shared" si="11"/>
        <v>-178478.53978791341</v>
      </c>
    </row>
    <row r="158" spans="1:9" x14ac:dyDescent="0.25">
      <c r="A158" s="37">
        <f>Données!A158</f>
        <v>5665</v>
      </c>
      <c r="B158" s="26" t="str">
        <f>Données!B158</f>
        <v>Chavannes-sur-Moudon</v>
      </c>
      <c r="C158" s="30">
        <f>Données!Z158</f>
        <v>229</v>
      </c>
      <c r="D158" s="162">
        <f>Ecrêtage!E158</f>
        <v>28.615756706175922</v>
      </c>
      <c r="E158" s="162">
        <f t="shared" si="8"/>
        <v>21.349677101955713</v>
      </c>
      <c r="F158" s="162">
        <f>+Données!X158</f>
        <v>70</v>
      </c>
      <c r="G158" s="271">
        <f t="shared" si="9"/>
        <v>-92403.537464974521</v>
      </c>
      <c r="H158" s="120">
        <f t="shared" si="10"/>
        <v>1.036516530906163</v>
      </c>
      <c r="I158" s="41">
        <f t="shared" si="11"/>
        <v>-95777.794096653059</v>
      </c>
    </row>
    <row r="159" spans="1:9" x14ac:dyDescent="0.25">
      <c r="A159" s="37">
        <f>Données!A159</f>
        <v>5669</v>
      </c>
      <c r="B159" s="26" t="str">
        <f>Données!B159</f>
        <v>Curtilles</v>
      </c>
      <c r="C159" s="30">
        <f>Données!Z159</f>
        <v>308</v>
      </c>
      <c r="D159" s="162">
        <f>Ecrêtage!E159</f>
        <v>31.134214997331441</v>
      </c>
      <c r="E159" s="162">
        <f t="shared" si="8"/>
        <v>18.831218810800195</v>
      </c>
      <c r="F159" s="162">
        <f>+Données!X159</f>
        <v>73</v>
      </c>
      <c r="G159" s="271">
        <f t="shared" si="9"/>
        <v>-114318.30341034856</v>
      </c>
      <c r="H159" s="120">
        <f t="shared" si="10"/>
        <v>1.0809386679449986</v>
      </c>
      <c r="I159" s="41">
        <f t="shared" si="11"/>
        <v>-123571.07461011436</v>
      </c>
    </row>
    <row r="160" spans="1:9" x14ac:dyDescent="0.25">
      <c r="A160" s="37">
        <f>Données!A160</f>
        <v>5671</v>
      </c>
      <c r="B160" s="26" t="str">
        <f>Données!B160</f>
        <v>Dompierre</v>
      </c>
      <c r="C160" s="30">
        <f>Données!Z160</f>
        <v>240</v>
      </c>
      <c r="D160" s="162">
        <f>Ecrêtage!E160</f>
        <v>25.321376602564101</v>
      </c>
      <c r="E160" s="162">
        <f t="shared" si="8"/>
        <v>24.644057205567535</v>
      </c>
      <c r="F160" s="162">
        <f>+Données!X160</f>
        <v>78</v>
      </c>
      <c r="G160" s="271">
        <f t="shared" si="9"/>
        <v>-124560.92273982055</v>
      </c>
      <c r="H160" s="120">
        <f t="shared" si="10"/>
        <v>1.1549755630097245</v>
      </c>
      <c r="I160" s="41">
        <f t="shared" si="11"/>
        <v>-143864.82187043503</v>
      </c>
    </row>
    <row r="161" spans="1:9" x14ac:dyDescent="0.25">
      <c r="A161" s="37">
        <f>Données!A161</f>
        <v>5673</v>
      </c>
      <c r="B161" s="26" t="str">
        <f>Données!B161</f>
        <v>Hermenches</v>
      </c>
      <c r="C161" s="30">
        <f>Données!Z161</f>
        <v>373</v>
      </c>
      <c r="D161" s="162">
        <f>Ecrêtage!E161</f>
        <v>26.86821031898014</v>
      </c>
      <c r="E161" s="162">
        <f t="shared" si="8"/>
        <v>23.097223489151496</v>
      </c>
      <c r="F161" s="162">
        <f>+Données!X161</f>
        <v>73.5</v>
      </c>
      <c r="G161" s="271">
        <f t="shared" si="9"/>
        <v>-170969.92125304489</v>
      </c>
      <c r="H161" s="120">
        <f t="shared" si="10"/>
        <v>1.0883423574514712</v>
      </c>
      <c r="I161" s="41">
        <f t="shared" si="11"/>
        <v>-186073.80714983126</v>
      </c>
    </row>
    <row r="162" spans="1:9" x14ac:dyDescent="0.25">
      <c r="A162" s="37">
        <f>Données!A162</f>
        <v>5674</v>
      </c>
      <c r="B162" s="26" t="str">
        <f>Données!B162</f>
        <v>Lovatens</v>
      </c>
      <c r="C162" s="30">
        <f>Données!Z162</f>
        <v>146</v>
      </c>
      <c r="D162" s="162">
        <f>Ecrêtage!E162</f>
        <v>28.703416046966726</v>
      </c>
      <c r="E162" s="162">
        <f t="shared" si="8"/>
        <v>21.262017761164909</v>
      </c>
      <c r="F162" s="162">
        <f>+Données!X162</f>
        <v>75</v>
      </c>
      <c r="G162" s="271">
        <f t="shared" si="9"/>
        <v>-62861.155510884055</v>
      </c>
      <c r="H162" s="120">
        <f t="shared" si="10"/>
        <v>1.1105534259708889</v>
      </c>
      <c r="I162" s="41">
        <f t="shared" si="11"/>
        <v>-69810.671613101105</v>
      </c>
    </row>
    <row r="163" spans="1:9" x14ac:dyDescent="0.25">
      <c r="A163" s="37">
        <f>Données!A163</f>
        <v>5675</v>
      </c>
      <c r="B163" s="26" t="str">
        <f>Données!B163</f>
        <v>Lucens</v>
      </c>
      <c r="C163" s="30">
        <f>Données!Z163</f>
        <v>4734</v>
      </c>
      <c r="D163" s="162">
        <f>Ecrêtage!E163</f>
        <v>20.325157433679738</v>
      </c>
      <c r="E163" s="162">
        <f t="shared" si="8"/>
        <v>29.640276374451897</v>
      </c>
      <c r="F163" s="162">
        <f>+Données!X163</f>
        <v>69.5</v>
      </c>
      <c r="G163" s="271">
        <f t="shared" si="9"/>
        <v>-2633049.7877126364</v>
      </c>
      <c r="H163" s="120">
        <f t="shared" si="10"/>
        <v>1.0291128413996904</v>
      </c>
      <c r="I163" s="41">
        <f t="shared" si="11"/>
        <v>-2709705.348579803</v>
      </c>
    </row>
    <row r="164" spans="1:9" x14ac:dyDescent="0.25">
      <c r="A164" s="37">
        <f>Données!A164</f>
        <v>5678</v>
      </c>
      <c r="B164" s="26" t="str">
        <f>Données!B164</f>
        <v>Moudon</v>
      </c>
      <c r="C164" s="30">
        <f>Données!Z164</f>
        <v>6651</v>
      </c>
      <c r="D164" s="162">
        <f>Ecrêtage!E164</f>
        <v>21.727152214600867</v>
      </c>
      <c r="E164" s="162">
        <f t="shared" si="8"/>
        <v>28.238281593530768</v>
      </c>
      <c r="F164" s="162">
        <f>+Données!X164</f>
        <v>72.5</v>
      </c>
      <c r="G164" s="271">
        <f t="shared" si="9"/>
        <v>-3676435.772948069</v>
      </c>
      <c r="H164" s="120">
        <f t="shared" si="10"/>
        <v>1.073534978438526</v>
      </c>
      <c r="I164" s="41">
        <f t="shared" si="11"/>
        <v>-3946782.3982424308</v>
      </c>
    </row>
    <row r="165" spans="1:9" x14ac:dyDescent="0.25">
      <c r="A165" s="37">
        <f>Données!A165</f>
        <v>5680</v>
      </c>
      <c r="B165" s="26" t="str">
        <f>Données!B165</f>
        <v>Ogens</v>
      </c>
      <c r="C165" s="30">
        <f>Données!Z165</f>
        <v>341</v>
      </c>
      <c r="D165" s="162">
        <f>Ecrêtage!E165</f>
        <v>26.653843020778506</v>
      </c>
      <c r="E165" s="162">
        <f t="shared" si="8"/>
        <v>23.311590787353129</v>
      </c>
      <c r="F165" s="162">
        <f>+Données!X165</f>
        <v>78</v>
      </c>
      <c r="G165" s="271">
        <f t="shared" si="9"/>
        <v>-167411.25677574505</v>
      </c>
      <c r="H165" s="120">
        <f t="shared" si="10"/>
        <v>1.1549755630097245</v>
      </c>
      <c r="I165" s="41">
        <f t="shared" si="11"/>
        <v>-193355.91054873168</v>
      </c>
    </row>
    <row r="166" spans="1:9" x14ac:dyDescent="0.25">
      <c r="A166" s="37">
        <f>Données!A166</f>
        <v>5683</v>
      </c>
      <c r="B166" s="26" t="str">
        <f>Données!B166</f>
        <v>Prévonloup</v>
      </c>
      <c r="C166" s="30">
        <f>Données!Z166</f>
        <v>231</v>
      </c>
      <c r="D166" s="162">
        <f>Ecrêtage!E166</f>
        <v>14.679431556948801</v>
      </c>
      <c r="E166" s="162">
        <f t="shared" si="8"/>
        <v>35.286002251182836</v>
      </c>
      <c r="F166" s="162">
        <f>+Données!X166</f>
        <v>72.5</v>
      </c>
      <c r="G166" s="271">
        <f t="shared" si="9"/>
        <v>-159557.12712945484</v>
      </c>
      <c r="H166" s="120">
        <f t="shared" si="10"/>
        <v>1.073534978438526</v>
      </c>
      <c r="I166" s="41">
        <f t="shared" si="11"/>
        <v>-171290.15703263244</v>
      </c>
    </row>
    <row r="167" spans="1:9" x14ac:dyDescent="0.25">
      <c r="A167" s="37">
        <f>Données!A167</f>
        <v>5684</v>
      </c>
      <c r="B167" s="26" t="str">
        <f>Données!B167</f>
        <v>Rossenges</v>
      </c>
      <c r="C167" s="30">
        <f>Données!Z167</f>
        <v>90</v>
      </c>
      <c r="D167" s="162">
        <f>Ecrêtage!E167</f>
        <v>112.19340427350427</v>
      </c>
      <c r="E167" s="162">
        <f t="shared" si="8"/>
        <v>0</v>
      </c>
      <c r="F167" s="162">
        <f>+Données!X167</f>
        <v>65</v>
      </c>
      <c r="G167" s="271">
        <f t="shared" si="9"/>
        <v>0</v>
      </c>
      <c r="H167" s="120">
        <f t="shared" si="10"/>
        <v>0.96247963584143714</v>
      </c>
      <c r="I167" s="41">
        <f t="shared" si="11"/>
        <v>0</v>
      </c>
    </row>
    <row r="168" spans="1:9" x14ac:dyDescent="0.25">
      <c r="A168" s="37">
        <f>Données!A168</f>
        <v>5688</v>
      </c>
      <c r="B168" s="26" t="str">
        <f>Données!B168</f>
        <v>Syens</v>
      </c>
      <c r="C168" s="30">
        <f>Données!Z168</f>
        <v>151</v>
      </c>
      <c r="D168" s="162">
        <f>Ecrêtage!E168</f>
        <v>34.167159449821703</v>
      </c>
      <c r="E168" s="162">
        <f t="shared" si="8"/>
        <v>15.798274358309932</v>
      </c>
      <c r="F168" s="162">
        <f>+Données!X168</f>
        <v>65</v>
      </c>
      <c r="G168" s="271">
        <f t="shared" si="9"/>
        <v>-41866.21696323924</v>
      </c>
      <c r="H168" s="120">
        <f t="shared" si="10"/>
        <v>0.96247963584143714</v>
      </c>
      <c r="I168" s="41">
        <f t="shared" si="11"/>
        <v>-40295.381256837099</v>
      </c>
    </row>
    <row r="169" spans="1:9" x14ac:dyDescent="0.25">
      <c r="A169" s="37">
        <f>Données!A169</f>
        <v>5690</v>
      </c>
      <c r="B169" s="26" t="str">
        <f>Données!B169</f>
        <v>Villars-le-Comte</v>
      </c>
      <c r="C169" s="30">
        <f>Données!Z169</f>
        <v>132</v>
      </c>
      <c r="D169" s="162">
        <f>Ecrêtage!E169</f>
        <v>32.116226604278076</v>
      </c>
      <c r="E169" s="162">
        <f t="shared" si="8"/>
        <v>17.84920720385356</v>
      </c>
      <c r="F169" s="162">
        <f>+Données!X169</f>
        <v>68</v>
      </c>
      <c r="G169" s="271">
        <f t="shared" si="9"/>
        <v>-43257.910642683179</v>
      </c>
      <c r="H169" s="120">
        <f t="shared" si="10"/>
        <v>1.0069017728802727</v>
      </c>
      <c r="I169" s="41">
        <f t="shared" si="11"/>
        <v>-43556.466917214108</v>
      </c>
    </row>
    <row r="170" spans="1:9" x14ac:dyDescent="0.25">
      <c r="A170" s="37">
        <f>Données!A170</f>
        <v>5692</v>
      </c>
      <c r="B170" s="26" t="str">
        <f>Données!B170</f>
        <v>Vucherens</v>
      </c>
      <c r="C170" s="30">
        <f>Données!Z170</f>
        <v>622</v>
      </c>
      <c r="D170" s="162">
        <f>Ecrêtage!E170</f>
        <v>31.38428274383708</v>
      </c>
      <c r="E170" s="162">
        <f t="shared" si="8"/>
        <v>18.581151064294556</v>
      </c>
      <c r="F170" s="162">
        <f>+Données!X170</f>
        <v>75</v>
      </c>
      <c r="G170" s="271">
        <f t="shared" si="9"/>
        <v>-234038.88823032207</v>
      </c>
      <c r="H170" s="120">
        <f t="shared" si="10"/>
        <v>1.1105534259708889</v>
      </c>
      <c r="I170" s="41">
        <f t="shared" si="11"/>
        <v>-259912.68913460211</v>
      </c>
    </row>
    <row r="171" spans="1:9" x14ac:dyDescent="0.25">
      <c r="A171" s="37">
        <f>Données!A171</f>
        <v>5693</v>
      </c>
      <c r="B171" s="26" t="str">
        <f>Données!B171</f>
        <v>Montanaire</v>
      </c>
      <c r="C171" s="30">
        <f>Données!Z171</f>
        <v>2861</v>
      </c>
      <c r="D171" s="162">
        <f>Ecrêtage!E171</f>
        <v>26.988955210465871</v>
      </c>
      <c r="E171" s="162">
        <f t="shared" si="8"/>
        <v>22.976478597665764</v>
      </c>
      <c r="F171" s="162">
        <f>+Données!X171</f>
        <v>70</v>
      </c>
      <c r="G171" s="271">
        <f t="shared" si="9"/>
        <v>-1242404.8295637211</v>
      </c>
      <c r="H171" s="120">
        <f t="shared" si="10"/>
        <v>1.036516530906163</v>
      </c>
      <c r="I171" s="41">
        <f t="shared" si="11"/>
        <v>-1287773.1439204509</v>
      </c>
    </row>
    <row r="172" spans="1:9" x14ac:dyDescent="0.25">
      <c r="A172" s="37">
        <f>Données!A172</f>
        <v>5701</v>
      </c>
      <c r="B172" s="26" t="str">
        <f>Données!B172</f>
        <v>Arnex-sur-Nyon</v>
      </c>
      <c r="C172" s="30">
        <f>Données!Z172</f>
        <v>267</v>
      </c>
      <c r="D172" s="162">
        <f>Ecrêtage!E172</f>
        <v>84.374632077550103</v>
      </c>
      <c r="E172" s="162">
        <f t="shared" si="8"/>
        <v>0</v>
      </c>
      <c r="F172" s="162">
        <f>+Données!X172</f>
        <v>68</v>
      </c>
      <c r="G172" s="271">
        <f t="shared" si="9"/>
        <v>0</v>
      </c>
      <c r="H172" s="120">
        <f t="shared" si="10"/>
        <v>1.0069017728802727</v>
      </c>
      <c r="I172" s="41">
        <f t="shared" si="11"/>
        <v>0</v>
      </c>
    </row>
    <row r="173" spans="1:9" x14ac:dyDescent="0.25">
      <c r="A173" s="37">
        <f>Données!A173</f>
        <v>5702</v>
      </c>
      <c r="B173" s="26" t="str">
        <f>Données!B173</f>
        <v>Arzier-Le Muids</v>
      </c>
      <c r="C173" s="30">
        <f>Données!Z173</f>
        <v>2968</v>
      </c>
      <c r="D173" s="162">
        <f>Ecrêtage!E173</f>
        <v>63.722976418604006</v>
      </c>
      <c r="E173" s="162">
        <f t="shared" si="8"/>
        <v>0</v>
      </c>
      <c r="F173" s="162">
        <f>+Données!X173</f>
        <v>64</v>
      </c>
      <c r="G173" s="271">
        <f t="shared" si="9"/>
        <v>0</v>
      </c>
      <c r="H173" s="120">
        <f t="shared" si="10"/>
        <v>0.94767225682849188</v>
      </c>
      <c r="I173" s="41">
        <f t="shared" si="11"/>
        <v>0</v>
      </c>
    </row>
    <row r="174" spans="1:9" x14ac:dyDescent="0.25">
      <c r="A174" s="37">
        <f>Données!A174</f>
        <v>5703</v>
      </c>
      <c r="B174" s="26" t="str">
        <f>Données!B174</f>
        <v>Bassins</v>
      </c>
      <c r="C174" s="30">
        <f>Données!Z174</f>
        <v>1484</v>
      </c>
      <c r="D174" s="162">
        <f>Ecrêtage!E174</f>
        <v>47.092082801110017</v>
      </c>
      <c r="E174" s="162">
        <f t="shared" si="8"/>
        <v>2.8733510070216184</v>
      </c>
      <c r="F174" s="162">
        <f>+Données!X174</f>
        <v>72.5</v>
      </c>
      <c r="G174" s="271">
        <f t="shared" si="9"/>
        <v>-83468.835408273095</v>
      </c>
      <c r="H174" s="120">
        <f t="shared" si="10"/>
        <v>1.073534978438526</v>
      </c>
      <c r="I174" s="41">
        <f t="shared" si="11"/>
        <v>-89606.714420309334</v>
      </c>
    </row>
    <row r="175" spans="1:9" x14ac:dyDescent="0.25">
      <c r="A175" s="37">
        <f>Données!A175</f>
        <v>5704</v>
      </c>
      <c r="B175" s="26" t="str">
        <f>Données!B175</f>
        <v>Begnins</v>
      </c>
      <c r="C175" s="30">
        <f>Données!Z175</f>
        <v>2041</v>
      </c>
      <c r="D175" s="162">
        <f>Ecrêtage!E175</f>
        <v>74.337899670096377</v>
      </c>
      <c r="E175" s="162">
        <f t="shared" si="8"/>
        <v>0</v>
      </c>
      <c r="F175" s="162">
        <f>+Données!X175</f>
        <v>62.5</v>
      </c>
      <c r="G175" s="271">
        <f t="shared" si="9"/>
        <v>0</v>
      </c>
      <c r="H175" s="120">
        <f t="shared" si="10"/>
        <v>0.9254611883090742</v>
      </c>
      <c r="I175" s="41">
        <f t="shared" si="11"/>
        <v>0</v>
      </c>
    </row>
    <row r="176" spans="1:9" x14ac:dyDescent="0.25">
      <c r="A176" s="37">
        <f>Données!A176</f>
        <v>5705</v>
      </c>
      <c r="B176" s="26" t="str">
        <f>Données!B176</f>
        <v>Bogis-Bossey</v>
      </c>
      <c r="C176" s="30">
        <f>Données!Z176</f>
        <v>990</v>
      </c>
      <c r="D176" s="162">
        <f>Ecrêtage!E176</f>
        <v>60.819089770948935</v>
      </c>
      <c r="E176" s="162">
        <f t="shared" si="8"/>
        <v>0</v>
      </c>
      <c r="F176" s="162">
        <f>+Données!X176</f>
        <v>71</v>
      </c>
      <c r="G176" s="271">
        <f t="shared" si="9"/>
        <v>0</v>
      </c>
      <c r="H176" s="120">
        <f t="shared" si="10"/>
        <v>1.0513239099191083</v>
      </c>
      <c r="I176" s="41">
        <f t="shared" si="11"/>
        <v>0</v>
      </c>
    </row>
    <row r="177" spans="1:9" x14ac:dyDescent="0.25">
      <c r="A177" s="37">
        <f>Données!A177</f>
        <v>5706</v>
      </c>
      <c r="B177" s="26" t="str">
        <f>Données!B177</f>
        <v>Borex</v>
      </c>
      <c r="C177" s="30">
        <f>Données!Z177</f>
        <v>1144</v>
      </c>
      <c r="D177" s="162">
        <f>Ecrêtage!E177</f>
        <v>60.458933413078149</v>
      </c>
      <c r="E177" s="162">
        <f t="shared" si="8"/>
        <v>0</v>
      </c>
      <c r="F177" s="162">
        <f>+Données!X177</f>
        <v>57</v>
      </c>
      <c r="G177" s="271">
        <f t="shared" si="9"/>
        <v>0</v>
      </c>
      <c r="H177" s="120">
        <f t="shared" si="10"/>
        <v>0.84402060373787557</v>
      </c>
      <c r="I177" s="41">
        <f t="shared" si="11"/>
        <v>0</v>
      </c>
    </row>
    <row r="178" spans="1:9" x14ac:dyDescent="0.25">
      <c r="A178" s="37">
        <f>Données!A178</f>
        <v>5707</v>
      </c>
      <c r="B178" s="26" t="str">
        <f>Données!B178</f>
        <v>Chavannes-de-Bogis</v>
      </c>
      <c r="C178" s="30">
        <f>Données!Z178</f>
        <v>1388</v>
      </c>
      <c r="D178" s="162">
        <f>Ecrêtage!E178</f>
        <v>72.28186379972837</v>
      </c>
      <c r="E178" s="162">
        <f t="shared" si="8"/>
        <v>0</v>
      </c>
      <c r="F178" s="162">
        <f>+Données!X178</f>
        <v>58</v>
      </c>
      <c r="G178" s="271">
        <f t="shared" si="9"/>
        <v>0</v>
      </c>
      <c r="H178" s="120">
        <f t="shared" si="10"/>
        <v>0.85882798275082084</v>
      </c>
      <c r="I178" s="41">
        <f t="shared" si="11"/>
        <v>0</v>
      </c>
    </row>
    <row r="179" spans="1:9" x14ac:dyDescent="0.25">
      <c r="A179" s="37">
        <f>Données!A179</f>
        <v>5708</v>
      </c>
      <c r="B179" s="26" t="str">
        <f>Données!B179</f>
        <v>Chavannes-des-Bois</v>
      </c>
      <c r="C179" s="30">
        <f>Données!Z179</f>
        <v>982</v>
      </c>
      <c r="D179" s="162">
        <f>Ecrêtage!E179</f>
        <v>71.667072600934461</v>
      </c>
      <c r="E179" s="162">
        <f t="shared" si="8"/>
        <v>0</v>
      </c>
      <c r="F179" s="162">
        <f>+Données!X179</f>
        <v>68</v>
      </c>
      <c r="G179" s="271">
        <f t="shared" si="9"/>
        <v>0</v>
      </c>
      <c r="H179" s="120">
        <f t="shared" si="10"/>
        <v>1.0069017728802727</v>
      </c>
      <c r="I179" s="41">
        <f t="shared" si="11"/>
        <v>0</v>
      </c>
    </row>
    <row r="180" spans="1:9" x14ac:dyDescent="0.25">
      <c r="A180" s="37">
        <f>Données!A180</f>
        <v>5709</v>
      </c>
      <c r="B180" s="26" t="str">
        <f>Données!B180</f>
        <v>Chéserex</v>
      </c>
      <c r="C180" s="30">
        <f>Données!Z180</f>
        <v>1277</v>
      </c>
      <c r="D180" s="162">
        <f>Ecrêtage!E180</f>
        <v>86.844474868269117</v>
      </c>
      <c r="E180" s="162">
        <f t="shared" si="8"/>
        <v>0</v>
      </c>
      <c r="F180" s="162">
        <f>+Données!X180</f>
        <v>59</v>
      </c>
      <c r="G180" s="271">
        <f t="shared" si="9"/>
        <v>0</v>
      </c>
      <c r="H180" s="120">
        <f t="shared" si="10"/>
        <v>0.87363536176376599</v>
      </c>
      <c r="I180" s="41">
        <f t="shared" si="11"/>
        <v>0</v>
      </c>
    </row>
    <row r="181" spans="1:9" x14ac:dyDescent="0.25">
      <c r="A181" s="37">
        <f>Données!A181</f>
        <v>5710</v>
      </c>
      <c r="B181" s="26" t="str">
        <f>Données!B181</f>
        <v>Coinsins</v>
      </c>
      <c r="C181" s="30">
        <f>Données!Z181</f>
        <v>517</v>
      </c>
      <c r="D181" s="162">
        <f>Ecrêtage!E181</f>
        <v>49.718211818576556</v>
      </c>
      <c r="E181" s="162">
        <f t="shared" si="8"/>
        <v>0.24722198955507935</v>
      </c>
      <c r="F181" s="162">
        <f>+Données!X181</f>
        <v>49</v>
      </c>
      <c r="G181" s="271">
        <f t="shared" si="9"/>
        <v>-1690.9761585776828</v>
      </c>
      <c r="H181" s="120">
        <f t="shared" si="10"/>
        <v>0.72556157163431412</v>
      </c>
      <c r="I181" s="41">
        <f t="shared" si="11"/>
        <v>-1226.9073192137787</v>
      </c>
    </row>
    <row r="182" spans="1:9" x14ac:dyDescent="0.25">
      <c r="A182" s="37">
        <f>Données!A182</f>
        <v>5711</v>
      </c>
      <c r="B182" s="26" t="str">
        <f>Données!B182</f>
        <v>Commugny</v>
      </c>
      <c r="C182" s="30">
        <f>Données!Z182</f>
        <v>2987</v>
      </c>
      <c r="D182" s="162">
        <f>Ecrêtage!E182</f>
        <v>98.672606368487479</v>
      </c>
      <c r="E182" s="162">
        <f t="shared" si="8"/>
        <v>0</v>
      </c>
      <c r="F182" s="162">
        <f>+Données!X182</f>
        <v>57</v>
      </c>
      <c r="G182" s="271">
        <f t="shared" si="9"/>
        <v>0</v>
      </c>
      <c r="H182" s="120">
        <f t="shared" si="10"/>
        <v>0.84402060373787557</v>
      </c>
      <c r="I182" s="41">
        <f t="shared" si="11"/>
        <v>0</v>
      </c>
    </row>
    <row r="183" spans="1:9" x14ac:dyDescent="0.25">
      <c r="A183" s="37">
        <f>Données!A183</f>
        <v>5712</v>
      </c>
      <c r="B183" s="26" t="str">
        <f>Données!B183</f>
        <v>Coppet</v>
      </c>
      <c r="C183" s="30">
        <f>Données!Z183</f>
        <v>3216</v>
      </c>
      <c r="D183" s="162">
        <f>Ecrêtage!E183</f>
        <v>142.34984285444128</v>
      </c>
      <c r="E183" s="162">
        <f t="shared" si="8"/>
        <v>0</v>
      </c>
      <c r="F183" s="162">
        <f>+Données!X183</f>
        <v>57</v>
      </c>
      <c r="G183" s="271">
        <f t="shared" si="9"/>
        <v>0</v>
      </c>
      <c r="H183" s="120">
        <f t="shared" si="10"/>
        <v>0.84402060373787557</v>
      </c>
      <c r="I183" s="41">
        <f t="shared" si="11"/>
        <v>0</v>
      </c>
    </row>
    <row r="184" spans="1:9" x14ac:dyDescent="0.25">
      <c r="A184" s="37">
        <f>Données!A184</f>
        <v>5713</v>
      </c>
      <c r="B184" s="26" t="str">
        <f>Données!B184</f>
        <v>Crans</v>
      </c>
      <c r="C184" s="30">
        <f>Données!Z184</f>
        <v>2455</v>
      </c>
      <c r="D184" s="162">
        <f>Ecrêtage!E184</f>
        <v>116.18183886223203</v>
      </c>
      <c r="E184" s="162">
        <f t="shared" si="8"/>
        <v>0</v>
      </c>
      <c r="F184" s="162">
        <f>+Données!X184</f>
        <v>59</v>
      </c>
      <c r="G184" s="271">
        <f t="shared" si="9"/>
        <v>0</v>
      </c>
      <c r="H184" s="120">
        <f t="shared" si="10"/>
        <v>0.87363536176376599</v>
      </c>
      <c r="I184" s="41">
        <f t="shared" si="11"/>
        <v>0</v>
      </c>
    </row>
    <row r="185" spans="1:9" x14ac:dyDescent="0.25">
      <c r="A185" s="37">
        <f>Données!A185</f>
        <v>5714</v>
      </c>
      <c r="B185" s="26" t="str">
        <f>Données!B185</f>
        <v>Crassier</v>
      </c>
      <c r="C185" s="30">
        <f>Données!Z185</f>
        <v>1274</v>
      </c>
      <c r="D185" s="162">
        <f>Ecrêtage!E185</f>
        <v>52.603784303773551</v>
      </c>
      <c r="E185" s="162">
        <f t="shared" si="8"/>
        <v>0</v>
      </c>
      <c r="F185" s="162">
        <f>+Données!X185</f>
        <v>66.5</v>
      </c>
      <c r="G185" s="271">
        <f t="shared" si="9"/>
        <v>0</v>
      </c>
      <c r="H185" s="120">
        <f t="shared" si="10"/>
        <v>0.98469070436085493</v>
      </c>
      <c r="I185" s="41">
        <f t="shared" si="11"/>
        <v>0</v>
      </c>
    </row>
    <row r="186" spans="1:9" x14ac:dyDescent="0.25">
      <c r="A186" s="37">
        <f>Données!A186</f>
        <v>5715</v>
      </c>
      <c r="B186" s="26" t="str">
        <f>Données!B186</f>
        <v>Duillier</v>
      </c>
      <c r="C186" s="30">
        <f>Données!Z186</f>
        <v>1143</v>
      </c>
      <c r="D186" s="162">
        <f>Ecrêtage!E186</f>
        <v>51.18060977226331</v>
      </c>
      <c r="E186" s="162">
        <f t="shared" si="8"/>
        <v>0</v>
      </c>
      <c r="F186" s="162">
        <f>+Données!X186</f>
        <v>66</v>
      </c>
      <c r="G186" s="271">
        <f t="shared" si="9"/>
        <v>0</v>
      </c>
      <c r="H186" s="120">
        <f t="shared" si="10"/>
        <v>0.9772870148543823</v>
      </c>
      <c r="I186" s="41">
        <f t="shared" si="11"/>
        <v>0</v>
      </c>
    </row>
    <row r="187" spans="1:9" x14ac:dyDescent="0.25">
      <c r="A187" s="37">
        <f>Données!A187</f>
        <v>5716</v>
      </c>
      <c r="B187" s="26" t="str">
        <f>Données!B187</f>
        <v>Eysins</v>
      </c>
      <c r="C187" s="30">
        <f>Données!Z187</f>
        <v>1772</v>
      </c>
      <c r="D187" s="162">
        <f>Ecrêtage!E187</f>
        <v>218.90223789289982</v>
      </c>
      <c r="E187" s="162">
        <f t="shared" si="8"/>
        <v>0</v>
      </c>
      <c r="F187" s="162">
        <f>+Données!X187</f>
        <v>59.5</v>
      </c>
      <c r="G187" s="271">
        <f t="shared" si="9"/>
        <v>0</v>
      </c>
      <c r="H187" s="120">
        <f t="shared" si="10"/>
        <v>0.88103905127023863</v>
      </c>
      <c r="I187" s="41">
        <f t="shared" si="11"/>
        <v>0</v>
      </c>
    </row>
    <row r="188" spans="1:9" x14ac:dyDescent="0.25">
      <c r="A188" s="37">
        <f>Données!A188</f>
        <v>5717</v>
      </c>
      <c r="B188" s="26" t="str">
        <f>Données!B188</f>
        <v>Founex</v>
      </c>
      <c r="C188" s="30">
        <f>Données!Z188</f>
        <v>3748</v>
      </c>
      <c r="D188" s="162">
        <f>Ecrêtage!E188</f>
        <v>103.9237002658728</v>
      </c>
      <c r="E188" s="162">
        <f t="shared" si="8"/>
        <v>0</v>
      </c>
      <c r="F188" s="162">
        <f>+Données!X188</f>
        <v>57</v>
      </c>
      <c r="G188" s="271">
        <f t="shared" si="9"/>
        <v>0</v>
      </c>
      <c r="H188" s="120">
        <f t="shared" si="10"/>
        <v>0.84402060373787557</v>
      </c>
      <c r="I188" s="41">
        <f t="shared" si="11"/>
        <v>0</v>
      </c>
    </row>
    <row r="189" spans="1:9" x14ac:dyDescent="0.25">
      <c r="A189" s="37">
        <f>Données!A189</f>
        <v>5718</v>
      </c>
      <c r="B189" s="26" t="str">
        <f>Données!B189</f>
        <v>Genolier</v>
      </c>
      <c r="C189" s="30">
        <f>Données!Z189</f>
        <v>2012</v>
      </c>
      <c r="D189" s="162">
        <f>Ecrêtage!E189</f>
        <v>119.09210649564157</v>
      </c>
      <c r="E189" s="162">
        <f t="shared" si="8"/>
        <v>0</v>
      </c>
      <c r="F189" s="162">
        <f>+Données!X189</f>
        <v>52</v>
      </c>
      <c r="G189" s="271">
        <f t="shared" si="9"/>
        <v>0</v>
      </c>
      <c r="H189" s="120">
        <f t="shared" si="10"/>
        <v>0.76998370867314969</v>
      </c>
      <c r="I189" s="41">
        <f t="shared" si="11"/>
        <v>0</v>
      </c>
    </row>
    <row r="190" spans="1:9" x14ac:dyDescent="0.25">
      <c r="A190" s="37">
        <f>Données!A190</f>
        <v>5719</v>
      </c>
      <c r="B190" s="26" t="str">
        <f>Données!B190</f>
        <v>Gingins</v>
      </c>
      <c r="C190" s="30">
        <f>Données!Z190</f>
        <v>1253</v>
      </c>
      <c r="D190" s="162">
        <f>Ecrêtage!E190</f>
        <v>138.28706233927463</v>
      </c>
      <c r="E190" s="162">
        <f t="shared" si="8"/>
        <v>0</v>
      </c>
      <c r="F190" s="162">
        <f>+Données!X190</f>
        <v>60</v>
      </c>
      <c r="G190" s="271">
        <f t="shared" si="9"/>
        <v>0</v>
      </c>
      <c r="H190" s="120">
        <f t="shared" si="10"/>
        <v>0.88844274077671115</v>
      </c>
      <c r="I190" s="41">
        <f t="shared" si="11"/>
        <v>0</v>
      </c>
    </row>
    <row r="191" spans="1:9" x14ac:dyDescent="0.25">
      <c r="A191" s="37">
        <f>Données!A191</f>
        <v>5720</v>
      </c>
      <c r="B191" s="26" t="str">
        <f>Données!B191</f>
        <v>Givrins</v>
      </c>
      <c r="C191" s="30">
        <f>Données!Z191</f>
        <v>1071</v>
      </c>
      <c r="D191" s="162">
        <f>Ecrêtage!E191</f>
        <v>72.222389608137348</v>
      </c>
      <c r="E191" s="162">
        <f t="shared" si="8"/>
        <v>0</v>
      </c>
      <c r="F191" s="162">
        <f>+Données!X191</f>
        <v>67</v>
      </c>
      <c r="G191" s="271">
        <f t="shared" si="9"/>
        <v>0</v>
      </c>
      <c r="H191" s="120">
        <f t="shared" si="10"/>
        <v>0.99209439386732745</v>
      </c>
      <c r="I191" s="41">
        <f t="shared" si="11"/>
        <v>0</v>
      </c>
    </row>
    <row r="192" spans="1:9" x14ac:dyDescent="0.25">
      <c r="A192" s="37">
        <f>Données!A192</f>
        <v>5721</v>
      </c>
      <c r="B192" s="26" t="str">
        <f>Données!B192</f>
        <v>Gland</v>
      </c>
      <c r="C192" s="30">
        <f>Données!Z192</f>
        <v>13968</v>
      </c>
      <c r="D192" s="162">
        <f>Ecrêtage!E192</f>
        <v>52.11082199594388</v>
      </c>
      <c r="E192" s="162">
        <f t="shared" si="8"/>
        <v>0</v>
      </c>
      <c r="F192" s="162">
        <f>+Données!X192</f>
        <v>61</v>
      </c>
      <c r="G192" s="271">
        <f t="shared" si="9"/>
        <v>0</v>
      </c>
      <c r="H192" s="120">
        <f t="shared" si="10"/>
        <v>0.90325011978965641</v>
      </c>
      <c r="I192" s="41">
        <f t="shared" si="11"/>
        <v>0</v>
      </c>
    </row>
    <row r="193" spans="1:9" x14ac:dyDescent="0.25">
      <c r="A193" s="37">
        <f>Données!A193</f>
        <v>5722</v>
      </c>
      <c r="B193" s="26" t="str">
        <f>Données!B193</f>
        <v>Grens</v>
      </c>
      <c r="C193" s="30">
        <f>Données!Z193</f>
        <v>394</v>
      </c>
      <c r="D193" s="162">
        <f>Ecrêtage!E193</f>
        <v>85.519875962010829</v>
      </c>
      <c r="E193" s="162">
        <f t="shared" si="8"/>
        <v>0</v>
      </c>
      <c r="F193" s="162">
        <f>+Données!X193</f>
        <v>62</v>
      </c>
      <c r="G193" s="271">
        <f t="shared" si="9"/>
        <v>0</v>
      </c>
      <c r="H193" s="120">
        <f t="shared" si="10"/>
        <v>0.91805749880260157</v>
      </c>
      <c r="I193" s="41">
        <f t="shared" si="11"/>
        <v>0</v>
      </c>
    </row>
    <row r="194" spans="1:9" x14ac:dyDescent="0.25">
      <c r="A194" s="37">
        <f>Données!A194</f>
        <v>5723</v>
      </c>
      <c r="B194" s="26" t="str">
        <f>Données!B194</f>
        <v>Mies</v>
      </c>
      <c r="C194" s="30">
        <f>Données!Z194</f>
        <v>2163</v>
      </c>
      <c r="D194" s="162">
        <f>Ecrêtage!E194</f>
        <v>126.05792557506606</v>
      </c>
      <c r="E194" s="162">
        <f t="shared" si="8"/>
        <v>0</v>
      </c>
      <c r="F194" s="162">
        <f>+Données!X194</f>
        <v>53</v>
      </c>
      <c r="G194" s="271">
        <f t="shared" si="9"/>
        <v>0</v>
      </c>
      <c r="H194" s="120">
        <f t="shared" si="10"/>
        <v>0.78479108768609485</v>
      </c>
      <c r="I194" s="41">
        <f t="shared" si="11"/>
        <v>0</v>
      </c>
    </row>
    <row r="195" spans="1:9" x14ac:dyDescent="0.25">
      <c r="A195" s="37">
        <f>Données!A195</f>
        <v>5724</v>
      </c>
      <c r="B195" s="26" t="str">
        <f>Données!B195</f>
        <v>Nyon</v>
      </c>
      <c r="C195" s="30">
        <f>Données!Z195</f>
        <v>23328</v>
      </c>
      <c r="D195" s="162">
        <f>Ecrêtage!E195</f>
        <v>70.299160641870373</v>
      </c>
      <c r="E195" s="162">
        <f t="shared" si="8"/>
        <v>0</v>
      </c>
      <c r="F195" s="162">
        <f>+Données!X195</f>
        <v>61</v>
      </c>
      <c r="G195" s="271">
        <f t="shared" si="9"/>
        <v>0</v>
      </c>
      <c r="H195" s="120">
        <f t="shared" si="10"/>
        <v>0.90325011978965641</v>
      </c>
      <c r="I195" s="41">
        <f t="shared" si="11"/>
        <v>0</v>
      </c>
    </row>
    <row r="196" spans="1:9" x14ac:dyDescent="0.25">
      <c r="A196" s="37">
        <f>Données!A196</f>
        <v>5725</v>
      </c>
      <c r="B196" s="26" t="str">
        <f>Données!B196</f>
        <v>Prangins</v>
      </c>
      <c r="C196" s="30">
        <f>Données!Z196</f>
        <v>4280</v>
      </c>
      <c r="D196" s="162">
        <f>Ecrêtage!E196</f>
        <v>85.967783129020503</v>
      </c>
      <c r="E196" s="162">
        <f t="shared" si="8"/>
        <v>0</v>
      </c>
      <c r="F196" s="162">
        <f>+Données!X196</f>
        <v>55</v>
      </c>
      <c r="G196" s="271">
        <f t="shared" si="9"/>
        <v>0</v>
      </c>
      <c r="H196" s="120">
        <f t="shared" si="10"/>
        <v>0.81440584571198527</v>
      </c>
      <c r="I196" s="41">
        <f t="shared" si="11"/>
        <v>0</v>
      </c>
    </row>
    <row r="197" spans="1:9" x14ac:dyDescent="0.25">
      <c r="A197" s="37">
        <f>Données!A197</f>
        <v>5726</v>
      </c>
      <c r="B197" s="26" t="str">
        <f>Données!B197</f>
        <v>La Rippe</v>
      </c>
      <c r="C197" s="30">
        <f>Données!Z197</f>
        <v>1194</v>
      </c>
      <c r="D197" s="162">
        <f>Ecrêtage!E197</f>
        <v>61.455495060604861</v>
      </c>
      <c r="E197" s="162">
        <f t="shared" si="8"/>
        <v>0</v>
      </c>
      <c r="F197" s="162">
        <f>+Données!X197</f>
        <v>63.5</v>
      </c>
      <c r="G197" s="271">
        <f t="shared" si="9"/>
        <v>0</v>
      </c>
      <c r="H197" s="120">
        <f t="shared" si="10"/>
        <v>0.94026856732201936</v>
      </c>
      <c r="I197" s="41">
        <f t="shared" si="11"/>
        <v>0</v>
      </c>
    </row>
    <row r="198" spans="1:9" x14ac:dyDescent="0.25">
      <c r="A198" s="37">
        <f>Données!A198</f>
        <v>5727</v>
      </c>
      <c r="B198" s="26" t="str">
        <f>Données!B198</f>
        <v>Saint-Cergue</v>
      </c>
      <c r="C198" s="30">
        <f>Données!Z198</f>
        <v>3012</v>
      </c>
      <c r="D198" s="162">
        <f>Ecrêtage!E198</f>
        <v>37.109110309603338</v>
      </c>
      <c r="E198" s="162">
        <f t="shared" si="8"/>
        <v>12.856323498528297</v>
      </c>
      <c r="F198" s="162">
        <f>+Données!X198</f>
        <v>66</v>
      </c>
      <c r="G198" s="271">
        <f t="shared" si="9"/>
        <v>-690048.25044824812</v>
      </c>
      <c r="H198" s="120">
        <f t="shared" si="10"/>
        <v>0.9772870148543823</v>
      </c>
      <c r="I198" s="41">
        <f t="shared" si="11"/>
        <v>-674375.19478605757</v>
      </c>
    </row>
    <row r="199" spans="1:9" x14ac:dyDescent="0.25">
      <c r="A199" s="37">
        <f>Données!A199</f>
        <v>5728</v>
      </c>
      <c r="B199" s="26" t="str">
        <f>Données!B199</f>
        <v>Signy-Avenex</v>
      </c>
      <c r="C199" s="30">
        <f>Données!Z199</f>
        <v>605</v>
      </c>
      <c r="D199" s="162">
        <f>Ecrêtage!E199</f>
        <v>73.476943573667711</v>
      </c>
      <c r="E199" s="162">
        <f t="shared" ref="E199:E262" si="12">IF($D$306-D199&lt;0,0,$D$306-D199)</f>
        <v>0</v>
      </c>
      <c r="F199" s="162">
        <f>+Données!X199</f>
        <v>58</v>
      </c>
      <c r="G199" s="271">
        <f t="shared" ref="G199:G262" si="13">-((C199*E199*F199)*$E$5)</f>
        <v>0</v>
      </c>
      <c r="H199" s="120">
        <f t="shared" ref="H199:H262" si="14">F199/$F$306</f>
        <v>0.85882798275082084</v>
      </c>
      <c r="I199" s="41">
        <f t="shared" ref="I199:I262" si="15">G199*H199</f>
        <v>0</v>
      </c>
    </row>
    <row r="200" spans="1:9" x14ac:dyDescent="0.25">
      <c r="A200" s="37">
        <f>Données!A200</f>
        <v>5729</v>
      </c>
      <c r="B200" s="26" t="str">
        <f>Données!B200</f>
        <v>Tannay</v>
      </c>
      <c r="C200" s="30">
        <f>Données!Z200</f>
        <v>1728</v>
      </c>
      <c r="D200" s="162">
        <f>Ecrêtage!E200</f>
        <v>109.77496078206303</v>
      </c>
      <c r="E200" s="162">
        <f t="shared" si="12"/>
        <v>0</v>
      </c>
      <c r="F200" s="162">
        <f>+Données!X200</f>
        <v>60.5</v>
      </c>
      <c r="G200" s="271">
        <f t="shared" si="13"/>
        <v>0</v>
      </c>
      <c r="H200" s="120">
        <f t="shared" si="14"/>
        <v>0.89584643028318378</v>
      </c>
      <c r="I200" s="41">
        <f t="shared" si="15"/>
        <v>0</v>
      </c>
    </row>
    <row r="201" spans="1:9" x14ac:dyDescent="0.25">
      <c r="A201" s="37">
        <f>Données!A201</f>
        <v>5730</v>
      </c>
      <c r="B201" s="26" t="str">
        <f>Données!B201</f>
        <v>Trélex</v>
      </c>
      <c r="C201" s="30">
        <f>Données!Z201</f>
        <v>1428</v>
      </c>
      <c r="D201" s="162">
        <f>Ecrêtage!E201</f>
        <v>119.22692656241678</v>
      </c>
      <c r="E201" s="162">
        <f t="shared" si="12"/>
        <v>0</v>
      </c>
      <c r="F201" s="162">
        <f>+Données!X201</f>
        <v>55.5</v>
      </c>
      <c r="G201" s="271">
        <f t="shared" si="13"/>
        <v>0</v>
      </c>
      <c r="H201" s="120">
        <f t="shared" si="14"/>
        <v>0.8218095352184579</v>
      </c>
      <c r="I201" s="41">
        <f t="shared" si="15"/>
        <v>0</v>
      </c>
    </row>
    <row r="202" spans="1:9" x14ac:dyDescent="0.25">
      <c r="A202" s="37">
        <f>Données!A202</f>
        <v>5731</v>
      </c>
      <c r="B202" s="26" t="str">
        <f>Données!B202</f>
        <v>Le Vaud</v>
      </c>
      <c r="C202" s="30">
        <f>Données!Z202</f>
        <v>1374</v>
      </c>
      <c r="D202" s="162">
        <f>Ecrêtage!E202</f>
        <v>54.650053337980331</v>
      </c>
      <c r="E202" s="162">
        <f t="shared" si="12"/>
        <v>0</v>
      </c>
      <c r="F202" s="162">
        <f>+Données!X202</f>
        <v>71</v>
      </c>
      <c r="G202" s="271">
        <f t="shared" si="13"/>
        <v>0</v>
      </c>
      <c r="H202" s="120">
        <f t="shared" si="14"/>
        <v>1.0513239099191083</v>
      </c>
      <c r="I202" s="41">
        <f t="shared" si="15"/>
        <v>0</v>
      </c>
    </row>
    <row r="203" spans="1:9" x14ac:dyDescent="0.25">
      <c r="A203" s="37">
        <f>Données!A203</f>
        <v>5732</v>
      </c>
      <c r="B203" s="26" t="str">
        <f>Données!B203</f>
        <v>Vich</v>
      </c>
      <c r="C203" s="30">
        <f>Données!Z203</f>
        <v>1179</v>
      </c>
      <c r="D203" s="162">
        <f>Ecrêtage!E203</f>
        <v>71.187012668793827</v>
      </c>
      <c r="E203" s="162">
        <f t="shared" si="12"/>
        <v>0</v>
      </c>
      <c r="F203" s="162">
        <f>+Données!X203</f>
        <v>63</v>
      </c>
      <c r="G203" s="271">
        <f t="shared" si="13"/>
        <v>0</v>
      </c>
      <c r="H203" s="120">
        <f t="shared" si="14"/>
        <v>0.93286487781554672</v>
      </c>
      <c r="I203" s="41">
        <f t="shared" si="15"/>
        <v>0</v>
      </c>
    </row>
    <row r="204" spans="1:9" x14ac:dyDescent="0.25">
      <c r="A204" s="37">
        <f>Données!A204</f>
        <v>5741</v>
      </c>
      <c r="B204" s="26" t="str">
        <f>Données!B204</f>
        <v>L'Abergement</v>
      </c>
      <c r="C204" s="30">
        <f>Données!Z204</f>
        <v>270</v>
      </c>
      <c r="D204" s="162">
        <f>Ecrêtage!E204</f>
        <v>29.930029398148143</v>
      </c>
      <c r="E204" s="162">
        <f t="shared" si="12"/>
        <v>20.035404409983492</v>
      </c>
      <c r="F204" s="162">
        <f>+Données!X204</f>
        <v>80</v>
      </c>
      <c r="G204" s="271">
        <f t="shared" si="13"/>
        <v>-116846.47851902375</v>
      </c>
      <c r="H204" s="120">
        <f t="shared" si="14"/>
        <v>1.184590321035615</v>
      </c>
      <c r="I204" s="41">
        <f t="shared" si="15"/>
        <v>-138415.20750073143</v>
      </c>
    </row>
    <row r="205" spans="1:9" x14ac:dyDescent="0.25">
      <c r="A205" s="37">
        <f>Données!A205</f>
        <v>5742</v>
      </c>
      <c r="B205" s="26" t="str">
        <f>Données!B205</f>
        <v>Agiez</v>
      </c>
      <c r="C205" s="30">
        <f>Données!Z205</f>
        <v>373</v>
      </c>
      <c r="D205" s="162">
        <f>Ecrêtage!E205</f>
        <v>25.746953576971915</v>
      </c>
      <c r="E205" s="162">
        <f t="shared" si="12"/>
        <v>24.21848023115972</v>
      </c>
      <c r="F205" s="162">
        <f>+Données!X205</f>
        <v>76</v>
      </c>
      <c r="G205" s="271">
        <f t="shared" si="13"/>
        <v>-185367.27895008726</v>
      </c>
      <c r="H205" s="120">
        <f t="shared" si="14"/>
        <v>1.1253608049838342</v>
      </c>
      <c r="I205" s="41">
        <f t="shared" si="15"/>
        <v>-208605.07025693313</v>
      </c>
    </row>
    <row r="206" spans="1:9" x14ac:dyDescent="0.25">
      <c r="A206" s="37">
        <f>Données!A206</f>
        <v>5743</v>
      </c>
      <c r="B206" s="26" t="str">
        <f>Données!B206</f>
        <v>Arnex-sur-Orbe</v>
      </c>
      <c r="C206" s="30">
        <f>Données!Z206</f>
        <v>697</v>
      </c>
      <c r="D206" s="162">
        <f>Ecrêtage!E206</f>
        <v>28.144813082223617</v>
      </c>
      <c r="E206" s="162">
        <f t="shared" si="12"/>
        <v>21.820620725908018</v>
      </c>
      <c r="F206" s="162">
        <f>+Données!X206</f>
        <v>71</v>
      </c>
      <c r="G206" s="271">
        <f t="shared" si="13"/>
        <v>-291556.00562301272</v>
      </c>
      <c r="H206" s="120">
        <f t="shared" si="14"/>
        <v>1.0513239099191083</v>
      </c>
      <c r="I206" s="41">
        <f t="shared" si="15"/>
        <v>-306519.79979198327</v>
      </c>
    </row>
    <row r="207" spans="1:9" x14ac:dyDescent="0.25">
      <c r="A207" s="37">
        <f>Données!A207</f>
        <v>5744</v>
      </c>
      <c r="B207" s="26" t="str">
        <f>Données!B207</f>
        <v>Ballaigues</v>
      </c>
      <c r="C207" s="30">
        <f>Données!Z207</f>
        <v>1209</v>
      </c>
      <c r="D207" s="162">
        <f>Ecrêtage!E207</f>
        <v>67.067922631545471</v>
      </c>
      <c r="E207" s="162">
        <f t="shared" si="12"/>
        <v>0</v>
      </c>
      <c r="F207" s="162">
        <f>+Données!X207</f>
        <v>65</v>
      </c>
      <c r="G207" s="271">
        <f t="shared" si="13"/>
        <v>0</v>
      </c>
      <c r="H207" s="120">
        <f t="shared" si="14"/>
        <v>0.96247963584143714</v>
      </c>
      <c r="I207" s="41">
        <f t="shared" si="15"/>
        <v>0</v>
      </c>
    </row>
    <row r="208" spans="1:9" x14ac:dyDescent="0.25">
      <c r="A208" s="37">
        <f>Données!A208</f>
        <v>5745</v>
      </c>
      <c r="B208" s="26" t="str">
        <f>Données!B208</f>
        <v>Baulmes</v>
      </c>
      <c r="C208" s="30">
        <f>Données!Z208</f>
        <v>1168</v>
      </c>
      <c r="D208" s="162">
        <f>Ecrêtage!E208</f>
        <v>25.315311576685467</v>
      </c>
      <c r="E208" s="162">
        <f t="shared" si="12"/>
        <v>24.650122231446169</v>
      </c>
      <c r="F208" s="162">
        <f>+Données!X208</f>
        <v>76.5</v>
      </c>
      <c r="G208" s="271">
        <f t="shared" si="13"/>
        <v>-594685.18483852816</v>
      </c>
      <c r="H208" s="120">
        <f t="shared" si="14"/>
        <v>1.1327644944903068</v>
      </c>
      <c r="I208" s="41">
        <f t="shared" si="15"/>
        <v>-673638.26278449001</v>
      </c>
    </row>
    <row r="209" spans="1:9" x14ac:dyDescent="0.25">
      <c r="A209" s="37">
        <f>Données!A209</f>
        <v>5746</v>
      </c>
      <c r="B209" s="26" t="str">
        <f>Données!B209</f>
        <v>Bavois</v>
      </c>
      <c r="C209" s="30">
        <f>Données!Z209</f>
        <v>1041</v>
      </c>
      <c r="D209" s="162">
        <f>Ecrêtage!E209</f>
        <v>35.667639711637662</v>
      </c>
      <c r="E209" s="162">
        <f t="shared" si="12"/>
        <v>14.297794096493973</v>
      </c>
      <c r="F209" s="162">
        <f>+Données!X209</f>
        <v>72</v>
      </c>
      <c r="G209" s="271">
        <f t="shared" si="13"/>
        <v>-289345.03104251245</v>
      </c>
      <c r="H209" s="120">
        <f t="shared" si="14"/>
        <v>1.0661312889320533</v>
      </c>
      <c r="I209" s="41">
        <f t="shared" si="15"/>
        <v>-308479.79089143878</v>
      </c>
    </row>
    <row r="210" spans="1:9" x14ac:dyDescent="0.25">
      <c r="A210" s="37">
        <f>Données!A210</f>
        <v>5747</v>
      </c>
      <c r="B210" s="26" t="str">
        <f>Données!B210</f>
        <v>Bofflens</v>
      </c>
      <c r="C210" s="30">
        <f>Données!Z210</f>
        <v>200</v>
      </c>
      <c r="D210" s="162">
        <f>Ecrêtage!E210</f>
        <v>37.55623550724637</v>
      </c>
      <c r="E210" s="162">
        <f t="shared" si="12"/>
        <v>12.409198300885265</v>
      </c>
      <c r="F210" s="162">
        <f>+Données!X210</f>
        <v>69</v>
      </c>
      <c r="G210" s="271">
        <f t="shared" si="13"/>
        <v>-46236.672869098496</v>
      </c>
      <c r="H210" s="120">
        <f t="shared" si="14"/>
        <v>1.0217091518932178</v>
      </c>
      <c r="I210" s="41">
        <f t="shared" si="15"/>
        <v>-47240.431823450774</v>
      </c>
    </row>
    <row r="211" spans="1:9" x14ac:dyDescent="0.25">
      <c r="A211" s="37">
        <f>Données!A211</f>
        <v>5748</v>
      </c>
      <c r="B211" s="26" t="str">
        <f>Données!B211</f>
        <v>Bretonnières</v>
      </c>
      <c r="C211" s="30">
        <f>Données!Z211</f>
        <v>261</v>
      </c>
      <c r="D211" s="162">
        <f>Ecrêtage!E211</f>
        <v>26.371990435042527</v>
      </c>
      <c r="E211" s="162">
        <f t="shared" si="12"/>
        <v>23.593443373089109</v>
      </c>
      <c r="F211" s="162">
        <f>+Données!X211</f>
        <v>70.5</v>
      </c>
      <c r="G211" s="271">
        <f t="shared" si="13"/>
        <v>-117215.41179236205</v>
      </c>
      <c r="H211" s="120">
        <f t="shared" si="14"/>
        <v>1.0439202204126357</v>
      </c>
      <c r="I211" s="41">
        <f t="shared" si="15"/>
        <v>-122363.53851404044</v>
      </c>
    </row>
    <row r="212" spans="1:9" x14ac:dyDescent="0.25">
      <c r="A212" s="37">
        <f>Données!A212</f>
        <v>5749</v>
      </c>
      <c r="B212" s="26" t="str">
        <f>Données!B212</f>
        <v>Chavornay</v>
      </c>
      <c r="C212" s="30">
        <f>Données!Z212</f>
        <v>5442</v>
      </c>
      <c r="D212" s="162">
        <f>Ecrêtage!E212</f>
        <v>28.652929956393795</v>
      </c>
      <c r="E212" s="162">
        <f t="shared" si="12"/>
        <v>21.312503851737841</v>
      </c>
      <c r="F212" s="162">
        <f>+Données!X212</f>
        <v>70.5</v>
      </c>
      <c r="G212" s="271">
        <f t="shared" si="13"/>
        <v>-2207729.6658706297</v>
      </c>
      <c r="H212" s="120">
        <f t="shared" si="14"/>
        <v>1.0439202204126357</v>
      </c>
      <c r="I212" s="41">
        <f t="shared" si="15"/>
        <v>-2304693.6394071821</v>
      </c>
    </row>
    <row r="213" spans="1:9" x14ac:dyDescent="0.25">
      <c r="A213" s="37">
        <f>Données!A213</f>
        <v>5750</v>
      </c>
      <c r="B213" s="26" t="str">
        <f>Données!B213</f>
        <v>Les Clées</v>
      </c>
      <c r="C213" s="30">
        <f>Données!Z213</f>
        <v>194</v>
      </c>
      <c r="D213" s="162">
        <f>Ecrêtage!E213</f>
        <v>31.717052835051547</v>
      </c>
      <c r="E213" s="162">
        <f t="shared" si="12"/>
        <v>18.248380973080089</v>
      </c>
      <c r="F213" s="162">
        <f>+Données!X213</f>
        <v>80</v>
      </c>
      <c r="G213" s="271">
        <f t="shared" si="13"/>
        <v>-76468.015629594811</v>
      </c>
      <c r="H213" s="120">
        <f t="shared" si="14"/>
        <v>1.184590321035615</v>
      </c>
      <c r="I213" s="41">
        <f t="shared" si="15"/>
        <v>-90583.271183618141</v>
      </c>
    </row>
    <row r="214" spans="1:9" x14ac:dyDescent="0.25">
      <c r="A214" s="37">
        <f>Données!A214</f>
        <v>5752</v>
      </c>
      <c r="B214" s="26" t="str">
        <f>Données!B214</f>
        <v>Croy</v>
      </c>
      <c r="C214" s="30">
        <f>Données!Z214</f>
        <v>403</v>
      </c>
      <c r="D214" s="162">
        <f>Ecrêtage!E214</f>
        <v>26.215644586451035</v>
      </c>
      <c r="E214" s="162">
        <f t="shared" si="12"/>
        <v>23.749789221680601</v>
      </c>
      <c r="F214" s="162">
        <f>+Données!X214</f>
        <v>74</v>
      </c>
      <c r="G214" s="271">
        <f t="shared" si="13"/>
        <v>-191231.8778256189</v>
      </c>
      <c r="H214" s="120">
        <f t="shared" si="14"/>
        <v>1.0957460469579439</v>
      </c>
      <c r="I214" s="41">
        <f t="shared" si="15"/>
        <v>-209541.57417976638</v>
      </c>
    </row>
    <row r="215" spans="1:9" x14ac:dyDescent="0.25">
      <c r="A215" s="37">
        <f>Données!A215</f>
        <v>5754</v>
      </c>
      <c r="B215" s="26" t="str">
        <f>Données!B215</f>
        <v>Juriens</v>
      </c>
      <c r="C215" s="30">
        <f>Données!Z215</f>
        <v>348</v>
      </c>
      <c r="D215" s="162">
        <f>Ecrêtage!E215</f>
        <v>25.744427106067221</v>
      </c>
      <c r="E215" s="162">
        <f t="shared" si="12"/>
        <v>24.221006702064415</v>
      </c>
      <c r="F215" s="162">
        <f>+Données!X215</f>
        <v>79</v>
      </c>
      <c r="G215" s="271">
        <f t="shared" si="13"/>
        <v>-179788.65738835186</v>
      </c>
      <c r="H215" s="120">
        <f t="shared" si="14"/>
        <v>1.1697829420226697</v>
      </c>
      <c r="I215" s="41">
        <f t="shared" si="15"/>
        <v>-210313.70458205204</v>
      </c>
    </row>
    <row r="216" spans="1:9" x14ac:dyDescent="0.25">
      <c r="A216" s="37">
        <f>Données!A216</f>
        <v>5755</v>
      </c>
      <c r="B216" s="26" t="str">
        <f>Données!B216</f>
        <v>Lignerolle</v>
      </c>
      <c r="C216" s="30">
        <f>Données!Z216</f>
        <v>463</v>
      </c>
      <c r="D216" s="162">
        <f>Ecrêtage!E216</f>
        <v>22.434575315867356</v>
      </c>
      <c r="E216" s="162">
        <f t="shared" si="12"/>
        <v>27.530858492264279</v>
      </c>
      <c r="F216" s="162">
        <f>+Données!X216</f>
        <v>78.5</v>
      </c>
      <c r="G216" s="271">
        <f t="shared" si="13"/>
        <v>-270168.16067925969</v>
      </c>
      <c r="H216" s="120">
        <f t="shared" si="14"/>
        <v>1.1623792525161971</v>
      </c>
      <c r="I216" s="41">
        <f t="shared" si="15"/>
        <v>-314037.8646640337</v>
      </c>
    </row>
    <row r="217" spans="1:9" x14ac:dyDescent="0.25">
      <c r="A217" s="37">
        <f>Données!A217</f>
        <v>5756</v>
      </c>
      <c r="B217" s="26" t="str">
        <f>Données!B217</f>
        <v>Montcherand</v>
      </c>
      <c r="C217" s="30">
        <f>Données!Z217</f>
        <v>489</v>
      </c>
      <c r="D217" s="162">
        <f>Ecrêtage!E217</f>
        <v>44.050493353783224</v>
      </c>
      <c r="E217" s="162">
        <f t="shared" si="12"/>
        <v>5.914940454348411</v>
      </c>
      <c r="F217" s="162">
        <f>+Données!X217</f>
        <v>72</v>
      </c>
      <c r="G217" s="271">
        <f t="shared" si="13"/>
        <v>-56228.370349508688</v>
      </c>
      <c r="H217" s="120">
        <f t="shared" si="14"/>
        <v>1.0661312889320533</v>
      </c>
      <c r="I217" s="41">
        <f t="shared" si="15"/>
        <v>-59946.824955270546</v>
      </c>
    </row>
    <row r="218" spans="1:9" x14ac:dyDescent="0.25">
      <c r="A218" s="37">
        <f>Données!A218</f>
        <v>5757</v>
      </c>
      <c r="B218" s="26" t="str">
        <f>Données!B218</f>
        <v>Orbe</v>
      </c>
      <c r="C218" s="30">
        <f>Données!Z218</f>
        <v>7962</v>
      </c>
      <c r="D218" s="162">
        <f>Ecrêtage!E218</f>
        <v>32.221685273259908</v>
      </c>
      <c r="E218" s="162">
        <f t="shared" si="12"/>
        <v>17.743748534871727</v>
      </c>
      <c r="F218" s="162">
        <f>+Données!X218</f>
        <v>75.5</v>
      </c>
      <c r="G218" s="271">
        <f t="shared" si="13"/>
        <v>-2879905.6711393143</v>
      </c>
      <c r="H218" s="120">
        <f t="shared" si="14"/>
        <v>1.1179571154773615</v>
      </c>
      <c r="I218" s="41">
        <f t="shared" si="15"/>
        <v>-3219611.0369538027</v>
      </c>
    </row>
    <row r="219" spans="1:9" x14ac:dyDescent="0.25">
      <c r="A219" s="37">
        <f>Données!A219</f>
        <v>5758</v>
      </c>
      <c r="B219" s="26" t="str">
        <f>Données!B219</f>
        <v>La Praz</v>
      </c>
      <c r="C219" s="30">
        <f>Données!Z219</f>
        <v>207</v>
      </c>
      <c r="D219" s="162">
        <f>Ecrêtage!E219</f>
        <v>28.498037948897043</v>
      </c>
      <c r="E219" s="162">
        <f t="shared" si="12"/>
        <v>21.467395859234593</v>
      </c>
      <c r="F219" s="162">
        <f>+Données!X219</f>
        <v>83</v>
      </c>
      <c r="G219" s="271">
        <f t="shared" si="13"/>
        <v>-99584.45862952758</v>
      </c>
      <c r="H219" s="120">
        <f t="shared" si="14"/>
        <v>1.2290124580744504</v>
      </c>
      <c r="I219" s="41">
        <f t="shared" si="15"/>
        <v>-122390.54028628911</v>
      </c>
    </row>
    <row r="220" spans="1:9" x14ac:dyDescent="0.25">
      <c r="A220" s="37">
        <f>Données!A220</f>
        <v>5759</v>
      </c>
      <c r="B220" s="26" t="str">
        <f>Données!B220</f>
        <v>Premier</v>
      </c>
      <c r="C220" s="30">
        <f>Données!Z220</f>
        <v>228</v>
      </c>
      <c r="D220" s="162">
        <f>Ecrêtage!E220</f>
        <v>22.718179410791123</v>
      </c>
      <c r="E220" s="162">
        <f t="shared" si="12"/>
        <v>27.247254397340512</v>
      </c>
      <c r="F220" s="162">
        <f>+Données!X220</f>
        <v>79.5</v>
      </c>
      <c r="G220" s="271">
        <f t="shared" si="13"/>
        <v>-133348.60796567242</v>
      </c>
      <c r="H220" s="120">
        <f t="shared" si="14"/>
        <v>1.1771866315291424</v>
      </c>
      <c r="I220" s="41">
        <f t="shared" si="15"/>
        <v>-156976.19863021007</v>
      </c>
    </row>
    <row r="221" spans="1:9" x14ac:dyDescent="0.25">
      <c r="A221" s="37">
        <f>Données!A221</f>
        <v>5760</v>
      </c>
      <c r="B221" s="26" t="str">
        <f>Données!B221</f>
        <v>Rances</v>
      </c>
      <c r="C221" s="30">
        <f>Données!Z221</f>
        <v>508</v>
      </c>
      <c r="D221" s="162">
        <f>Ecrêtage!E221</f>
        <v>27.290029591889247</v>
      </c>
      <c r="E221" s="162">
        <f t="shared" si="12"/>
        <v>22.675404216242388</v>
      </c>
      <c r="F221" s="162">
        <f>+Données!X221</f>
        <v>76.5</v>
      </c>
      <c r="G221" s="271">
        <f t="shared" si="13"/>
        <v>-237927.12083593517</v>
      </c>
      <c r="H221" s="120">
        <f t="shared" si="14"/>
        <v>1.1327644944903068</v>
      </c>
      <c r="I221" s="41">
        <f t="shared" si="15"/>
        <v>-269515.39475925226</v>
      </c>
    </row>
    <row r="222" spans="1:9" x14ac:dyDescent="0.25">
      <c r="A222" s="37">
        <f>Données!A222</f>
        <v>5761</v>
      </c>
      <c r="B222" s="26" t="str">
        <f>Données!B222</f>
        <v>Romainmôtier-Envy</v>
      </c>
      <c r="C222" s="30">
        <f>Données!Z222</f>
        <v>560</v>
      </c>
      <c r="D222" s="162">
        <f>Ecrêtage!E222</f>
        <v>25.207309563892903</v>
      </c>
      <c r="E222" s="162">
        <f t="shared" si="12"/>
        <v>24.758124244238733</v>
      </c>
      <c r="F222" s="162">
        <f>+Données!X222</f>
        <v>81</v>
      </c>
      <c r="G222" s="271">
        <f t="shared" si="13"/>
        <v>-303217.69924404065</v>
      </c>
      <c r="H222" s="120">
        <f t="shared" si="14"/>
        <v>1.1993977000485601</v>
      </c>
      <c r="I222" s="41">
        <f t="shared" si="15"/>
        <v>-363678.61108731834</v>
      </c>
    </row>
    <row r="223" spans="1:9" x14ac:dyDescent="0.25">
      <c r="A223" s="37">
        <f>Données!A223</f>
        <v>5762</v>
      </c>
      <c r="B223" s="26" t="str">
        <f>Données!B223</f>
        <v>Sergey</v>
      </c>
      <c r="C223" s="30">
        <f>Données!Z223</f>
        <v>133</v>
      </c>
      <c r="D223" s="162">
        <f>Ecrêtage!E223</f>
        <v>26.447225959635933</v>
      </c>
      <c r="E223" s="162">
        <f t="shared" si="12"/>
        <v>23.518207848495702</v>
      </c>
      <c r="F223" s="162">
        <f>+Données!X223</f>
        <v>76</v>
      </c>
      <c r="G223" s="271">
        <f t="shared" si="13"/>
        <v>-64184.952131800535</v>
      </c>
      <c r="H223" s="120">
        <f t="shared" si="14"/>
        <v>1.1253608049838342</v>
      </c>
      <c r="I223" s="41">
        <f t="shared" si="15"/>
        <v>-72231.229398891912</v>
      </c>
    </row>
    <row r="224" spans="1:9" x14ac:dyDescent="0.25">
      <c r="A224" s="37">
        <f>Données!A224</f>
        <v>5763</v>
      </c>
      <c r="B224" s="26" t="str">
        <f>Données!B224</f>
        <v>Valeyres-sous-Rances</v>
      </c>
      <c r="C224" s="30">
        <f>Données!Z224</f>
        <v>583</v>
      </c>
      <c r="D224" s="162">
        <f>Ecrêtage!E224</f>
        <v>37.80325828038557</v>
      </c>
      <c r="E224" s="162">
        <f t="shared" si="12"/>
        <v>12.162175527746065</v>
      </c>
      <c r="F224" s="162">
        <f>+Données!X224</f>
        <v>71</v>
      </c>
      <c r="G224" s="271">
        <f t="shared" si="13"/>
        <v>-135925.81153739808</v>
      </c>
      <c r="H224" s="120">
        <f t="shared" si="14"/>
        <v>1.0513239099191083</v>
      </c>
      <c r="I224" s="41">
        <f t="shared" si="15"/>
        <v>-142902.05564442519</v>
      </c>
    </row>
    <row r="225" spans="1:9" x14ac:dyDescent="0.25">
      <c r="A225" s="37">
        <f>Données!A225</f>
        <v>5764</v>
      </c>
      <c r="B225" s="26" t="str">
        <f>Données!B225</f>
        <v>Vallorbe</v>
      </c>
      <c r="C225" s="30">
        <f>Données!Z225</f>
        <v>4328</v>
      </c>
      <c r="D225" s="162">
        <f>Ecrêtage!E225</f>
        <v>21.931222386670633</v>
      </c>
      <c r="E225" s="162">
        <f t="shared" si="12"/>
        <v>28.034211421461002</v>
      </c>
      <c r="F225" s="162">
        <f>+Données!X225</f>
        <v>71.5</v>
      </c>
      <c r="G225" s="271">
        <f t="shared" si="13"/>
        <v>-2342315.5540543669</v>
      </c>
      <c r="H225" s="120">
        <f t="shared" si="14"/>
        <v>1.0587275994255809</v>
      </c>
      <c r="I225" s="41">
        <f t="shared" si="15"/>
        <v>-2479874.1236411794</v>
      </c>
    </row>
    <row r="226" spans="1:9" x14ac:dyDescent="0.25">
      <c r="A226" s="37">
        <f>Données!A226</f>
        <v>5765</v>
      </c>
      <c r="B226" s="26" t="str">
        <f>Données!B226</f>
        <v>Vaulion</v>
      </c>
      <c r="C226" s="30">
        <f>Données!Z226</f>
        <v>489</v>
      </c>
      <c r="D226" s="162">
        <f>Ecrêtage!E226</f>
        <v>20.788438486202633</v>
      </c>
      <c r="E226" s="162">
        <f t="shared" si="12"/>
        <v>29.176995321929002</v>
      </c>
      <c r="F226" s="162">
        <f>+Données!X226</f>
        <v>81</v>
      </c>
      <c r="G226" s="271">
        <f t="shared" si="13"/>
        <v>-312031.33408069727</v>
      </c>
      <c r="H226" s="120">
        <f t="shared" si="14"/>
        <v>1.1993977000485601</v>
      </c>
      <c r="I226" s="41">
        <f t="shared" si="15"/>
        <v>-374249.6644394722</v>
      </c>
    </row>
    <row r="227" spans="1:9" x14ac:dyDescent="0.25">
      <c r="A227" s="37">
        <f>Données!A227</f>
        <v>5766</v>
      </c>
      <c r="B227" s="26" t="str">
        <f>Données!B227</f>
        <v>Vuiteboeuf</v>
      </c>
      <c r="C227" s="30">
        <f>Données!Z227</f>
        <v>607</v>
      </c>
      <c r="D227" s="162">
        <f>Ecrêtage!E227</f>
        <v>25.511808802071076</v>
      </c>
      <c r="E227" s="162">
        <f t="shared" si="12"/>
        <v>24.453625006060559</v>
      </c>
      <c r="F227" s="162">
        <f>+Données!X227</f>
        <v>75</v>
      </c>
      <c r="G227" s="271">
        <f t="shared" si="13"/>
        <v>-300577.84516824485</v>
      </c>
      <c r="H227" s="120">
        <f t="shared" si="14"/>
        <v>1.1105534259708889</v>
      </c>
      <c r="I227" s="41">
        <f t="shared" si="15"/>
        <v>-333807.75572254171</v>
      </c>
    </row>
    <row r="228" spans="1:9" x14ac:dyDescent="0.25">
      <c r="A228" s="37">
        <f>Données!A228</f>
        <v>5785</v>
      </c>
      <c r="B228" s="26" t="str">
        <f>Données!B228</f>
        <v>Corcelles-le-Jorat</v>
      </c>
      <c r="C228" s="30">
        <f>Données!Z228</f>
        <v>499</v>
      </c>
      <c r="D228" s="162">
        <f>Ecrêtage!E228</f>
        <v>30.441012959251839</v>
      </c>
      <c r="E228" s="162">
        <f t="shared" si="12"/>
        <v>19.524420848879796</v>
      </c>
      <c r="F228" s="162">
        <f>+Données!X228</f>
        <v>75</v>
      </c>
      <c r="G228" s="271">
        <f t="shared" si="13"/>
        <v>-197289.39157271813</v>
      </c>
      <c r="H228" s="120">
        <f t="shared" si="14"/>
        <v>1.1105534259708889</v>
      </c>
      <c r="I228" s="41">
        <f t="shared" si="15"/>
        <v>-219100.40971879434</v>
      </c>
    </row>
    <row r="229" spans="1:9" x14ac:dyDescent="0.25">
      <c r="A229" s="37">
        <f>Données!A229</f>
        <v>5790</v>
      </c>
      <c r="B229" s="26" t="str">
        <f>Données!B229</f>
        <v>Maracon</v>
      </c>
      <c r="C229" s="30">
        <f>Données!Z229</f>
        <v>569</v>
      </c>
      <c r="D229" s="162">
        <f>Ecrêtage!E229</f>
        <v>28.632316674726642</v>
      </c>
      <c r="E229" s="162">
        <f t="shared" si="12"/>
        <v>21.333117133404993</v>
      </c>
      <c r="F229" s="162">
        <f>+Données!X229</f>
        <v>74.5</v>
      </c>
      <c r="G229" s="271">
        <f t="shared" si="13"/>
        <v>-244166.8054977732</v>
      </c>
      <c r="H229" s="120">
        <f t="shared" si="14"/>
        <v>1.1031497364644165</v>
      </c>
      <c r="I229" s="41">
        <f t="shared" si="15"/>
        <v>-269352.54713822692</v>
      </c>
    </row>
    <row r="230" spans="1:9" x14ac:dyDescent="0.25">
      <c r="A230" s="37">
        <f>Données!A230</f>
        <v>5792</v>
      </c>
      <c r="B230" s="26" t="str">
        <f>Données!B230</f>
        <v>Montpreveyres</v>
      </c>
      <c r="C230" s="30">
        <f>Données!Z230</f>
        <v>653</v>
      </c>
      <c r="D230" s="162">
        <f>Ecrêtage!E230</f>
        <v>30.643733311407338</v>
      </c>
      <c r="E230" s="162">
        <f t="shared" si="12"/>
        <v>19.321700496724297</v>
      </c>
      <c r="F230" s="162">
        <f>+Données!X230</f>
        <v>74.5</v>
      </c>
      <c r="G230" s="271">
        <f t="shared" si="13"/>
        <v>-253792.37158602083</v>
      </c>
      <c r="H230" s="120">
        <f t="shared" si="14"/>
        <v>1.1031497364644165</v>
      </c>
      <c r="I230" s="41">
        <f t="shared" si="15"/>
        <v>-279970.98783179815</v>
      </c>
    </row>
    <row r="231" spans="1:9" x14ac:dyDescent="0.25">
      <c r="A231" s="37">
        <f>Données!A231</f>
        <v>5798</v>
      </c>
      <c r="B231" s="26" t="str">
        <f>Données!B231</f>
        <v>Ropraz</v>
      </c>
      <c r="C231" s="30">
        <f>Données!Z231</f>
        <v>529</v>
      </c>
      <c r="D231" s="162">
        <f>Ecrêtage!E231</f>
        <v>29.576484907616322</v>
      </c>
      <c r="E231" s="162">
        <f t="shared" si="12"/>
        <v>20.388948900515313</v>
      </c>
      <c r="F231" s="162">
        <f>+Données!X231</f>
        <v>77.5</v>
      </c>
      <c r="G231" s="271">
        <f t="shared" si="13"/>
        <v>-225691.9017881967</v>
      </c>
      <c r="H231" s="120">
        <f t="shared" si="14"/>
        <v>1.1475718735032518</v>
      </c>
      <c r="I231" s="41">
        <f t="shared" si="15"/>
        <v>-258997.6785695928</v>
      </c>
    </row>
    <row r="232" spans="1:9" x14ac:dyDescent="0.25">
      <c r="A232" s="37">
        <f>Données!A232</f>
        <v>5799</v>
      </c>
      <c r="B232" s="26" t="str">
        <f>Données!B232</f>
        <v>Servion</v>
      </c>
      <c r="C232" s="30">
        <f>Données!Z232</f>
        <v>2228</v>
      </c>
      <c r="D232" s="162">
        <f>Ecrêtage!E232</f>
        <v>35.848572645903268</v>
      </c>
      <c r="E232" s="162">
        <f t="shared" si="12"/>
        <v>14.116861162228368</v>
      </c>
      <c r="F232" s="162">
        <f>+Données!X232</f>
        <v>69</v>
      </c>
      <c r="G232" s="271">
        <f t="shared" si="13"/>
        <v>-585957.59105175675</v>
      </c>
      <c r="H232" s="120">
        <f t="shared" si="14"/>
        <v>1.0217091518932178</v>
      </c>
      <c r="I232" s="41">
        <f t="shared" si="15"/>
        <v>-598678.23339888337</v>
      </c>
    </row>
    <row r="233" spans="1:9" x14ac:dyDescent="0.25">
      <c r="A233" s="37">
        <f>Données!A233</f>
        <v>5803</v>
      </c>
      <c r="B233" s="26" t="str">
        <f>Données!B233</f>
        <v>Vulliens</v>
      </c>
      <c r="C233" s="30">
        <f>Données!Z233</f>
        <v>628</v>
      </c>
      <c r="D233" s="162">
        <f>Ecrêtage!E233</f>
        <v>29.448614864864858</v>
      </c>
      <c r="E233" s="162">
        <f t="shared" si="12"/>
        <v>20.516818943266777</v>
      </c>
      <c r="F233" s="162">
        <f>+Données!X233</f>
        <v>74</v>
      </c>
      <c r="G233" s="271">
        <f t="shared" si="13"/>
        <v>-257433.5546815033</v>
      </c>
      <c r="H233" s="120">
        <f t="shared" si="14"/>
        <v>1.0957460469579439</v>
      </c>
      <c r="I233" s="41">
        <f t="shared" si="15"/>
        <v>-282081.7998965889</v>
      </c>
    </row>
    <row r="234" spans="1:9" x14ac:dyDescent="0.25">
      <c r="A234" s="37">
        <f>Données!A234</f>
        <v>5804</v>
      </c>
      <c r="B234" s="26" t="str">
        <f>Données!B234</f>
        <v>Jorat-Menthue</v>
      </c>
      <c r="C234" s="30">
        <f>Données!Z234</f>
        <v>1576</v>
      </c>
      <c r="D234" s="162">
        <f>Ecrêtage!E234</f>
        <v>30.558269881556686</v>
      </c>
      <c r="E234" s="162">
        <f t="shared" si="12"/>
        <v>19.407163926574949</v>
      </c>
      <c r="F234" s="162">
        <f>+Données!X234</f>
        <v>70.5</v>
      </c>
      <c r="G234" s="271">
        <f t="shared" si="13"/>
        <v>-582198.61577955016</v>
      </c>
      <c r="H234" s="120">
        <f t="shared" si="14"/>
        <v>1.0439202204126357</v>
      </c>
      <c r="I234" s="41">
        <f t="shared" si="15"/>
        <v>-607768.90730851935</v>
      </c>
    </row>
    <row r="235" spans="1:9" x14ac:dyDescent="0.25">
      <c r="A235" s="37">
        <f>Données!A235</f>
        <v>5805</v>
      </c>
      <c r="B235" s="26" t="str">
        <f>Données!B235</f>
        <v>Oron</v>
      </c>
      <c r="C235" s="30">
        <f>Données!Z235</f>
        <v>6345</v>
      </c>
      <c r="D235" s="162">
        <f>Ecrêtage!E235</f>
        <v>29.814216310499379</v>
      </c>
      <c r="E235" s="162">
        <f t="shared" si="12"/>
        <v>20.151217497632256</v>
      </c>
      <c r="F235" s="162">
        <f>+Données!X235</f>
        <v>69</v>
      </c>
      <c r="G235" s="271">
        <f t="shared" si="13"/>
        <v>-2382022.0196687402</v>
      </c>
      <c r="H235" s="120">
        <f t="shared" si="14"/>
        <v>1.0217091518932178</v>
      </c>
      <c r="I235" s="41">
        <f t="shared" si="15"/>
        <v>-2433733.6975067183</v>
      </c>
    </row>
    <row r="236" spans="1:9" x14ac:dyDescent="0.25">
      <c r="A236" s="37">
        <f>Données!A236</f>
        <v>5806</v>
      </c>
      <c r="B236" s="26" t="str">
        <f>Données!B236</f>
        <v>Jorat-Mézières</v>
      </c>
      <c r="C236" s="30">
        <f>Données!Z236</f>
        <v>3189</v>
      </c>
      <c r="D236" s="162">
        <f>Ecrêtage!E236</f>
        <v>31.974097315154651</v>
      </c>
      <c r="E236" s="162">
        <f t="shared" si="12"/>
        <v>17.991336492976984</v>
      </c>
      <c r="F236" s="162">
        <f>+Données!X236</f>
        <v>71</v>
      </c>
      <c r="G236" s="271">
        <f t="shared" si="13"/>
        <v>-1099866.7126989062</v>
      </c>
      <c r="H236" s="120">
        <f t="shared" si="14"/>
        <v>1.0513239099191083</v>
      </c>
      <c r="I236" s="41">
        <f t="shared" si="15"/>
        <v>-1156316.1727844905</v>
      </c>
    </row>
    <row r="237" spans="1:9" x14ac:dyDescent="0.25">
      <c r="A237" s="37">
        <f>Données!A237</f>
        <v>5812</v>
      </c>
      <c r="B237" s="26" t="str">
        <f>Données!B237</f>
        <v>Champtauroz</v>
      </c>
      <c r="C237" s="30">
        <f>Données!Z237</f>
        <v>196</v>
      </c>
      <c r="D237" s="162">
        <f>Ecrêtage!E237</f>
        <v>20.248629075006622</v>
      </c>
      <c r="E237" s="162">
        <f t="shared" si="12"/>
        <v>29.716804733125013</v>
      </c>
      <c r="F237" s="162">
        <f>+Données!X237</f>
        <v>77</v>
      </c>
      <c r="G237" s="271">
        <f t="shared" si="13"/>
        <v>-121091.22459872715</v>
      </c>
      <c r="H237" s="120">
        <f t="shared" si="14"/>
        <v>1.1401681839967794</v>
      </c>
      <c r="I237" s="41">
        <f t="shared" si="15"/>
        <v>-138064.36164867689</v>
      </c>
    </row>
    <row r="238" spans="1:9" x14ac:dyDescent="0.25">
      <c r="A238" s="37">
        <f>Données!A238</f>
        <v>5813</v>
      </c>
      <c r="B238" s="26" t="str">
        <f>Données!B238</f>
        <v>Chevroux</v>
      </c>
      <c r="C238" s="30">
        <f>Données!Z238</f>
        <v>495</v>
      </c>
      <c r="D238" s="162">
        <f>Ecrêtage!E238</f>
        <v>38.952443018997762</v>
      </c>
      <c r="E238" s="162">
        <f t="shared" si="12"/>
        <v>11.012990789133873</v>
      </c>
      <c r="F238" s="162">
        <f>+Données!X238</f>
        <v>68.5</v>
      </c>
      <c r="G238" s="271">
        <f t="shared" si="13"/>
        <v>-100824.20599929034</v>
      </c>
      <c r="H238" s="120">
        <f t="shared" si="14"/>
        <v>1.0143054623867453</v>
      </c>
      <c r="I238" s="41">
        <f t="shared" si="15"/>
        <v>-102266.54288588665</v>
      </c>
    </row>
    <row r="239" spans="1:9" x14ac:dyDescent="0.25">
      <c r="A239" s="37">
        <f>Données!A239</f>
        <v>5816</v>
      </c>
      <c r="B239" s="26" t="str">
        <f>Données!B239</f>
        <v>Corcelles-près-Payerne</v>
      </c>
      <c r="C239" s="30">
        <f>Données!Z239</f>
        <v>3004</v>
      </c>
      <c r="D239" s="162">
        <f>Ecrêtage!E239</f>
        <v>24.544565012218143</v>
      </c>
      <c r="E239" s="162">
        <f t="shared" si="12"/>
        <v>25.420868795913492</v>
      </c>
      <c r="F239" s="162">
        <f>+Données!X239</f>
        <v>65</v>
      </c>
      <c r="G239" s="271">
        <f t="shared" si="13"/>
        <v>-1340193.2870943185</v>
      </c>
      <c r="H239" s="120">
        <f t="shared" si="14"/>
        <v>0.96247963584143714</v>
      </c>
      <c r="I239" s="41">
        <f t="shared" si="15"/>
        <v>-1289908.7469196783</v>
      </c>
    </row>
    <row r="240" spans="1:9" x14ac:dyDescent="0.25">
      <c r="A240" s="37">
        <f>Données!A240</f>
        <v>5817</v>
      </c>
      <c r="B240" s="26" t="str">
        <f>Données!B240</f>
        <v>Grandcour</v>
      </c>
      <c r="C240" s="30">
        <f>Données!Z240</f>
        <v>983</v>
      </c>
      <c r="D240" s="162">
        <f>Ecrêtage!E240</f>
        <v>27.694603961794964</v>
      </c>
      <c r="E240" s="162">
        <f t="shared" si="12"/>
        <v>22.270829846336671</v>
      </c>
      <c r="F240" s="162">
        <f>+Données!X240</f>
        <v>72</v>
      </c>
      <c r="G240" s="271">
        <f t="shared" si="13"/>
        <v>-425584.86836516752</v>
      </c>
      <c r="H240" s="120">
        <f t="shared" si="14"/>
        <v>1.0661312889320533</v>
      </c>
      <c r="I240" s="41">
        <f t="shared" si="15"/>
        <v>-453729.34426013433</v>
      </c>
    </row>
    <row r="241" spans="1:9" x14ac:dyDescent="0.25">
      <c r="A241" s="37">
        <f>Données!A241</f>
        <v>5819</v>
      </c>
      <c r="B241" s="26" t="str">
        <f>Données!B241</f>
        <v>Henniez</v>
      </c>
      <c r="C241" s="30">
        <f>Données!Z241</f>
        <v>468</v>
      </c>
      <c r="D241" s="162">
        <f>Ecrêtage!E241</f>
        <v>31.798743342004219</v>
      </c>
      <c r="E241" s="162">
        <f t="shared" si="12"/>
        <v>18.166690466127417</v>
      </c>
      <c r="F241" s="162">
        <f>+Données!X241</f>
        <v>69</v>
      </c>
      <c r="G241" s="271">
        <f t="shared" si="13"/>
        <v>-158392.46750369036</v>
      </c>
      <c r="H241" s="120">
        <f t="shared" si="14"/>
        <v>1.0217091518932178</v>
      </c>
      <c r="I241" s="41">
        <f t="shared" si="15"/>
        <v>-161831.03363946953</v>
      </c>
    </row>
    <row r="242" spans="1:9" x14ac:dyDescent="0.25">
      <c r="A242" s="37">
        <f>Données!A242</f>
        <v>5821</v>
      </c>
      <c r="B242" s="26" t="str">
        <f>Données!B242</f>
        <v>Missy</v>
      </c>
      <c r="C242" s="30">
        <f>Données!Z242</f>
        <v>384</v>
      </c>
      <c r="D242" s="162">
        <f>Ecrêtage!E242</f>
        <v>27.041848203502415</v>
      </c>
      <c r="E242" s="162">
        <f t="shared" si="12"/>
        <v>22.923585604629221</v>
      </c>
      <c r="F242" s="162">
        <f>+Données!X242</f>
        <v>69</v>
      </c>
      <c r="G242" s="271">
        <f t="shared" si="13"/>
        <v>-163993.49752866908</v>
      </c>
      <c r="H242" s="120">
        <f t="shared" si="14"/>
        <v>1.0217091518932178</v>
      </c>
      <c r="I242" s="41">
        <f t="shared" si="15"/>
        <v>-167553.65727601899</v>
      </c>
    </row>
    <row r="243" spans="1:9" x14ac:dyDescent="0.25">
      <c r="A243" s="37">
        <f>Données!A243</f>
        <v>5822</v>
      </c>
      <c r="B243" s="26" t="str">
        <f>Données!B243</f>
        <v>Payerne</v>
      </c>
      <c r="C243" s="30">
        <f>Données!Z243</f>
        <v>10802</v>
      </c>
      <c r="D243" s="162">
        <f>Ecrêtage!E243</f>
        <v>23.205165591028116</v>
      </c>
      <c r="E243" s="162">
        <f t="shared" si="12"/>
        <v>26.760268217103519</v>
      </c>
      <c r="F243" s="162">
        <f>+Données!X243</f>
        <v>70</v>
      </c>
      <c r="G243" s="271">
        <f t="shared" si="13"/>
        <v>-5463317.4866137765</v>
      </c>
      <c r="H243" s="120">
        <f t="shared" si="14"/>
        <v>1.036516530906163</v>
      </c>
      <c r="I243" s="41">
        <f t="shared" si="15"/>
        <v>-5662818.8884638892</v>
      </c>
    </row>
    <row r="244" spans="1:9" x14ac:dyDescent="0.25">
      <c r="A244" s="37">
        <f>Données!A244</f>
        <v>5827</v>
      </c>
      <c r="B244" s="26" t="str">
        <f>Données!B244</f>
        <v>Trey</v>
      </c>
      <c r="C244" s="30">
        <f>Données!Z244</f>
        <v>318</v>
      </c>
      <c r="D244" s="162">
        <f>Ecrêtage!E244</f>
        <v>27.341051846476372</v>
      </c>
      <c r="E244" s="162">
        <f t="shared" si="12"/>
        <v>22.624381961655263</v>
      </c>
      <c r="F244" s="162">
        <f>+Données!X244</f>
        <v>78</v>
      </c>
      <c r="G244" s="271">
        <f t="shared" si="13"/>
        <v>-151517.29594776226</v>
      </c>
      <c r="H244" s="120">
        <f t="shared" si="14"/>
        <v>1.1549755630097245</v>
      </c>
      <c r="I244" s="41">
        <f t="shared" si="15"/>
        <v>-174998.77419297775</v>
      </c>
    </row>
    <row r="245" spans="1:9" x14ac:dyDescent="0.25">
      <c r="A245" s="37">
        <f>Données!A245</f>
        <v>5828</v>
      </c>
      <c r="B245" s="26" t="str">
        <f>Données!B245</f>
        <v>Treytorrens (Payerne)</v>
      </c>
      <c r="C245" s="30">
        <f>Données!Z245</f>
        <v>109</v>
      </c>
      <c r="D245" s="162">
        <f>Ecrêtage!E245</f>
        <v>26.090093994484153</v>
      </c>
      <c r="E245" s="162">
        <f t="shared" si="12"/>
        <v>23.875339813647482</v>
      </c>
      <c r="F245" s="162">
        <f>+Données!X245</f>
        <v>81.5</v>
      </c>
      <c r="G245" s="271">
        <f t="shared" si="13"/>
        <v>-57266.076933325108</v>
      </c>
      <c r="H245" s="120">
        <f t="shared" si="14"/>
        <v>1.2068013895550327</v>
      </c>
      <c r="I245" s="41">
        <f t="shared" si="15"/>
        <v>-69108.781217502139</v>
      </c>
    </row>
    <row r="246" spans="1:9" x14ac:dyDescent="0.25">
      <c r="A246" s="37">
        <f>Données!A246</f>
        <v>5830</v>
      </c>
      <c r="B246" s="26" t="str">
        <f>Données!B246</f>
        <v>Villarzel</v>
      </c>
      <c r="C246" s="30">
        <f>Données!Z246</f>
        <v>524</v>
      </c>
      <c r="D246" s="162">
        <f>Ecrêtage!E246</f>
        <v>28.64191857506361</v>
      </c>
      <c r="E246" s="162">
        <f t="shared" si="12"/>
        <v>21.323515233068026</v>
      </c>
      <c r="F246" s="162">
        <f>+Données!X246</f>
        <v>75</v>
      </c>
      <c r="G246" s="271">
        <f t="shared" si="13"/>
        <v>-226263.82013808485</v>
      </c>
      <c r="H246" s="120">
        <f t="shared" si="14"/>
        <v>1.1105534259708889</v>
      </c>
      <c r="I246" s="41">
        <f t="shared" si="15"/>
        <v>-251278.06062761112</v>
      </c>
    </row>
    <row r="247" spans="1:9" x14ac:dyDescent="0.25">
      <c r="A247" s="37">
        <f>Données!A247</f>
        <v>5831</v>
      </c>
      <c r="B247" s="26" t="str">
        <f>Données!B247</f>
        <v>Valbroye</v>
      </c>
      <c r="C247" s="30">
        <f>Données!Z247</f>
        <v>3435</v>
      </c>
      <c r="D247" s="162">
        <f>Ecrêtage!E247</f>
        <v>25.361396402627662</v>
      </c>
      <c r="E247" s="162">
        <f t="shared" si="12"/>
        <v>24.604037405503973</v>
      </c>
      <c r="F247" s="162">
        <f>+Données!X247</f>
        <v>70.5</v>
      </c>
      <c r="G247" s="271">
        <f t="shared" si="13"/>
        <v>-1608740.5216672935</v>
      </c>
      <c r="H247" s="120">
        <f t="shared" si="14"/>
        <v>1.0439202204126357</v>
      </c>
      <c r="I247" s="41">
        <f t="shared" si="15"/>
        <v>-1679396.7599656596</v>
      </c>
    </row>
    <row r="248" spans="1:9" x14ac:dyDescent="0.25">
      <c r="A248" s="37">
        <f>Données!A248</f>
        <v>5841</v>
      </c>
      <c r="B248" s="26" t="str">
        <f>Données!B248</f>
        <v>Château-d'Oex</v>
      </c>
      <c r="C248" s="30">
        <f>Données!Z248</f>
        <v>3656</v>
      </c>
      <c r="D248" s="162">
        <f>Ecrêtage!E248</f>
        <v>33.900799224067342</v>
      </c>
      <c r="E248" s="162">
        <f t="shared" si="12"/>
        <v>16.064634584064294</v>
      </c>
      <c r="F248" s="162">
        <f>+Données!X248</f>
        <v>81.5</v>
      </c>
      <c r="G248" s="271">
        <f t="shared" si="13"/>
        <v>-1292404.3503856559</v>
      </c>
      <c r="H248" s="120">
        <f t="shared" si="14"/>
        <v>1.2068013895550327</v>
      </c>
      <c r="I248" s="41">
        <f t="shared" si="15"/>
        <v>-1559675.3659123788</v>
      </c>
    </row>
    <row r="249" spans="1:9" x14ac:dyDescent="0.25">
      <c r="A249" s="37">
        <f>Données!A249</f>
        <v>5842</v>
      </c>
      <c r="B249" s="26" t="str">
        <f>Données!B249</f>
        <v>Rossinière</v>
      </c>
      <c r="C249" s="30">
        <f>Données!Z249</f>
        <v>499</v>
      </c>
      <c r="D249" s="162">
        <f>Ecrêtage!E249</f>
        <v>31.830281385816903</v>
      </c>
      <c r="E249" s="162">
        <f t="shared" si="12"/>
        <v>18.135152422314732</v>
      </c>
      <c r="F249" s="162">
        <f>+Données!X249</f>
        <v>81</v>
      </c>
      <c r="G249" s="271">
        <f t="shared" si="13"/>
        <v>-197911.27595453561</v>
      </c>
      <c r="H249" s="120">
        <f t="shared" si="14"/>
        <v>1.1993977000485601</v>
      </c>
      <c r="I249" s="41">
        <f t="shared" si="15"/>
        <v>-237374.32919354588</v>
      </c>
    </row>
    <row r="250" spans="1:9" x14ac:dyDescent="0.25">
      <c r="A250" s="37">
        <f>Données!A250</f>
        <v>5843</v>
      </c>
      <c r="B250" s="26" t="str">
        <f>Données!B250</f>
        <v>Rougemont</v>
      </c>
      <c r="C250" s="30">
        <f>Données!Z250</f>
        <v>812</v>
      </c>
      <c r="D250" s="162">
        <f>Ecrêtage!E250</f>
        <v>107.3576598906695</v>
      </c>
      <c r="E250" s="162">
        <f t="shared" si="12"/>
        <v>0</v>
      </c>
      <c r="F250" s="162">
        <f>+Données!X250</f>
        <v>79</v>
      </c>
      <c r="G250" s="271">
        <f t="shared" si="13"/>
        <v>0</v>
      </c>
      <c r="H250" s="120">
        <f t="shared" si="14"/>
        <v>1.1697829420226697</v>
      </c>
      <c r="I250" s="41">
        <f t="shared" si="15"/>
        <v>0</v>
      </c>
    </row>
    <row r="251" spans="1:9" x14ac:dyDescent="0.25">
      <c r="A251" s="37">
        <f>Données!A251</f>
        <v>5851</v>
      </c>
      <c r="B251" s="26" t="str">
        <f>Données!B251</f>
        <v>Allaman</v>
      </c>
      <c r="C251" s="30">
        <f>Données!Z251</f>
        <v>430</v>
      </c>
      <c r="D251" s="162">
        <f>Ecrêtage!E251</f>
        <v>64.485351937984504</v>
      </c>
      <c r="E251" s="162">
        <f t="shared" si="12"/>
        <v>0</v>
      </c>
      <c r="F251" s="162">
        <f>+Données!X251</f>
        <v>65</v>
      </c>
      <c r="G251" s="271">
        <f t="shared" si="13"/>
        <v>0</v>
      </c>
      <c r="H251" s="120">
        <f t="shared" si="14"/>
        <v>0.96247963584143714</v>
      </c>
      <c r="I251" s="41">
        <f t="shared" si="15"/>
        <v>0</v>
      </c>
    </row>
    <row r="252" spans="1:9" x14ac:dyDescent="0.25">
      <c r="A252" s="37">
        <f>Données!A252</f>
        <v>5852</v>
      </c>
      <c r="B252" s="26" t="str">
        <f>Données!B252</f>
        <v>Bursinel</v>
      </c>
      <c r="C252" s="30">
        <f>Données!Z252</f>
        <v>530</v>
      </c>
      <c r="D252" s="162">
        <f>Ecrêtage!E252</f>
        <v>81.025992797727753</v>
      </c>
      <c r="E252" s="162">
        <f t="shared" si="12"/>
        <v>0</v>
      </c>
      <c r="F252" s="162">
        <f>+Données!X252</f>
        <v>62</v>
      </c>
      <c r="G252" s="271">
        <f t="shared" si="13"/>
        <v>0</v>
      </c>
      <c r="H252" s="120">
        <f t="shared" si="14"/>
        <v>0.91805749880260157</v>
      </c>
      <c r="I252" s="41">
        <f t="shared" si="15"/>
        <v>0</v>
      </c>
    </row>
    <row r="253" spans="1:9" x14ac:dyDescent="0.25">
      <c r="A253" s="37">
        <f>Données!A253</f>
        <v>5853</v>
      </c>
      <c r="B253" s="26" t="str">
        <f>Données!B253</f>
        <v>Bursins</v>
      </c>
      <c r="C253" s="30">
        <f>Données!Z253</f>
        <v>825</v>
      </c>
      <c r="D253" s="162">
        <f>Ecrêtage!E253</f>
        <v>54.541499445155786</v>
      </c>
      <c r="E253" s="162">
        <f t="shared" si="12"/>
        <v>0</v>
      </c>
      <c r="F253" s="162">
        <f>+Données!X253</f>
        <v>71</v>
      </c>
      <c r="G253" s="271">
        <f t="shared" si="13"/>
        <v>0</v>
      </c>
      <c r="H253" s="120">
        <f t="shared" si="14"/>
        <v>1.0513239099191083</v>
      </c>
      <c r="I253" s="41">
        <f t="shared" si="15"/>
        <v>0</v>
      </c>
    </row>
    <row r="254" spans="1:9" x14ac:dyDescent="0.25">
      <c r="A254" s="37">
        <f>Données!A254</f>
        <v>5854</v>
      </c>
      <c r="B254" s="26" t="str">
        <f>Données!B254</f>
        <v>Burtigny</v>
      </c>
      <c r="C254" s="30">
        <f>Données!Z254</f>
        <v>401</v>
      </c>
      <c r="D254" s="162">
        <f>Ecrêtage!E254</f>
        <v>41.485011914657797</v>
      </c>
      <c r="E254" s="162">
        <f t="shared" si="12"/>
        <v>8.4804218934738387</v>
      </c>
      <c r="F254" s="162">
        <f>+Données!X254</f>
        <v>75</v>
      </c>
      <c r="G254" s="271">
        <f t="shared" si="13"/>
        <v>-68863.145880480937</v>
      </c>
      <c r="H254" s="120">
        <f t="shared" si="14"/>
        <v>1.1105534259708889</v>
      </c>
      <c r="I254" s="41">
        <f t="shared" si="15"/>
        <v>-76476.202580701211</v>
      </c>
    </row>
    <row r="255" spans="1:9" x14ac:dyDescent="0.25">
      <c r="A255" s="37">
        <f>Données!A255</f>
        <v>5855</v>
      </c>
      <c r="B255" s="26" t="str">
        <f>Données!B255</f>
        <v>Dully</v>
      </c>
      <c r="C255" s="30">
        <f>Données!Z255</f>
        <v>623</v>
      </c>
      <c r="D255" s="162">
        <f>Ecrêtage!E255</f>
        <v>158.90298282806867</v>
      </c>
      <c r="E255" s="162">
        <f t="shared" si="12"/>
        <v>0</v>
      </c>
      <c r="F255" s="162">
        <f>+Données!X255</f>
        <v>53</v>
      </c>
      <c r="G255" s="271">
        <f t="shared" si="13"/>
        <v>0</v>
      </c>
      <c r="H255" s="120">
        <f t="shared" si="14"/>
        <v>0.78479108768609485</v>
      </c>
      <c r="I255" s="41">
        <f t="shared" si="15"/>
        <v>0</v>
      </c>
    </row>
    <row r="256" spans="1:9" x14ac:dyDescent="0.25">
      <c r="A256" s="37">
        <f>Données!A256</f>
        <v>5856</v>
      </c>
      <c r="B256" s="26" t="str">
        <f>Données!B256</f>
        <v>Essertines-sur-Rolle</v>
      </c>
      <c r="C256" s="30">
        <f>Données!Z256</f>
        <v>789</v>
      </c>
      <c r="D256" s="162">
        <f>Ecrêtage!E256</f>
        <v>46.423855353505139</v>
      </c>
      <c r="E256" s="162">
        <f t="shared" si="12"/>
        <v>3.5415784546264959</v>
      </c>
      <c r="F256" s="162">
        <f>+Données!X256</f>
        <v>66.5</v>
      </c>
      <c r="G256" s="271">
        <f t="shared" si="13"/>
        <v>-50171.753469573989</v>
      </c>
      <c r="H256" s="120">
        <f t="shared" si="14"/>
        <v>0.98469070436085493</v>
      </c>
      <c r="I256" s="41">
        <f t="shared" si="15"/>
        <v>-49403.659262973975</v>
      </c>
    </row>
    <row r="257" spans="1:9" x14ac:dyDescent="0.25">
      <c r="A257" s="37">
        <f>Données!A257</f>
        <v>5857</v>
      </c>
      <c r="B257" s="26" t="str">
        <f>Données!B257</f>
        <v>Gilly</v>
      </c>
      <c r="C257" s="30">
        <f>Données!Z257</f>
        <v>1441</v>
      </c>
      <c r="D257" s="162">
        <f>Ecrêtage!E257</f>
        <v>67.091432091194207</v>
      </c>
      <c r="E257" s="162">
        <f t="shared" si="12"/>
        <v>0</v>
      </c>
      <c r="F257" s="162">
        <f>+Données!X257</f>
        <v>64.5</v>
      </c>
      <c r="G257" s="271">
        <f t="shared" si="13"/>
        <v>0</v>
      </c>
      <c r="H257" s="120">
        <f t="shared" si="14"/>
        <v>0.95507594633496451</v>
      </c>
      <c r="I257" s="41">
        <f t="shared" si="15"/>
        <v>0</v>
      </c>
    </row>
    <row r="258" spans="1:9" x14ac:dyDescent="0.25">
      <c r="A258" s="37">
        <f>Données!A258</f>
        <v>5858</v>
      </c>
      <c r="B258" s="26" t="str">
        <f>Données!B258</f>
        <v>Luins</v>
      </c>
      <c r="C258" s="30">
        <f>Données!Z258</f>
        <v>637</v>
      </c>
      <c r="D258" s="162">
        <f>Ecrêtage!E258</f>
        <v>64.683041411173264</v>
      </c>
      <c r="E258" s="162">
        <f t="shared" si="12"/>
        <v>0</v>
      </c>
      <c r="F258" s="162">
        <f>+Données!X258</f>
        <v>58.5</v>
      </c>
      <c r="G258" s="271">
        <f t="shared" si="13"/>
        <v>0</v>
      </c>
      <c r="H258" s="120">
        <f t="shared" si="14"/>
        <v>0.86623167225729336</v>
      </c>
      <c r="I258" s="41">
        <f t="shared" si="15"/>
        <v>0</v>
      </c>
    </row>
    <row r="259" spans="1:9" x14ac:dyDescent="0.25">
      <c r="A259" s="37">
        <f>Données!A259</f>
        <v>5859</v>
      </c>
      <c r="B259" s="26" t="str">
        <f>Données!B259</f>
        <v>Mont-sur-Rolle</v>
      </c>
      <c r="C259" s="30">
        <f>Données!Z259</f>
        <v>2749</v>
      </c>
      <c r="D259" s="162">
        <f>Ecrêtage!E259</f>
        <v>63.714880027955793</v>
      </c>
      <c r="E259" s="162">
        <f t="shared" si="12"/>
        <v>0</v>
      </c>
      <c r="F259" s="162">
        <f>+Données!X259</f>
        <v>63.5</v>
      </c>
      <c r="G259" s="271">
        <f t="shared" si="13"/>
        <v>0</v>
      </c>
      <c r="H259" s="120">
        <f t="shared" si="14"/>
        <v>0.94026856732201936</v>
      </c>
      <c r="I259" s="41">
        <f t="shared" si="15"/>
        <v>0</v>
      </c>
    </row>
    <row r="260" spans="1:9" x14ac:dyDescent="0.25">
      <c r="A260" s="37">
        <f>Données!A260</f>
        <v>5860</v>
      </c>
      <c r="B260" s="26" t="str">
        <f>Données!B260</f>
        <v>Perroy</v>
      </c>
      <c r="C260" s="30">
        <f>Données!Z260</f>
        <v>1588</v>
      </c>
      <c r="D260" s="162">
        <f>Ecrêtage!E260</f>
        <v>72.31306713566741</v>
      </c>
      <c r="E260" s="162">
        <f t="shared" si="12"/>
        <v>0</v>
      </c>
      <c r="F260" s="162">
        <f>+Données!X260</f>
        <v>58.5</v>
      </c>
      <c r="G260" s="271">
        <f t="shared" si="13"/>
        <v>0</v>
      </c>
      <c r="H260" s="120">
        <f t="shared" si="14"/>
        <v>0.86623167225729336</v>
      </c>
      <c r="I260" s="41">
        <f t="shared" si="15"/>
        <v>0</v>
      </c>
    </row>
    <row r="261" spans="1:9" x14ac:dyDescent="0.25">
      <c r="A261" s="37">
        <f>Données!A261</f>
        <v>5861</v>
      </c>
      <c r="B261" s="26" t="str">
        <f>Données!B261</f>
        <v>Rolle</v>
      </c>
      <c r="C261" s="30">
        <f>Données!Z261</f>
        <v>6537</v>
      </c>
      <c r="D261" s="162">
        <f>Ecrêtage!E261</f>
        <v>153.22498686854271</v>
      </c>
      <c r="E261" s="162">
        <f t="shared" si="12"/>
        <v>0</v>
      </c>
      <c r="F261" s="162">
        <f>+Données!X261</f>
        <v>59.5</v>
      </c>
      <c r="G261" s="271">
        <f t="shared" si="13"/>
        <v>0</v>
      </c>
      <c r="H261" s="120">
        <f t="shared" si="14"/>
        <v>0.88103905127023863</v>
      </c>
      <c r="I261" s="41">
        <f t="shared" si="15"/>
        <v>0</v>
      </c>
    </row>
    <row r="262" spans="1:9" x14ac:dyDescent="0.25">
      <c r="A262" s="37">
        <f>Données!A262</f>
        <v>5862</v>
      </c>
      <c r="B262" s="26" t="str">
        <f>Données!B262</f>
        <v>Tartegnin</v>
      </c>
      <c r="C262" s="30">
        <f>Données!Z262</f>
        <v>238</v>
      </c>
      <c r="D262" s="162">
        <f>Ecrêtage!E262</f>
        <v>52.009539410700988</v>
      </c>
      <c r="E262" s="162">
        <f t="shared" si="12"/>
        <v>0</v>
      </c>
      <c r="F262" s="162">
        <f>+Données!X262</f>
        <v>79</v>
      </c>
      <c r="G262" s="271">
        <f t="shared" si="13"/>
        <v>0</v>
      </c>
      <c r="H262" s="120">
        <f t="shared" si="14"/>
        <v>1.1697829420226697</v>
      </c>
      <c r="I262" s="41">
        <f t="shared" si="15"/>
        <v>0</v>
      </c>
    </row>
    <row r="263" spans="1:9" x14ac:dyDescent="0.25">
      <c r="A263" s="37">
        <f>Données!A263</f>
        <v>5863</v>
      </c>
      <c r="B263" s="26" t="str">
        <f>Données!B263</f>
        <v>Vinzel</v>
      </c>
      <c r="C263" s="30">
        <f>Données!Z263</f>
        <v>387</v>
      </c>
      <c r="D263" s="162">
        <f>Ecrêtage!E263</f>
        <v>51.988434108527123</v>
      </c>
      <c r="E263" s="162">
        <f t="shared" ref="E263:E305" si="16">IF($D$306-D263&lt;0,0,$D$306-D263)</f>
        <v>0</v>
      </c>
      <c r="F263" s="162">
        <f>+Données!X263</f>
        <v>65</v>
      </c>
      <c r="G263" s="271">
        <f t="shared" ref="G263:G305" si="17">-((C263*E263*F263)*$E$5)</f>
        <v>0</v>
      </c>
      <c r="H263" s="120">
        <f t="shared" ref="H263:H305" si="18">F263/$F$306</f>
        <v>0.96247963584143714</v>
      </c>
      <c r="I263" s="41">
        <f t="shared" ref="I263:I305" si="19">G263*H263</f>
        <v>0</v>
      </c>
    </row>
    <row r="264" spans="1:9" x14ac:dyDescent="0.25">
      <c r="A264" s="37">
        <f>Données!A264</f>
        <v>5871</v>
      </c>
      <c r="B264" s="26" t="str">
        <f>Données!B264</f>
        <v>L'Abbaye</v>
      </c>
      <c r="C264" s="30">
        <f>Données!Z264</f>
        <v>1538</v>
      </c>
      <c r="D264" s="162">
        <f>Ecrêtage!E264</f>
        <v>32.598847249045846</v>
      </c>
      <c r="E264" s="162">
        <f t="shared" si="16"/>
        <v>17.366586559085789</v>
      </c>
      <c r="F264" s="162">
        <f>+Données!X264</f>
        <v>77.209999999999994</v>
      </c>
      <c r="G264" s="271">
        <f t="shared" si="17"/>
        <v>-556811.39879274974</v>
      </c>
      <c r="H264" s="120">
        <f t="shared" si="18"/>
        <v>1.1432777335894977</v>
      </c>
      <c r="I264" s="41">
        <f t="shared" si="19"/>
        <v>-636590.07404857292</v>
      </c>
    </row>
    <row r="265" spans="1:9" x14ac:dyDescent="0.25">
      <c r="A265" s="37">
        <f>Données!A265</f>
        <v>5872</v>
      </c>
      <c r="B265" s="26" t="str">
        <f>Données!B265</f>
        <v>Le Chenit</v>
      </c>
      <c r="C265" s="30">
        <f>Données!Z265</f>
        <v>4760</v>
      </c>
      <c r="D265" s="162">
        <f>Ecrêtage!E265</f>
        <v>75.542030615955127</v>
      </c>
      <c r="E265" s="162">
        <f t="shared" si="16"/>
        <v>0</v>
      </c>
      <c r="F265" s="162">
        <f>+Données!X265</f>
        <v>66.33</v>
      </c>
      <c r="G265" s="271">
        <f t="shared" si="17"/>
        <v>0</v>
      </c>
      <c r="H265" s="120">
        <f t="shared" si="18"/>
        <v>0.98217344992865419</v>
      </c>
      <c r="I265" s="41">
        <f t="shared" si="19"/>
        <v>0</v>
      </c>
    </row>
    <row r="266" spans="1:9" x14ac:dyDescent="0.25">
      <c r="A266" s="37">
        <f>Données!A266</f>
        <v>5873</v>
      </c>
      <c r="B266" s="26" t="str">
        <f>Données!B266</f>
        <v>Le Lieu</v>
      </c>
      <c r="C266" s="30">
        <f>Données!Z266</f>
        <v>925</v>
      </c>
      <c r="D266" s="162">
        <f>Ecrêtage!E266</f>
        <v>34.108674594594596</v>
      </c>
      <c r="E266" s="162">
        <f t="shared" si="16"/>
        <v>15.856759213537039</v>
      </c>
      <c r="F266" s="162">
        <f>+Données!X266</f>
        <v>70</v>
      </c>
      <c r="G266" s="271">
        <f t="shared" si="17"/>
        <v>-277215.79295066133</v>
      </c>
      <c r="H266" s="120">
        <f t="shared" si="18"/>
        <v>1.036516530906163</v>
      </c>
      <c r="I266" s="41">
        <f t="shared" si="19"/>
        <v>-287338.75202162063</v>
      </c>
    </row>
    <row r="267" spans="1:9" x14ac:dyDescent="0.25">
      <c r="A267" s="37">
        <f>Données!A267</f>
        <v>5882</v>
      </c>
      <c r="B267" s="26" t="str">
        <f>Données!B267</f>
        <v>Chardonne</v>
      </c>
      <c r="C267" s="30">
        <f>Données!Z267</f>
        <v>3340</v>
      </c>
      <c r="D267" s="162">
        <f>Ecrêtage!E267</f>
        <v>60.494151329693558</v>
      </c>
      <c r="E267" s="162">
        <f t="shared" si="16"/>
        <v>0</v>
      </c>
      <c r="F267" s="162">
        <f>+Données!X267</f>
        <v>68</v>
      </c>
      <c r="G267" s="271">
        <f t="shared" si="17"/>
        <v>0</v>
      </c>
      <c r="H267" s="120">
        <f t="shared" si="18"/>
        <v>1.0069017728802727</v>
      </c>
      <c r="I267" s="41">
        <f t="shared" si="19"/>
        <v>0</v>
      </c>
    </row>
    <row r="268" spans="1:9" x14ac:dyDescent="0.25">
      <c r="A268" s="37">
        <f>Données!A268</f>
        <v>5883</v>
      </c>
      <c r="B268" s="26" t="str">
        <f>Données!B268</f>
        <v>Corseaux</v>
      </c>
      <c r="C268" s="30">
        <f>Données!Z268</f>
        <v>2322</v>
      </c>
      <c r="D268" s="162">
        <f>Ecrêtage!E268</f>
        <v>80.856363415956864</v>
      </c>
      <c r="E268" s="162">
        <f t="shared" si="16"/>
        <v>0</v>
      </c>
      <c r="F268" s="162">
        <f>+Données!X268</f>
        <v>67.5</v>
      </c>
      <c r="G268" s="271">
        <f t="shared" si="17"/>
        <v>0</v>
      </c>
      <c r="H268" s="120">
        <f t="shared" si="18"/>
        <v>0.99949808337380008</v>
      </c>
      <c r="I268" s="41">
        <f t="shared" si="19"/>
        <v>0</v>
      </c>
    </row>
    <row r="269" spans="1:9" x14ac:dyDescent="0.25">
      <c r="A269" s="37">
        <f>Données!A269</f>
        <v>5884</v>
      </c>
      <c r="B269" s="26" t="str">
        <f>Données!B269</f>
        <v>Corsier-sur-Vevey</v>
      </c>
      <c r="C269" s="30">
        <f>Données!Z269</f>
        <v>3389</v>
      </c>
      <c r="D269" s="162">
        <f>Ecrêtage!E269</f>
        <v>47.302828721589762</v>
      </c>
      <c r="E269" s="162">
        <f t="shared" si="16"/>
        <v>2.6626050865418733</v>
      </c>
      <c r="F269" s="162">
        <f>+Données!X269</f>
        <v>64.5</v>
      </c>
      <c r="G269" s="271">
        <f t="shared" si="17"/>
        <v>-157145.44783582751</v>
      </c>
      <c r="H269" s="120">
        <f t="shared" si="18"/>
        <v>0.95507594633496451</v>
      </c>
      <c r="I269" s="41">
        <f t="shared" si="19"/>
        <v>-150085.83730403477</v>
      </c>
    </row>
    <row r="270" spans="1:9" x14ac:dyDescent="0.25">
      <c r="A270" s="37">
        <f>Données!A270</f>
        <v>5885</v>
      </c>
      <c r="B270" s="26" t="str">
        <f>Données!B270</f>
        <v>Jongny</v>
      </c>
      <c r="C270" s="30">
        <f>Données!Z270</f>
        <v>1921</v>
      </c>
      <c r="D270" s="162">
        <f>Ecrêtage!E270</f>
        <v>54.738804741734988</v>
      </c>
      <c r="E270" s="162">
        <f t="shared" si="16"/>
        <v>0</v>
      </c>
      <c r="F270" s="162">
        <f>+Données!X270</f>
        <v>69.5</v>
      </c>
      <c r="G270" s="271">
        <f t="shared" si="17"/>
        <v>0</v>
      </c>
      <c r="H270" s="120">
        <f t="shared" si="18"/>
        <v>1.0291128413996904</v>
      </c>
      <c r="I270" s="41">
        <f t="shared" si="19"/>
        <v>0</v>
      </c>
    </row>
    <row r="271" spans="1:9" x14ac:dyDescent="0.25">
      <c r="A271" s="37">
        <f>Données!A271</f>
        <v>5886</v>
      </c>
      <c r="B271" s="26" t="str">
        <f>Données!B271</f>
        <v>Montreux</v>
      </c>
      <c r="C271" s="30">
        <f>Données!Z271</f>
        <v>26964</v>
      </c>
      <c r="D271" s="162">
        <f>Ecrêtage!E271</f>
        <v>41.571912365585263</v>
      </c>
      <c r="E271" s="162">
        <f t="shared" si="16"/>
        <v>8.3935214425463727</v>
      </c>
      <c r="F271" s="162">
        <f>+Données!X271</f>
        <v>65</v>
      </c>
      <c r="G271" s="271">
        <f t="shared" si="17"/>
        <v>-3971967.1087031979</v>
      </c>
      <c r="H271" s="120">
        <f t="shared" si="18"/>
        <v>0.96247963584143714</v>
      </c>
      <c r="I271" s="41">
        <f t="shared" si="19"/>
        <v>-3822937.4563588197</v>
      </c>
    </row>
    <row r="272" spans="1:9" x14ac:dyDescent="0.25">
      <c r="A272" s="37">
        <f>Données!A272</f>
        <v>5889</v>
      </c>
      <c r="B272" s="26" t="str">
        <f>Données!B272</f>
        <v>La Tour-de-Peilz</v>
      </c>
      <c r="C272" s="30">
        <f>Données!Z272</f>
        <v>12812</v>
      </c>
      <c r="D272" s="162">
        <f>Ecrêtage!E272</f>
        <v>56.887426641446197</v>
      </c>
      <c r="E272" s="162">
        <f t="shared" si="16"/>
        <v>0</v>
      </c>
      <c r="F272" s="162">
        <f>+Données!X272</f>
        <v>64</v>
      </c>
      <c r="G272" s="271">
        <f t="shared" si="17"/>
        <v>0</v>
      </c>
      <c r="H272" s="120">
        <f t="shared" si="18"/>
        <v>0.94767225682849188</v>
      </c>
      <c r="I272" s="41">
        <f t="shared" si="19"/>
        <v>0</v>
      </c>
    </row>
    <row r="273" spans="1:9" x14ac:dyDescent="0.25">
      <c r="A273" s="37">
        <f>Données!A273</f>
        <v>5890</v>
      </c>
      <c r="B273" s="26" t="str">
        <f>Données!B273</f>
        <v>Vevey</v>
      </c>
      <c r="C273" s="30">
        <f>Données!Z273</f>
        <v>20146</v>
      </c>
      <c r="D273" s="162">
        <f>Ecrêtage!E273</f>
        <v>52.830602290083291</v>
      </c>
      <c r="E273" s="162">
        <f t="shared" si="16"/>
        <v>0</v>
      </c>
      <c r="F273" s="162">
        <f>+Données!X273</f>
        <v>74.5</v>
      </c>
      <c r="G273" s="271">
        <f t="shared" si="17"/>
        <v>0</v>
      </c>
      <c r="H273" s="120">
        <f t="shared" si="18"/>
        <v>1.1031497364644165</v>
      </c>
      <c r="I273" s="41">
        <f t="shared" si="19"/>
        <v>0</v>
      </c>
    </row>
    <row r="274" spans="1:9" x14ac:dyDescent="0.25">
      <c r="A274" s="37">
        <f>Données!A274</f>
        <v>5891</v>
      </c>
      <c r="B274" s="26" t="str">
        <f>Données!B274</f>
        <v>Veytaux</v>
      </c>
      <c r="C274" s="30">
        <f>Données!Z274</f>
        <v>1043</v>
      </c>
      <c r="D274" s="162">
        <f>Ecrêtage!E274</f>
        <v>39.375030668891966</v>
      </c>
      <c r="E274" s="162">
        <f t="shared" si="16"/>
        <v>10.590403139239669</v>
      </c>
      <c r="F274" s="162">
        <f>+Données!X274</f>
        <v>67.5</v>
      </c>
      <c r="G274" s="271">
        <f t="shared" si="17"/>
        <v>-201309.53139278662</v>
      </c>
      <c r="H274" s="120">
        <f t="shared" si="18"/>
        <v>0.99949808337380008</v>
      </c>
      <c r="I274" s="41">
        <f t="shared" si="19"/>
        <v>-201208.49079196807</v>
      </c>
    </row>
    <row r="275" spans="1:9" x14ac:dyDescent="0.25">
      <c r="A275" s="37">
        <f>Données!A275</f>
        <v>5892</v>
      </c>
      <c r="B275" s="26" t="str">
        <f>Données!B275</f>
        <v>Blonay - Saint-Légier</v>
      </c>
      <c r="C275" s="30">
        <f>Données!Z275</f>
        <v>12463</v>
      </c>
      <c r="D275" s="162">
        <f>Ecrêtage!E275</f>
        <v>60.651929372255758</v>
      </c>
      <c r="E275" s="162">
        <f t="shared" si="16"/>
        <v>0</v>
      </c>
      <c r="F275" s="162">
        <f>+Données!X275</f>
        <v>68.5</v>
      </c>
      <c r="G275" s="271">
        <f t="shared" si="17"/>
        <v>0</v>
      </c>
      <c r="H275" s="120">
        <f t="shared" si="18"/>
        <v>1.0143054623867453</v>
      </c>
      <c r="I275" s="41">
        <f t="shared" si="19"/>
        <v>0</v>
      </c>
    </row>
    <row r="276" spans="1:9" x14ac:dyDescent="0.25">
      <c r="A276" s="37">
        <f>Données!A276</f>
        <v>5902</v>
      </c>
      <c r="B276" s="26" t="str">
        <f>Données!B276</f>
        <v>Belmont-sur-Yverdon</v>
      </c>
      <c r="C276" s="30">
        <f>Données!Z276</f>
        <v>445</v>
      </c>
      <c r="D276" s="162">
        <f>Ecrêtage!E276</f>
        <v>27.769731300160508</v>
      </c>
      <c r="E276" s="162">
        <f t="shared" si="16"/>
        <v>22.195702507971127</v>
      </c>
      <c r="F276" s="162">
        <f>+Données!X276</f>
        <v>70</v>
      </c>
      <c r="G276" s="271">
        <f t="shared" si="17"/>
        <v>-186676.95594329116</v>
      </c>
      <c r="H276" s="120">
        <f t="shared" si="18"/>
        <v>1.036516530906163</v>
      </c>
      <c r="I276" s="41">
        <f t="shared" si="19"/>
        <v>-193493.75077446279</v>
      </c>
    </row>
    <row r="277" spans="1:9" s="146" customFormat="1" x14ac:dyDescent="0.25">
      <c r="A277" s="37">
        <f>Données!A277</f>
        <v>5903</v>
      </c>
      <c r="B277" s="26" t="str">
        <f>Données!B277</f>
        <v>Bioley-Magnoux</v>
      </c>
      <c r="C277" s="30">
        <f>Données!Z277</f>
        <v>257</v>
      </c>
      <c r="D277" s="162">
        <f>Ecrêtage!E277</f>
        <v>27.315693286393675</v>
      </c>
      <c r="E277" s="162">
        <f t="shared" si="16"/>
        <v>22.649740521737961</v>
      </c>
      <c r="F277" s="162">
        <f>+Données!X277</f>
        <v>72</v>
      </c>
      <c r="G277" s="271">
        <f t="shared" si="17"/>
        <v>-113159.91562584459</v>
      </c>
      <c r="H277" s="120">
        <f t="shared" si="18"/>
        <v>1.0661312889320533</v>
      </c>
      <c r="I277" s="41">
        <f t="shared" si="19"/>
        <v>-120643.32670162409</v>
      </c>
    </row>
    <row r="278" spans="1:9" s="146" customFormat="1" x14ac:dyDescent="0.25">
      <c r="A278" s="37">
        <f>Données!A278</f>
        <v>5904</v>
      </c>
      <c r="B278" s="26" t="str">
        <f>Données!B278</f>
        <v>Chamblon</v>
      </c>
      <c r="C278" s="30">
        <f>Données!Z278</f>
        <v>554</v>
      </c>
      <c r="D278" s="162">
        <f>Ecrêtage!E278</f>
        <v>30.856384148342631</v>
      </c>
      <c r="E278" s="162">
        <f t="shared" si="16"/>
        <v>19.109049659789004</v>
      </c>
      <c r="F278" s="162">
        <f>+Données!X278</f>
        <v>66</v>
      </c>
      <c r="G278" s="271">
        <f t="shared" si="17"/>
        <v>-188649.88877534182</v>
      </c>
      <c r="H278" s="120">
        <f t="shared" si="18"/>
        <v>0.9772870148543823</v>
      </c>
      <c r="I278" s="41">
        <f t="shared" si="19"/>
        <v>-184365.08665386506</v>
      </c>
    </row>
    <row r="279" spans="1:9" s="146" customFormat="1" x14ac:dyDescent="0.25">
      <c r="A279" s="37">
        <f>Données!A279</f>
        <v>5905</v>
      </c>
      <c r="B279" s="26" t="str">
        <f>Données!B279</f>
        <v>Champvent</v>
      </c>
      <c r="C279" s="30">
        <f>Données!Z279</f>
        <v>725</v>
      </c>
      <c r="D279" s="162">
        <f>Ecrêtage!E279</f>
        <v>29.068009064039405</v>
      </c>
      <c r="E279" s="162">
        <f t="shared" si="16"/>
        <v>20.89742474409223</v>
      </c>
      <c r="F279" s="162">
        <f>+Données!X279</f>
        <v>70</v>
      </c>
      <c r="G279" s="271">
        <f t="shared" si="17"/>
        <v>-286346.96255592379</v>
      </c>
      <c r="H279" s="120">
        <f t="shared" si="18"/>
        <v>1.036516530906163</v>
      </c>
      <c r="I279" s="41">
        <f t="shared" si="19"/>
        <v>-296803.36026398308</v>
      </c>
    </row>
    <row r="280" spans="1:9" s="146" customFormat="1" x14ac:dyDescent="0.25">
      <c r="A280" s="37">
        <f>Données!A280</f>
        <v>5907</v>
      </c>
      <c r="B280" s="26" t="str">
        <f>Données!B280</f>
        <v>Chavannes-le-Chêne</v>
      </c>
      <c r="C280" s="30">
        <f>Données!Z280</f>
        <v>322</v>
      </c>
      <c r="D280" s="162">
        <f>Ecrêtage!E280</f>
        <v>24.215379296066249</v>
      </c>
      <c r="E280" s="162">
        <f t="shared" si="16"/>
        <v>25.750054512065386</v>
      </c>
      <c r="F280" s="162">
        <f>+Données!X280</f>
        <v>75</v>
      </c>
      <c r="G280" s="271">
        <f t="shared" si="17"/>
        <v>-167903.23044592235</v>
      </c>
      <c r="H280" s="120">
        <f t="shared" si="18"/>
        <v>1.1105534259708889</v>
      </c>
      <c r="I280" s="41">
        <f t="shared" si="19"/>
        <v>-186465.50780329874</v>
      </c>
    </row>
    <row r="281" spans="1:9" s="146" customFormat="1" x14ac:dyDescent="0.25">
      <c r="A281" s="37">
        <f>Données!A281</f>
        <v>5908</v>
      </c>
      <c r="B281" s="26" t="str">
        <f>Données!B281</f>
        <v>Chêne-Pâquier</v>
      </c>
      <c r="C281" s="30">
        <f>Données!Z281</f>
        <v>173</v>
      </c>
      <c r="D281" s="162">
        <f>Ecrêtage!E281</f>
        <v>32.740109441233137</v>
      </c>
      <c r="E281" s="162">
        <f t="shared" si="16"/>
        <v>17.225324366898498</v>
      </c>
      <c r="F281" s="162">
        <f>+Données!X281</f>
        <v>75</v>
      </c>
      <c r="G281" s="271">
        <f t="shared" si="17"/>
        <v>-60344.617588337169</v>
      </c>
      <c r="H281" s="120">
        <f t="shared" si="18"/>
        <v>1.1105534259708889</v>
      </c>
      <c r="I281" s="41">
        <f t="shared" si="19"/>
        <v>-67015.921801631004</v>
      </c>
    </row>
    <row r="282" spans="1:9" s="146" customFormat="1" x14ac:dyDescent="0.25">
      <c r="A282" s="37">
        <f>Données!A282</f>
        <v>5909</v>
      </c>
      <c r="B282" s="26" t="str">
        <f>Données!B282</f>
        <v>Cheseaux-Noréaz</v>
      </c>
      <c r="C282" s="30">
        <f>Données!Z282</f>
        <v>734</v>
      </c>
      <c r="D282" s="162">
        <f>Ecrêtage!E282</f>
        <v>42.921632640611648</v>
      </c>
      <c r="E282" s="162">
        <f t="shared" si="16"/>
        <v>7.0438011675199874</v>
      </c>
      <c r="F282" s="162">
        <f>+Données!X282</f>
        <v>67</v>
      </c>
      <c r="G282" s="271">
        <f t="shared" si="17"/>
        <v>-93528.014530400455</v>
      </c>
      <c r="H282" s="120">
        <f t="shared" si="18"/>
        <v>0.99209439386732745</v>
      </c>
      <c r="I282" s="41">
        <f t="shared" si="19"/>
        <v>-92788.618885152231</v>
      </c>
    </row>
    <row r="283" spans="1:9" s="146" customFormat="1" x14ac:dyDescent="0.25">
      <c r="A283" s="37">
        <f>Données!A283</f>
        <v>5910</v>
      </c>
      <c r="B283" s="26" t="str">
        <f>Données!B283</f>
        <v>Cronay</v>
      </c>
      <c r="C283" s="30">
        <f>Données!Z283</f>
        <v>425</v>
      </c>
      <c r="D283" s="162">
        <f>Ecrêtage!E283</f>
        <v>27.08507419607843</v>
      </c>
      <c r="E283" s="162">
        <f t="shared" si="16"/>
        <v>22.880359612053205</v>
      </c>
      <c r="F283" s="162">
        <f>+Données!X283</f>
        <v>75</v>
      </c>
      <c r="G283" s="271">
        <f t="shared" si="17"/>
        <v>-196914.09491123291</v>
      </c>
      <c r="H283" s="120">
        <f t="shared" si="18"/>
        <v>1.1105534259708889</v>
      </c>
      <c r="I283" s="41">
        <f t="shared" si="19"/>
        <v>-218683.62272562648</v>
      </c>
    </row>
    <row r="284" spans="1:9" s="146" customFormat="1" x14ac:dyDescent="0.25">
      <c r="A284" s="37">
        <f>Données!A284</f>
        <v>5911</v>
      </c>
      <c r="B284" s="26" t="str">
        <f>Données!B284</f>
        <v>Cuarny</v>
      </c>
      <c r="C284" s="30">
        <f>Données!Z284</f>
        <v>241</v>
      </c>
      <c r="D284" s="162">
        <f>Ecrêtage!E284</f>
        <v>29.348322465915832</v>
      </c>
      <c r="E284" s="162">
        <f t="shared" si="16"/>
        <v>20.617111342215804</v>
      </c>
      <c r="F284" s="162">
        <f>+Données!X284</f>
        <v>77</v>
      </c>
      <c r="G284" s="271">
        <f t="shared" si="17"/>
        <v>-103299.76849792464</v>
      </c>
      <c r="H284" s="120">
        <f t="shared" si="18"/>
        <v>1.1401681839967794</v>
      </c>
      <c r="I284" s="41">
        <f t="shared" si="19"/>
        <v>-117779.10945556646</v>
      </c>
    </row>
    <row r="285" spans="1:9" x14ac:dyDescent="0.25">
      <c r="A285" s="37">
        <f>Données!A285</f>
        <v>5912</v>
      </c>
      <c r="B285" s="26" t="str">
        <f>Données!B285</f>
        <v>Démoret</v>
      </c>
      <c r="C285" s="30">
        <f>Données!Z285</f>
        <v>172</v>
      </c>
      <c r="D285" s="162">
        <f>Ecrêtage!E285</f>
        <v>23.570425611210496</v>
      </c>
      <c r="E285" s="162">
        <f t="shared" si="16"/>
        <v>26.39500819692114</v>
      </c>
      <c r="F285" s="162">
        <f>+Données!X285</f>
        <v>78</v>
      </c>
      <c r="G285" s="271">
        <f t="shared" si="17"/>
        <v>-95611.166091871404</v>
      </c>
      <c r="H285" s="120">
        <f t="shared" si="18"/>
        <v>1.1549755630097245</v>
      </c>
      <c r="I285" s="41">
        <f t="shared" si="19"/>
        <v>-110428.56038697546</v>
      </c>
    </row>
    <row r="286" spans="1:9" x14ac:dyDescent="0.25">
      <c r="A286" s="37">
        <f>Données!A286</f>
        <v>5913</v>
      </c>
      <c r="B286" s="26" t="str">
        <f>Données!B286</f>
        <v>Donneloye</v>
      </c>
      <c r="C286" s="30">
        <f>Données!Z286</f>
        <v>917</v>
      </c>
      <c r="D286" s="162">
        <f>Ecrêtage!E286</f>
        <v>23.84601410197039</v>
      </c>
      <c r="E286" s="162">
        <f t="shared" si="16"/>
        <v>26.119419706161246</v>
      </c>
      <c r="F286" s="162">
        <f>+Données!X286</f>
        <v>73</v>
      </c>
      <c r="G286" s="271">
        <f t="shared" si="17"/>
        <v>-472084.2201285378</v>
      </c>
      <c r="H286" s="120">
        <f t="shared" si="18"/>
        <v>1.0809386679449986</v>
      </c>
      <c r="I286" s="41">
        <f t="shared" si="19"/>
        <v>-510294.08806359512</v>
      </c>
    </row>
    <row r="287" spans="1:9" x14ac:dyDescent="0.25">
      <c r="A287" s="37">
        <f>Données!A287</f>
        <v>5914</v>
      </c>
      <c r="B287" s="26" t="str">
        <f>Données!B287</f>
        <v>Ependes</v>
      </c>
      <c r="C287" s="30">
        <f>Données!Z287</f>
        <v>381</v>
      </c>
      <c r="D287" s="162">
        <f>Ecrêtage!E287</f>
        <v>27.838106665238271</v>
      </c>
      <c r="E287" s="162">
        <f t="shared" si="16"/>
        <v>22.127327142893364</v>
      </c>
      <c r="F287" s="162">
        <f>+Données!X287</f>
        <v>73.5</v>
      </c>
      <c r="G287" s="271">
        <f t="shared" si="17"/>
        <v>-167303.50352442387</v>
      </c>
      <c r="H287" s="120">
        <f t="shared" si="18"/>
        <v>1.0883423574514712</v>
      </c>
      <c r="I287" s="41">
        <f t="shared" si="19"/>
        <v>-182083.48943566199</v>
      </c>
    </row>
    <row r="288" spans="1:9" x14ac:dyDescent="0.25">
      <c r="A288" s="37">
        <f>Données!A288</f>
        <v>5919</v>
      </c>
      <c r="B288" s="26" t="str">
        <f>Données!B288</f>
        <v>Mathod</v>
      </c>
      <c r="C288" s="30">
        <f>Données!Z288</f>
        <v>725</v>
      </c>
      <c r="D288" s="162">
        <f>Ecrêtage!E288</f>
        <v>29.559966219667945</v>
      </c>
      <c r="E288" s="162">
        <f t="shared" si="16"/>
        <v>20.40546758846369</v>
      </c>
      <c r="F288" s="162">
        <f>+Données!X288</f>
        <v>72</v>
      </c>
      <c r="G288" s="271">
        <f t="shared" si="17"/>
        <v>-287594.66019180726</v>
      </c>
      <c r="H288" s="120">
        <f t="shared" si="18"/>
        <v>1.0661312889320533</v>
      </c>
      <c r="I288" s="41">
        <f t="shared" si="19"/>
        <v>-306613.66576026735</v>
      </c>
    </row>
    <row r="289" spans="1:9" x14ac:dyDescent="0.25">
      <c r="A289" s="37">
        <f>Données!A289</f>
        <v>5921</v>
      </c>
      <c r="B289" s="26" t="str">
        <f>Données!B289</f>
        <v>Molondin</v>
      </c>
      <c r="C289" s="30">
        <f>Données!Z289</f>
        <v>269</v>
      </c>
      <c r="D289" s="162">
        <f>Ecrêtage!E289</f>
        <v>31.323222268116947</v>
      </c>
      <c r="E289" s="162">
        <f t="shared" si="16"/>
        <v>18.642211540014689</v>
      </c>
      <c r="F289" s="162">
        <f>+Données!X289</f>
        <v>81</v>
      </c>
      <c r="G289" s="271">
        <f t="shared" si="17"/>
        <v>-109672.68975625261</v>
      </c>
      <c r="H289" s="120">
        <f t="shared" si="18"/>
        <v>1.1993977000485601</v>
      </c>
      <c r="I289" s="41">
        <f t="shared" si="19"/>
        <v>-131541.17185178865</v>
      </c>
    </row>
    <row r="290" spans="1:9" x14ac:dyDescent="0.25">
      <c r="A290" s="37">
        <f>Données!A290</f>
        <v>5922</v>
      </c>
      <c r="B290" s="26" t="str">
        <f>Données!B290</f>
        <v>Montagny-près-Yverdon</v>
      </c>
      <c r="C290" s="30">
        <f>Données!Z290</f>
        <v>783</v>
      </c>
      <c r="D290" s="162">
        <f>Ecrêtage!E290</f>
        <v>52.088196956646577</v>
      </c>
      <c r="E290" s="162">
        <f t="shared" si="16"/>
        <v>0</v>
      </c>
      <c r="F290" s="162">
        <f>+Données!X290</f>
        <v>64.5</v>
      </c>
      <c r="G290" s="271">
        <f t="shared" si="17"/>
        <v>0</v>
      </c>
      <c r="H290" s="120">
        <f t="shared" si="18"/>
        <v>0.95507594633496451</v>
      </c>
      <c r="I290" s="41">
        <f t="shared" si="19"/>
        <v>0</v>
      </c>
    </row>
    <row r="291" spans="1:9" x14ac:dyDescent="0.25">
      <c r="A291" s="37">
        <f>Données!A291</f>
        <v>5923</v>
      </c>
      <c r="B291" s="26" t="str">
        <f>Données!B291</f>
        <v>Oppens</v>
      </c>
      <c r="C291" s="30">
        <f>Données!Z291</f>
        <v>202</v>
      </c>
      <c r="D291" s="162">
        <f>Ecrêtage!E291</f>
        <v>28.136886827923298</v>
      </c>
      <c r="E291" s="162">
        <f t="shared" si="16"/>
        <v>21.828546980208337</v>
      </c>
      <c r="F291" s="162">
        <f>+Données!X291</f>
        <v>79</v>
      </c>
      <c r="G291" s="271">
        <f t="shared" si="17"/>
        <v>-94051.787231744456</v>
      </c>
      <c r="H291" s="120">
        <f t="shared" si="18"/>
        <v>1.1697829420226697</v>
      </c>
      <c r="I291" s="41">
        <f t="shared" si="19"/>
        <v>-110020.1763704402</v>
      </c>
    </row>
    <row r="292" spans="1:9" x14ac:dyDescent="0.25">
      <c r="A292" s="37">
        <f>Données!A292</f>
        <v>5924</v>
      </c>
      <c r="B292" s="26" t="str">
        <f>Données!B292</f>
        <v>Orges</v>
      </c>
      <c r="C292" s="30">
        <f>Données!Z292</f>
        <v>424</v>
      </c>
      <c r="D292" s="162">
        <f>Ecrêtage!E292</f>
        <v>31.286206017338088</v>
      </c>
      <c r="E292" s="162">
        <f t="shared" si="16"/>
        <v>18.679227790793547</v>
      </c>
      <c r="F292" s="162">
        <f>+Données!X292</f>
        <v>74</v>
      </c>
      <c r="G292" s="271">
        <f t="shared" si="17"/>
        <v>-158241.45181426333</v>
      </c>
      <c r="H292" s="120">
        <f t="shared" si="18"/>
        <v>1.0957460469579439</v>
      </c>
      <c r="I292" s="41">
        <f t="shared" si="19"/>
        <v>-173392.44529036499</v>
      </c>
    </row>
    <row r="293" spans="1:9" x14ac:dyDescent="0.25">
      <c r="A293" s="37">
        <f>Données!A293</f>
        <v>5925</v>
      </c>
      <c r="B293" s="26" t="str">
        <f>Données!B293</f>
        <v>Orzens</v>
      </c>
      <c r="C293" s="30">
        <f>Données!Z293</f>
        <v>216</v>
      </c>
      <c r="D293" s="162">
        <f>Ecrêtage!E293</f>
        <v>23.404510079699953</v>
      </c>
      <c r="E293" s="162">
        <f t="shared" si="16"/>
        <v>26.560923728431682</v>
      </c>
      <c r="F293" s="162">
        <f>+Données!X293</f>
        <v>79</v>
      </c>
      <c r="G293" s="271">
        <f t="shared" si="17"/>
        <v>-122373.61267552873</v>
      </c>
      <c r="H293" s="120">
        <f t="shared" si="18"/>
        <v>1.1697829420226697</v>
      </c>
      <c r="I293" s="41">
        <f t="shared" si="19"/>
        <v>-143150.56466152266</v>
      </c>
    </row>
    <row r="294" spans="1:9" x14ac:dyDescent="0.25">
      <c r="A294" s="37">
        <f>Données!A294</f>
        <v>5926</v>
      </c>
      <c r="B294" s="26" t="str">
        <f>Données!B294</f>
        <v>Pomy</v>
      </c>
      <c r="C294" s="30">
        <f>Données!Z294</f>
        <v>877</v>
      </c>
      <c r="D294" s="162">
        <f>Ecrêtage!E294</f>
        <v>30.383589381213163</v>
      </c>
      <c r="E294" s="162">
        <f t="shared" si="16"/>
        <v>19.581844426918472</v>
      </c>
      <c r="F294" s="162">
        <f>+Données!X294</f>
        <v>71</v>
      </c>
      <c r="G294" s="271">
        <f t="shared" si="17"/>
        <v>-329211.73087135184</v>
      </c>
      <c r="H294" s="120">
        <f t="shared" si="18"/>
        <v>1.0513239099191083</v>
      </c>
      <c r="I294" s="41">
        <f t="shared" si="19"/>
        <v>-346108.16409090685</v>
      </c>
    </row>
    <row r="295" spans="1:9" x14ac:dyDescent="0.25">
      <c r="A295" s="37">
        <f>Données!A295</f>
        <v>5928</v>
      </c>
      <c r="B295" s="26" t="str">
        <f>Données!B295</f>
        <v>Rovray</v>
      </c>
      <c r="C295" s="30">
        <f>Données!Z295</f>
        <v>195</v>
      </c>
      <c r="D295" s="162">
        <f>Ecrêtage!E295</f>
        <v>30.754261327713376</v>
      </c>
      <c r="E295" s="162">
        <f t="shared" si="16"/>
        <v>19.211172480418259</v>
      </c>
      <c r="F295" s="162">
        <f>+Données!X295</f>
        <v>73</v>
      </c>
      <c r="G295" s="271">
        <f t="shared" si="17"/>
        <v>-73837.180869863572</v>
      </c>
      <c r="H295" s="120">
        <f t="shared" si="18"/>
        <v>1.0809386679449986</v>
      </c>
      <c r="I295" s="41">
        <f t="shared" si="19"/>
        <v>-79813.463934284257</v>
      </c>
    </row>
    <row r="296" spans="1:9" x14ac:dyDescent="0.25">
      <c r="A296" s="37">
        <f>Données!A296</f>
        <v>5929</v>
      </c>
      <c r="B296" s="26" t="str">
        <f>Données!B296</f>
        <v>Suchy</v>
      </c>
      <c r="C296" s="30">
        <f>Données!Z296</f>
        <v>670</v>
      </c>
      <c r="D296" s="162">
        <f>Ecrêtage!E296</f>
        <v>34.266473507462685</v>
      </c>
      <c r="E296" s="162">
        <f t="shared" si="16"/>
        <v>15.698960300668951</v>
      </c>
      <c r="F296" s="162">
        <f>+Données!X296</f>
        <v>70</v>
      </c>
      <c r="G296" s="271">
        <f t="shared" si="17"/>
        <v>-198795.93428737094</v>
      </c>
      <c r="H296" s="120">
        <f t="shared" si="18"/>
        <v>1.036516530906163</v>
      </c>
      <c r="I296" s="41">
        <f t="shared" si="19"/>
        <v>-206055.27216579526</v>
      </c>
    </row>
    <row r="297" spans="1:9" x14ac:dyDescent="0.25">
      <c r="A297" s="37">
        <f>Données!A297</f>
        <v>5930</v>
      </c>
      <c r="B297" s="26" t="str">
        <f>Données!B297</f>
        <v>Suscévaz</v>
      </c>
      <c r="C297" s="30">
        <f>Données!Z297</f>
        <v>237</v>
      </c>
      <c r="D297" s="162">
        <f>Ecrêtage!E297</f>
        <v>21.616734646038445</v>
      </c>
      <c r="E297" s="162">
        <f t="shared" si="16"/>
        <v>28.34869916209319</v>
      </c>
      <c r="F297" s="162">
        <f>+Données!X297</f>
        <v>72</v>
      </c>
      <c r="G297" s="271">
        <f t="shared" si="17"/>
        <v>-130610.39467552872</v>
      </c>
      <c r="H297" s="120">
        <f t="shared" si="18"/>
        <v>1.0661312889320533</v>
      </c>
      <c r="I297" s="41">
        <f t="shared" si="19"/>
        <v>-139247.82842334564</v>
      </c>
    </row>
    <row r="298" spans="1:9" x14ac:dyDescent="0.25">
      <c r="A298" s="37">
        <f>Données!A298</f>
        <v>5931</v>
      </c>
      <c r="B298" s="26" t="str">
        <f>Données!B298</f>
        <v>Treycovagnes</v>
      </c>
      <c r="C298" s="30">
        <f>Données!Z298</f>
        <v>513</v>
      </c>
      <c r="D298" s="162">
        <f>Ecrêtage!E298</f>
        <v>32.143458303292476</v>
      </c>
      <c r="E298" s="162">
        <f t="shared" si="16"/>
        <v>17.821975504839159</v>
      </c>
      <c r="F298" s="162">
        <f>+Données!X298</f>
        <v>73</v>
      </c>
      <c r="G298" s="271">
        <f t="shared" si="17"/>
        <v>-180202.09338379485</v>
      </c>
      <c r="H298" s="120">
        <f t="shared" si="18"/>
        <v>1.0809386679449986</v>
      </c>
      <c r="I298" s="41">
        <f t="shared" si="19"/>
        <v>-194787.41078317945</v>
      </c>
    </row>
    <row r="299" spans="1:9" x14ac:dyDescent="0.25">
      <c r="A299" s="37">
        <f>Données!A299</f>
        <v>5932</v>
      </c>
      <c r="B299" s="26" t="str">
        <f>Données!B299</f>
        <v>Ursins</v>
      </c>
      <c r="C299" s="30">
        <f>Données!Z299</f>
        <v>233</v>
      </c>
      <c r="D299" s="162">
        <f>Ecrêtage!E299</f>
        <v>39.954021745350509</v>
      </c>
      <c r="E299" s="162">
        <f t="shared" si="16"/>
        <v>10.011412062781126</v>
      </c>
      <c r="F299" s="162">
        <f>+Données!X299</f>
        <v>75</v>
      </c>
      <c r="G299" s="271">
        <f t="shared" si="17"/>
        <v>-47236.344965217053</v>
      </c>
      <c r="H299" s="120">
        <f t="shared" si="18"/>
        <v>1.1105534259708889</v>
      </c>
      <c r="I299" s="41">
        <f t="shared" si="19"/>
        <v>-52458.484731464545</v>
      </c>
    </row>
    <row r="300" spans="1:9" x14ac:dyDescent="0.25">
      <c r="A300" s="37">
        <f>Données!A300</f>
        <v>5933</v>
      </c>
      <c r="B300" s="26" t="str">
        <f>Données!B300</f>
        <v>Valeyres-sous-Montagny</v>
      </c>
      <c r="C300" s="30">
        <f>Données!Z300</f>
        <v>706</v>
      </c>
      <c r="D300" s="162">
        <f>Ecrêtage!E300</f>
        <v>32.988218311132542</v>
      </c>
      <c r="E300" s="162">
        <f t="shared" si="16"/>
        <v>16.977215496999094</v>
      </c>
      <c r="F300" s="162">
        <f>+Données!X300</f>
        <v>70.5</v>
      </c>
      <c r="G300" s="271">
        <f t="shared" si="17"/>
        <v>-228151.87567167668</v>
      </c>
      <c r="H300" s="120">
        <f t="shared" si="18"/>
        <v>1.0439202204126357</v>
      </c>
      <c r="I300" s="41">
        <f t="shared" si="19"/>
        <v>-238172.35633873296</v>
      </c>
    </row>
    <row r="301" spans="1:9" x14ac:dyDescent="0.25">
      <c r="A301" s="37">
        <f>Données!A301</f>
        <v>5934</v>
      </c>
      <c r="B301" s="26" t="str">
        <f>Données!B301</f>
        <v>Valeyres-sous-Ursins</v>
      </c>
      <c r="C301" s="30">
        <f>Données!Z301</f>
        <v>236</v>
      </c>
      <c r="D301" s="162">
        <f>Ecrêtage!E301</f>
        <v>36.401075830948706</v>
      </c>
      <c r="E301" s="162">
        <f t="shared" si="16"/>
        <v>13.564357977182929</v>
      </c>
      <c r="F301" s="162">
        <f>+Données!X301</f>
        <v>77</v>
      </c>
      <c r="G301" s="271">
        <f t="shared" si="17"/>
        <v>-66552.70855356942</v>
      </c>
      <c r="H301" s="120">
        <f t="shared" si="18"/>
        <v>1.1401681839967794</v>
      </c>
      <c r="I301" s="41">
        <f t="shared" si="19"/>
        <v>-75881.280851590171</v>
      </c>
    </row>
    <row r="302" spans="1:9" x14ac:dyDescent="0.25">
      <c r="A302" s="37">
        <f>Données!A302</f>
        <v>5935</v>
      </c>
      <c r="B302" s="26" t="str">
        <f>Données!B302</f>
        <v>Villars-Epeney</v>
      </c>
      <c r="C302" s="30">
        <f>Données!Z302</f>
        <v>108</v>
      </c>
      <c r="D302" s="162">
        <f>Ecrêtage!E302</f>
        <v>92.876413398692804</v>
      </c>
      <c r="E302" s="162">
        <f t="shared" si="16"/>
        <v>0</v>
      </c>
      <c r="F302" s="162">
        <f>+Données!X302</f>
        <v>68</v>
      </c>
      <c r="G302" s="271">
        <f t="shared" si="17"/>
        <v>0</v>
      </c>
      <c r="H302" s="120">
        <f t="shared" si="18"/>
        <v>1.0069017728802727</v>
      </c>
      <c r="I302" s="41">
        <f t="shared" si="19"/>
        <v>0</v>
      </c>
    </row>
    <row r="303" spans="1:9" x14ac:dyDescent="0.25">
      <c r="A303" s="37">
        <f>Données!A303</f>
        <v>5937</v>
      </c>
      <c r="B303" s="26" t="str">
        <f>Données!B303</f>
        <v>Vugelles-La Mothe</v>
      </c>
      <c r="C303" s="30">
        <f>Données!Z303</f>
        <v>147</v>
      </c>
      <c r="D303" s="162">
        <f>Ecrêtage!E303</f>
        <v>30.100250728862971</v>
      </c>
      <c r="E303" s="162">
        <f t="shared" si="16"/>
        <v>19.865183079268665</v>
      </c>
      <c r="F303" s="162">
        <f>+Données!X303</f>
        <v>70</v>
      </c>
      <c r="G303" s="271">
        <f t="shared" si="17"/>
        <v>-55191.438149132133</v>
      </c>
      <c r="H303" s="120">
        <f t="shared" si="18"/>
        <v>1.036516530906163</v>
      </c>
      <c r="I303" s="41">
        <f t="shared" si="19"/>
        <v>-57206.838006060505</v>
      </c>
    </row>
    <row r="304" spans="1:9" x14ac:dyDescent="0.25">
      <c r="A304" s="37">
        <f>Données!A304</f>
        <v>5938</v>
      </c>
      <c r="B304" s="26" t="str">
        <f>Données!B304</f>
        <v>Yverdon-les-Bains</v>
      </c>
      <c r="C304" s="30">
        <f>Données!Z304</f>
        <v>30332</v>
      </c>
      <c r="D304" s="162">
        <f>Ecrêtage!E304</f>
        <v>26.434900288657374</v>
      </c>
      <c r="E304" s="162">
        <f t="shared" si="16"/>
        <v>23.530533519474261</v>
      </c>
      <c r="F304" s="162">
        <f>+Données!X304</f>
        <v>75</v>
      </c>
      <c r="G304" s="271">
        <f t="shared" si="17"/>
        <v>-14452994.88993204</v>
      </c>
      <c r="H304" s="120">
        <f t="shared" si="18"/>
        <v>1.1105534259708889</v>
      </c>
      <c r="I304" s="41">
        <f t="shared" si="19"/>
        <v>-16050822.990553778</v>
      </c>
    </row>
    <row r="305" spans="1:9" x14ac:dyDescent="0.25">
      <c r="A305" s="37">
        <f>Données!A305</f>
        <v>5939</v>
      </c>
      <c r="B305" s="26" t="str">
        <f>Données!B305</f>
        <v>Yvonand</v>
      </c>
      <c r="C305" s="30">
        <f>Données!Z305</f>
        <v>3525</v>
      </c>
      <c r="D305" s="162">
        <f>Ecrêtage!E305</f>
        <v>27.229222040370974</v>
      </c>
      <c r="E305" s="162">
        <f t="shared" si="16"/>
        <v>22.736211767760661</v>
      </c>
      <c r="F305" s="162">
        <f>+Données!X305</f>
        <v>71.5</v>
      </c>
      <c r="G305" s="295">
        <f t="shared" si="17"/>
        <v>-1547202.0528225843</v>
      </c>
      <c r="H305" s="120">
        <f t="shared" si="18"/>
        <v>1.0587275994255809</v>
      </c>
      <c r="I305" s="41">
        <f t="shared" si="19"/>
        <v>-1638065.5152111854</v>
      </c>
    </row>
    <row r="306" spans="1:9" x14ac:dyDescent="0.25">
      <c r="A306" s="24"/>
      <c r="B306" s="71">
        <f>COUNTA(B6:B305)</f>
        <v>300</v>
      </c>
      <c r="C306" s="8">
        <f>SUM(C6:C305)</f>
        <v>855749</v>
      </c>
      <c r="D306" s="16">
        <f>Ecrêtage!E306</f>
        <v>49.965433808131635</v>
      </c>
      <c r="E306" s="16"/>
      <c r="F306" s="121">
        <f>VPI!Q306</f>
        <v>67.533896385427909</v>
      </c>
      <c r="G306" s="233">
        <f>SUM(G6:G305)</f>
        <v>-145280870.79163474</v>
      </c>
      <c r="H306" s="269">
        <f>F306/F$306</f>
        <v>1</v>
      </c>
      <c r="I306" s="29">
        <f>SUM(I6:I305)</f>
        <v>-155000245.16430962</v>
      </c>
    </row>
  </sheetData>
  <sheetProtection sheet="1" objects="1" scenarios="1"/>
  <mergeCells count="8">
    <mergeCell ref="A4:A5"/>
    <mergeCell ref="I4:I5"/>
    <mergeCell ref="H4:H5"/>
    <mergeCell ref="F4:F5"/>
    <mergeCell ref="G4:G5"/>
    <mergeCell ref="B4:B5"/>
    <mergeCell ref="C4:C5"/>
    <mergeCell ref="D4:D5"/>
  </mergeCells>
  <phoneticPr fontId="21" type="noConversion"/>
  <hyperlinks>
    <hyperlink ref="E1" location="Population!A1" display="← Précédent" xr:uid="{FA7D792E-F931-4B28-A994-C274FA1E13DC}"/>
    <hyperlink ref="G1" location="DT!A1" display="Suivant →" xr:uid="{42740692-23A6-4EE7-A698-07672C5336C9}"/>
    <hyperlink ref="F1" location="'Table des matières'!A1" display="Table des             matières" xr:uid="{1F6BF085-4168-4E4A-85BB-BC1DC2C07F2A}"/>
  </hyperlinks>
  <pageMargins left="0.78740157499999996" right="0.78740157499999996" top="0.984251969" bottom="0.984251969" header="0.4921259845" footer="0.4921259845"/>
  <pageSetup paperSize="9" orientation="portrait" horizontalDpi="4294967292" verticalDpi="4294967292"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2">
    <tabColor theme="6" tint="0.39997558519241921"/>
  </sheetPr>
  <dimension ref="A1:AL307"/>
  <sheetViews>
    <sheetView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0.75" defaultRowHeight="15" x14ac:dyDescent="0.25"/>
  <cols>
    <col min="1" max="1" width="7.25" style="10" customWidth="1"/>
    <col min="2" max="2" width="20.25" style="10" bestFit="1" customWidth="1"/>
    <col min="3" max="3" width="11.375" style="4" bestFit="1" customWidth="1"/>
    <col min="4" max="4" width="3.625" style="158" customWidth="1"/>
    <col min="5" max="5" width="10.75" style="4" bestFit="1" customWidth="1"/>
    <col min="6" max="6" width="12.5" style="4" customWidth="1"/>
    <col min="7" max="7" width="13.75" style="4" customWidth="1"/>
    <col min="8" max="8" width="13.25" style="4" customWidth="1"/>
    <col min="9" max="9" width="3.625" style="158" customWidth="1"/>
    <col min="10" max="10" width="9.875" style="4" bestFit="1" customWidth="1"/>
    <col min="11" max="11" width="12.5" style="4" customWidth="1"/>
    <col min="12" max="12" width="13" style="4" bestFit="1" customWidth="1"/>
    <col min="13" max="13" width="13.25" style="4" bestFit="1" customWidth="1"/>
    <col min="14" max="14" width="3.625" style="158" customWidth="1"/>
    <col min="15" max="15" width="13.875" style="4" customWidth="1"/>
    <col min="16" max="16" width="10" style="12" customWidth="1"/>
    <col min="17" max="17" width="2.5" style="10" customWidth="1"/>
    <col min="18" max="18" width="10.875" style="146" bestFit="1" customWidth="1"/>
    <col min="19" max="19" width="11.75" style="146" bestFit="1" customWidth="1"/>
    <col min="20" max="20" width="11.125" style="146" bestFit="1" customWidth="1"/>
    <col min="21" max="22" width="10.625" style="146" bestFit="1" customWidth="1"/>
    <col min="23" max="23" width="12.75" style="146" bestFit="1" customWidth="1"/>
    <col min="24" max="38" width="10.75" style="146"/>
    <col min="39" max="16384" width="10.75" style="10"/>
  </cols>
  <sheetData>
    <row r="1" spans="1:38" s="200" customFormat="1" ht="26.25" x14ac:dyDescent="0.4">
      <c r="A1" s="187" t="s">
        <v>561</v>
      </c>
      <c r="B1" s="192"/>
      <c r="C1" s="197"/>
      <c r="D1" s="198"/>
      <c r="E1" s="197"/>
      <c r="G1" s="287" t="s">
        <v>402</v>
      </c>
      <c r="H1" s="211" t="s">
        <v>394</v>
      </c>
      <c r="I1" s="774" t="s">
        <v>403</v>
      </c>
      <c r="J1" s="774"/>
      <c r="K1" s="197"/>
      <c r="O1" s="197"/>
      <c r="P1" s="199"/>
      <c r="Q1" s="194"/>
    </row>
    <row r="2" spans="1:38" s="32" customFormat="1" ht="15.75" x14ac:dyDescent="0.25">
      <c r="A2" s="253" t="str">
        <f>Paramètres!B4</f>
        <v>Décompte 2024</v>
      </c>
      <c r="B2" s="31"/>
      <c r="C2" s="33"/>
      <c r="D2" s="124"/>
      <c r="E2" s="33"/>
      <c r="F2" s="33"/>
      <c r="G2" s="33"/>
      <c r="H2" s="33"/>
      <c r="I2" s="124"/>
      <c r="J2" s="33"/>
      <c r="K2" s="33"/>
      <c r="L2" s="33"/>
      <c r="M2" s="33"/>
      <c r="N2" s="124"/>
      <c r="O2" s="33"/>
      <c r="P2" s="77"/>
      <c r="Q2" s="146"/>
    </row>
    <row r="3" spans="1:38" s="146" customFormat="1" ht="25.5" customHeight="1" x14ac:dyDescent="0.25">
      <c r="C3" s="4"/>
      <c r="D3" s="158"/>
      <c r="E3" s="4"/>
      <c r="F3" s="4"/>
      <c r="G3" s="4"/>
      <c r="H3" s="4"/>
      <c r="I3" s="158"/>
      <c r="J3" s="4"/>
      <c r="K3" s="4"/>
      <c r="L3" s="4"/>
      <c r="M3" s="4"/>
      <c r="N3" s="158"/>
      <c r="O3" s="4"/>
      <c r="P3" s="159"/>
    </row>
    <row r="4" spans="1:38" ht="30" x14ac:dyDescent="0.25">
      <c r="A4" s="763" t="s">
        <v>44</v>
      </c>
      <c r="B4" s="763" t="s">
        <v>84</v>
      </c>
      <c r="C4" s="769" t="s">
        <v>490</v>
      </c>
      <c r="D4" s="237"/>
      <c r="E4" s="769" t="s">
        <v>427</v>
      </c>
      <c r="F4" s="769" t="s">
        <v>43</v>
      </c>
      <c r="G4" s="210" t="s">
        <v>256</v>
      </c>
      <c r="H4" s="210" t="s">
        <v>503</v>
      </c>
      <c r="I4" s="237"/>
      <c r="J4" s="769" t="s">
        <v>426</v>
      </c>
      <c r="K4" s="769" t="s">
        <v>425</v>
      </c>
      <c r="L4" s="210" t="s">
        <v>190</v>
      </c>
      <c r="M4" s="210" t="s">
        <v>504</v>
      </c>
      <c r="N4" s="237"/>
      <c r="O4" s="769" t="s">
        <v>505</v>
      </c>
      <c r="P4" s="146"/>
      <c r="Q4" s="146"/>
      <c r="AF4" s="10"/>
      <c r="AG4" s="10"/>
      <c r="AH4" s="10"/>
      <c r="AI4" s="10"/>
      <c r="AJ4" s="10"/>
      <c r="AK4" s="10"/>
      <c r="AL4" s="10"/>
    </row>
    <row r="5" spans="1:38" x14ac:dyDescent="0.25">
      <c r="A5" s="764"/>
      <c r="B5" s="765"/>
      <c r="C5" s="773"/>
      <c r="D5" s="237"/>
      <c r="E5" s="773"/>
      <c r="F5" s="770"/>
      <c r="G5" s="234">
        <f>Paramètres!B40</f>
        <v>8</v>
      </c>
      <c r="H5" s="235">
        <f>+Paramètres!C40</f>
        <v>0.6963417828138283</v>
      </c>
      <c r="I5" s="238"/>
      <c r="J5" s="773"/>
      <c r="K5" s="773"/>
      <c r="L5" s="234">
        <f>Paramètres!B41</f>
        <v>1</v>
      </c>
      <c r="M5" s="236">
        <f>+Paramètres!C41</f>
        <v>0.6963417828138283</v>
      </c>
      <c r="N5" s="238"/>
      <c r="O5" s="770"/>
      <c r="P5" s="146"/>
      <c r="Q5" s="146"/>
      <c r="AF5" s="10"/>
      <c r="AG5" s="10"/>
      <c r="AH5" s="10"/>
      <c r="AI5" s="10"/>
      <c r="AJ5" s="10"/>
      <c r="AK5" s="10"/>
      <c r="AL5" s="10"/>
    </row>
    <row r="6" spans="1:38" x14ac:dyDescent="0.25">
      <c r="A6" s="35">
        <f>+Données!A6</f>
        <v>5401</v>
      </c>
      <c r="B6" s="167" t="str">
        <f>+Données!B6</f>
        <v>Aigle</v>
      </c>
      <c r="C6" s="603">
        <f>+Ecrêtage!C6</f>
        <v>311614.01419191912</v>
      </c>
      <c r="D6" s="604"/>
      <c r="E6" s="603">
        <f>Données!AF6+Données!AG6+Données!AH6</f>
        <v>8106893</v>
      </c>
      <c r="F6" s="604">
        <f>+C6*$G$5</f>
        <v>2492912.113535353</v>
      </c>
      <c r="G6" s="603">
        <f>IF(E6&gt;F6,E6-F6,0)</f>
        <v>5613980.886464647</v>
      </c>
      <c r="H6" s="605">
        <f>-G6*H$5</f>
        <v>-3909249.4591635484</v>
      </c>
      <c r="I6" s="604"/>
      <c r="J6" s="603">
        <f>Données!AN6</f>
        <v>622950</v>
      </c>
      <c r="K6" s="606">
        <f>C6*L$5</f>
        <v>311614.01419191912</v>
      </c>
      <c r="L6" s="607">
        <f>IF(J6&gt;K6,J6-K6,0)</f>
        <v>311335.98580808088</v>
      </c>
      <c r="M6" s="608">
        <f>-L6*M$5</f>
        <v>-216796.25541169979</v>
      </c>
      <c r="N6" s="604"/>
      <c r="O6" s="609">
        <f>M6+H6</f>
        <v>-4126045.7145752483</v>
      </c>
      <c r="P6" s="180"/>
      <c r="Q6" s="152"/>
      <c r="R6" s="152"/>
      <c r="S6" s="152"/>
      <c r="T6" s="152"/>
      <c r="U6" s="152"/>
      <c r="AF6" s="10"/>
      <c r="AG6" s="10"/>
      <c r="AH6" s="10"/>
      <c r="AI6" s="10"/>
      <c r="AJ6" s="10"/>
      <c r="AK6" s="10"/>
      <c r="AL6" s="10"/>
    </row>
    <row r="7" spans="1:38" s="146" customFormat="1" x14ac:dyDescent="0.25">
      <c r="A7" s="37">
        <f>+Données!A7</f>
        <v>5402</v>
      </c>
      <c r="B7" s="167" t="str">
        <f>+Données!B7</f>
        <v>Bex</v>
      </c>
      <c r="C7" s="610">
        <f>+Ecrêtage!C7</f>
        <v>199600.34901408452</v>
      </c>
      <c r="D7" s="604"/>
      <c r="E7" s="610">
        <f>Données!AF7+Données!AG7+Données!AH7</f>
        <v>5371609</v>
      </c>
      <c r="F7" s="604">
        <f t="shared" ref="F7:F70" si="0">+C7*$G$5</f>
        <v>1596802.7921126762</v>
      </c>
      <c r="G7" s="610">
        <f t="shared" ref="G7:G70" si="1">IF(E7&gt;F7,E7-F7,0)</f>
        <v>3774806.2078873236</v>
      </c>
      <c r="H7" s="605">
        <f t="shared" ref="H7:H70" si="2">-G7*H$5</f>
        <v>-2628555.2845769655</v>
      </c>
      <c r="I7" s="604"/>
      <c r="J7" s="610">
        <f>Données!AN7</f>
        <v>722973</v>
      </c>
      <c r="K7" s="611">
        <f t="shared" ref="K7:K70" si="3">C7*L$5</f>
        <v>199600.34901408452</v>
      </c>
      <c r="L7" s="604">
        <f t="shared" ref="L7:L70" si="4">IF(J7&gt;K7,J7-K7,0)</f>
        <v>523372.65098591545</v>
      </c>
      <c r="M7" s="605">
        <f t="shared" ref="M7:M70" si="5">-L7*M$5</f>
        <v>-364446.2448635319</v>
      </c>
      <c r="N7" s="604"/>
      <c r="O7" s="612">
        <f t="shared" ref="O7:O70" si="6">M7+H7</f>
        <v>-2993001.5294404975</v>
      </c>
      <c r="P7" s="180"/>
      <c r="Q7" s="152"/>
      <c r="R7" s="152"/>
      <c r="S7" s="152"/>
      <c r="T7" s="152"/>
      <c r="U7" s="152"/>
    </row>
    <row r="8" spans="1:38" s="146" customFormat="1" x14ac:dyDescent="0.25">
      <c r="A8" s="37">
        <f>+Données!A8</f>
        <v>5403</v>
      </c>
      <c r="B8" s="167" t="str">
        <f>+Données!B8</f>
        <v>Chessel</v>
      </c>
      <c r="C8" s="610">
        <f>+Ecrêtage!C8</f>
        <v>12200.842307692306</v>
      </c>
      <c r="D8" s="604"/>
      <c r="E8" s="610">
        <f>Données!AF8+Données!AG8+Données!AH8</f>
        <v>107989</v>
      </c>
      <c r="F8" s="604">
        <f t="shared" si="0"/>
        <v>97606.738461538451</v>
      </c>
      <c r="G8" s="610">
        <f t="shared" si="1"/>
        <v>10382.261538461549</v>
      </c>
      <c r="H8" s="605">
        <f t="shared" si="2"/>
        <v>-7229.6025093317548</v>
      </c>
      <c r="I8" s="604"/>
      <c r="J8" s="610">
        <f>Données!AN8</f>
        <v>30348</v>
      </c>
      <c r="K8" s="611">
        <f t="shared" si="3"/>
        <v>12200.842307692306</v>
      </c>
      <c r="L8" s="604">
        <f t="shared" si="4"/>
        <v>18147.157692307694</v>
      </c>
      <c r="M8" s="605">
        <f t="shared" si="5"/>
        <v>-12636.624140465217</v>
      </c>
      <c r="N8" s="604"/>
      <c r="O8" s="612">
        <f t="shared" si="6"/>
        <v>-19866.226649796972</v>
      </c>
      <c r="P8" s="180"/>
      <c r="Q8" s="152"/>
      <c r="R8" s="152"/>
      <c r="S8" s="152"/>
      <c r="T8" s="152"/>
      <c r="U8" s="152"/>
    </row>
    <row r="9" spans="1:38" s="146" customFormat="1" x14ac:dyDescent="0.25">
      <c r="A9" s="37">
        <f>+Données!A9</f>
        <v>5404</v>
      </c>
      <c r="B9" s="167" t="str">
        <f>+Données!B9</f>
        <v>Corbeyrier</v>
      </c>
      <c r="C9" s="610">
        <f>+Ecrêtage!C9</f>
        <v>12100.787342342343</v>
      </c>
      <c r="D9" s="604"/>
      <c r="E9" s="610">
        <f>Données!AF9+Données!AG9+Données!AH9</f>
        <v>375714</v>
      </c>
      <c r="F9" s="604">
        <f t="shared" si="0"/>
        <v>96806.29873873874</v>
      </c>
      <c r="G9" s="610">
        <f t="shared" si="1"/>
        <v>278907.70126126125</v>
      </c>
      <c r="H9" s="605">
        <f t="shared" si="2"/>
        <v>-194215.08593677328</v>
      </c>
      <c r="I9" s="604"/>
      <c r="J9" s="610">
        <f>Données!AN9</f>
        <v>31320</v>
      </c>
      <c r="K9" s="611">
        <f t="shared" si="3"/>
        <v>12100.787342342343</v>
      </c>
      <c r="L9" s="604">
        <f t="shared" si="4"/>
        <v>19219.212657657656</v>
      </c>
      <c r="M9" s="605">
        <f t="shared" si="5"/>
        <v>-13383.140806311427</v>
      </c>
      <c r="N9" s="604"/>
      <c r="O9" s="612">
        <f t="shared" si="6"/>
        <v>-207598.2267430847</v>
      </c>
      <c r="P9" s="180"/>
      <c r="Q9" s="152"/>
      <c r="R9" s="152"/>
      <c r="S9" s="152"/>
      <c r="T9" s="152"/>
      <c r="U9" s="152"/>
    </row>
    <row r="10" spans="1:38" s="146" customFormat="1" x14ac:dyDescent="0.25">
      <c r="A10" s="37">
        <f>+Données!A10</f>
        <v>5405</v>
      </c>
      <c r="B10" s="167" t="str">
        <f>+Données!B10</f>
        <v>Gryon</v>
      </c>
      <c r="C10" s="610">
        <f>+Ecrêtage!C10</f>
        <v>80049.808163265319</v>
      </c>
      <c r="D10" s="604"/>
      <c r="E10" s="610">
        <f>Données!AF10+Données!AG10+Données!AH10</f>
        <v>1959755</v>
      </c>
      <c r="F10" s="604">
        <f t="shared" si="0"/>
        <v>640398.46530612255</v>
      </c>
      <c r="G10" s="610">
        <f t="shared" si="1"/>
        <v>1319356.5346938774</v>
      </c>
      <c r="H10" s="605">
        <f t="shared" si="2"/>
        <v>-918723.08153580909</v>
      </c>
      <c r="I10" s="604"/>
      <c r="J10" s="610">
        <f>Données!AN10</f>
        <v>5817</v>
      </c>
      <c r="K10" s="611">
        <f t="shared" si="3"/>
        <v>80049.808163265319</v>
      </c>
      <c r="L10" s="604">
        <f t="shared" si="4"/>
        <v>0</v>
      </c>
      <c r="M10" s="605">
        <f t="shared" si="5"/>
        <v>0</v>
      </c>
      <c r="N10" s="604"/>
      <c r="O10" s="612">
        <f t="shared" si="6"/>
        <v>-918723.08153580909</v>
      </c>
      <c r="P10" s="180"/>
      <c r="Q10" s="152"/>
      <c r="R10" s="152"/>
      <c r="S10" s="152"/>
      <c r="T10" s="152"/>
      <c r="U10" s="152"/>
    </row>
    <row r="11" spans="1:38" x14ac:dyDescent="0.25">
      <c r="A11" s="37">
        <f>+Données!A11</f>
        <v>5406</v>
      </c>
      <c r="B11" s="167" t="str">
        <f>+Données!B11</f>
        <v>Lavey-Morcles</v>
      </c>
      <c r="C11" s="610">
        <f>+Ecrêtage!C11</f>
        <v>23811.433641742868</v>
      </c>
      <c r="D11" s="604"/>
      <c r="E11" s="610">
        <f>Données!AF11+Données!AG11+Données!AH11</f>
        <v>553202</v>
      </c>
      <c r="F11" s="604">
        <f t="shared" si="0"/>
        <v>190491.46913394294</v>
      </c>
      <c r="G11" s="610">
        <f t="shared" si="1"/>
        <v>362710.53086605703</v>
      </c>
      <c r="H11" s="605">
        <f t="shared" si="2"/>
        <v>-252570.49770862024</v>
      </c>
      <c r="I11" s="604"/>
      <c r="J11" s="610">
        <f>Données!AN11</f>
        <v>22238</v>
      </c>
      <c r="K11" s="611">
        <f t="shared" si="3"/>
        <v>23811.433641742868</v>
      </c>
      <c r="L11" s="604">
        <f t="shared" si="4"/>
        <v>0</v>
      </c>
      <c r="M11" s="605">
        <f t="shared" si="5"/>
        <v>0</v>
      </c>
      <c r="N11" s="604"/>
      <c r="O11" s="612">
        <f t="shared" si="6"/>
        <v>-252570.49770862024</v>
      </c>
      <c r="P11" s="180"/>
      <c r="Q11" s="152"/>
      <c r="R11" s="152"/>
      <c r="S11" s="152"/>
      <c r="T11" s="152"/>
      <c r="U11" s="152"/>
      <c r="AF11" s="10"/>
      <c r="AG11" s="10"/>
      <c r="AH11" s="10"/>
      <c r="AI11" s="10"/>
      <c r="AJ11" s="10"/>
      <c r="AK11" s="10"/>
      <c r="AL11" s="10"/>
    </row>
    <row r="12" spans="1:38" x14ac:dyDescent="0.25">
      <c r="A12" s="37">
        <f>+Données!A12</f>
        <v>5407</v>
      </c>
      <c r="B12" s="167" t="str">
        <f>+Données!B12</f>
        <v>Leysin</v>
      </c>
      <c r="C12" s="610">
        <f>+Ecrêtage!C12</f>
        <v>94315.702863247876</v>
      </c>
      <c r="D12" s="604"/>
      <c r="E12" s="610">
        <f>Données!AF12+Données!AG12+Données!AH12</f>
        <v>2764871</v>
      </c>
      <c r="F12" s="604">
        <f t="shared" si="0"/>
        <v>754525.62290598301</v>
      </c>
      <c r="G12" s="610">
        <f t="shared" si="1"/>
        <v>2010345.3770940169</v>
      </c>
      <c r="H12" s="605">
        <f t="shared" si="2"/>
        <v>-1399887.4839571856</v>
      </c>
      <c r="I12" s="604"/>
      <c r="J12" s="610">
        <f>Données!AN12</f>
        <v>104345</v>
      </c>
      <c r="K12" s="611">
        <f t="shared" si="3"/>
        <v>94315.702863247876</v>
      </c>
      <c r="L12" s="604">
        <f t="shared" si="4"/>
        <v>10029.297136752124</v>
      </c>
      <c r="M12" s="605">
        <f t="shared" si="5"/>
        <v>-6983.8186485755978</v>
      </c>
      <c r="N12" s="604"/>
      <c r="O12" s="612">
        <f t="shared" si="6"/>
        <v>-1406871.3026057612</v>
      </c>
      <c r="P12" s="180"/>
      <c r="Q12" s="152"/>
      <c r="R12" s="152"/>
      <c r="S12" s="152"/>
      <c r="T12" s="152"/>
      <c r="U12" s="152"/>
      <c r="AF12" s="10"/>
      <c r="AG12" s="10"/>
      <c r="AH12" s="10"/>
      <c r="AI12" s="10"/>
      <c r="AJ12" s="10"/>
      <c r="AK12" s="10"/>
      <c r="AL12" s="10"/>
    </row>
    <row r="13" spans="1:38" x14ac:dyDescent="0.25">
      <c r="A13" s="37">
        <f>+Données!A13</f>
        <v>5408</v>
      </c>
      <c r="B13" s="167" t="str">
        <f>+Données!B13</f>
        <v>Noville</v>
      </c>
      <c r="C13" s="610">
        <f>+Ecrêtage!C13</f>
        <v>41741.779422222215</v>
      </c>
      <c r="D13" s="604"/>
      <c r="E13" s="610">
        <f>Données!AF13+Données!AG13+Données!AH13</f>
        <v>138141</v>
      </c>
      <c r="F13" s="604">
        <f t="shared" si="0"/>
        <v>333934.23537777772</v>
      </c>
      <c r="G13" s="610">
        <f t="shared" si="1"/>
        <v>0</v>
      </c>
      <c r="H13" s="605">
        <f t="shared" si="2"/>
        <v>0</v>
      </c>
      <c r="I13" s="604"/>
      <c r="J13" s="610">
        <f>Données!AN13</f>
        <v>100766</v>
      </c>
      <c r="K13" s="611">
        <f t="shared" si="3"/>
        <v>41741.779422222215</v>
      </c>
      <c r="L13" s="604">
        <f t="shared" si="4"/>
        <v>59024.220577777785</v>
      </c>
      <c r="M13" s="605">
        <f t="shared" si="5"/>
        <v>-41101.030986326434</v>
      </c>
      <c r="N13" s="604"/>
      <c r="O13" s="612">
        <f t="shared" si="6"/>
        <v>-41101.030986326434</v>
      </c>
      <c r="P13" s="180"/>
      <c r="Q13" s="152"/>
      <c r="R13" s="152"/>
      <c r="S13" s="152"/>
      <c r="T13" s="152"/>
      <c r="U13" s="152"/>
      <c r="AF13" s="10"/>
      <c r="AG13" s="10"/>
      <c r="AH13" s="10"/>
      <c r="AI13" s="10"/>
      <c r="AJ13" s="10"/>
      <c r="AK13" s="10"/>
      <c r="AL13" s="10"/>
    </row>
    <row r="14" spans="1:38" x14ac:dyDescent="0.25">
      <c r="A14" s="37">
        <f>+Données!A14</f>
        <v>5409</v>
      </c>
      <c r="B14" s="167" t="str">
        <f>+Données!B14</f>
        <v>Ollon</v>
      </c>
      <c r="C14" s="610">
        <f>+Ecrêtage!C14</f>
        <v>429709.0160746607</v>
      </c>
      <c r="D14" s="604"/>
      <c r="E14" s="610">
        <f>Données!AF14+Données!AG14+Données!AH14</f>
        <v>7427450</v>
      </c>
      <c r="F14" s="604">
        <f t="shared" si="0"/>
        <v>3437672.1285972856</v>
      </c>
      <c r="G14" s="610">
        <f t="shared" si="1"/>
        <v>3989777.8714027144</v>
      </c>
      <c r="H14" s="605">
        <f t="shared" si="2"/>
        <v>-2778249.036003727</v>
      </c>
      <c r="I14" s="604"/>
      <c r="J14" s="610">
        <f>Données!AN14</f>
        <v>1487358</v>
      </c>
      <c r="K14" s="611">
        <f t="shared" si="3"/>
        <v>429709.0160746607</v>
      </c>
      <c r="L14" s="604">
        <f t="shared" si="4"/>
        <v>1057648.9839253393</v>
      </c>
      <c r="M14" s="605">
        <f t="shared" si="5"/>
        <v>-736485.17905780475</v>
      </c>
      <c r="N14" s="604"/>
      <c r="O14" s="612">
        <f t="shared" si="6"/>
        <v>-3514734.2150615319</v>
      </c>
      <c r="P14" s="180"/>
      <c r="Q14" s="152"/>
      <c r="R14" s="152"/>
      <c r="S14" s="152"/>
      <c r="T14" s="152"/>
      <c r="U14" s="152"/>
      <c r="AF14" s="10"/>
      <c r="AG14" s="10"/>
      <c r="AH14" s="10"/>
      <c r="AI14" s="10"/>
      <c r="AJ14" s="10"/>
      <c r="AK14" s="10"/>
      <c r="AL14" s="10"/>
    </row>
    <row r="15" spans="1:38" x14ac:dyDescent="0.25">
      <c r="A15" s="37">
        <f>+Données!A15</f>
        <v>5410</v>
      </c>
      <c r="B15" s="167" t="str">
        <f>+Données!B15</f>
        <v>Ormont-Dessous</v>
      </c>
      <c r="C15" s="610">
        <f>+Ecrêtage!C15</f>
        <v>39461.333506493509</v>
      </c>
      <c r="D15" s="604"/>
      <c r="E15" s="610">
        <f>Données!AF15+Données!AG15+Données!AH15</f>
        <v>2773093</v>
      </c>
      <c r="F15" s="604">
        <f t="shared" si="0"/>
        <v>315690.66805194807</v>
      </c>
      <c r="G15" s="610">
        <f t="shared" si="1"/>
        <v>2457402.3319480522</v>
      </c>
      <c r="H15" s="605">
        <f t="shared" si="2"/>
        <v>-1711191.9209195657</v>
      </c>
      <c r="I15" s="604"/>
      <c r="J15" s="610">
        <f>Données!AN15</f>
        <v>100943</v>
      </c>
      <c r="K15" s="611">
        <f t="shared" si="3"/>
        <v>39461.333506493509</v>
      </c>
      <c r="L15" s="604">
        <f t="shared" si="4"/>
        <v>61481.666493506491</v>
      </c>
      <c r="M15" s="605">
        <f t="shared" si="5"/>
        <v>-42812.253256453521</v>
      </c>
      <c r="N15" s="604"/>
      <c r="O15" s="612">
        <f t="shared" si="6"/>
        <v>-1754004.1741760192</v>
      </c>
      <c r="P15" s="180"/>
      <c r="Q15" s="152"/>
      <c r="R15" s="152"/>
      <c r="S15" s="152"/>
      <c r="T15" s="152"/>
      <c r="U15" s="152"/>
      <c r="AF15" s="10"/>
      <c r="AG15" s="10"/>
      <c r="AH15" s="10"/>
      <c r="AI15" s="10"/>
      <c r="AJ15" s="10"/>
      <c r="AK15" s="10"/>
      <c r="AL15" s="10"/>
    </row>
    <row r="16" spans="1:38" x14ac:dyDescent="0.25">
      <c r="A16" s="37">
        <f>+Données!A16</f>
        <v>5411</v>
      </c>
      <c r="B16" s="167" t="str">
        <f>+Données!B16</f>
        <v>Ormont-Dessus</v>
      </c>
      <c r="C16" s="610">
        <f>+Ecrêtage!C16</f>
        <v>82773.582149122798</v>
      </c>
      <c r="D16" s="604"/>
      <c r="E16" s="610">
        <f>Données!AF16+Données!AG16+Données!AH16</f>
        <v>1376467</v>
      </c>
      <c r="F16" s="604">
        <f t="shared" si="0"/>
        <v>662188.65719298238</v>
      </c>
      <c r="G16" s="610">
        <f t="shared" si="1"/>
        <v>714278.34280701762</v>
      </c>
      <c r="H16" s="605">
        <f t="shared" si="2"/>
        <v>-497381.85465554544</v>
      </c>
      <c r="I16" s="604"/>
      <c r="J16" s="610">
        <f>Données!AN16</f>
        <v>127750</v>
      </c>
      <c r="K16" s="611">
        <f t="shared" si="3"/>
        <v>82773.582149122798</v>
      </c>
      <c r="L16" s="604">
        <f t="shared" si="4"/>
        <v>44976.417850877202</v>
      </c>
      <c r="M16" s="605">
        <f t="shared" si="5"/>
        <v>-31318.958990859523</v>
      </c>
      <c r="N16" s="604"/>
      <c r="O16" s="612">
        <f t="shared" si="6"/>
        <v>-528700.813646405</v>
      </c>
      <c r="P16" s="180"/>
      <c r="Q16" s="152"/>
      <c r="R16" s="152"/>
      <c r="S16" s="152"/>
      <c r="T16" s="152"/>
      <c r="U16" s="152"/>
      <c r="AF16" s="10"/>
      <c r="AG16" s="10"/>
      <c r="AH16" s="10"/>
      <c r="AI16" s="10"/>
      <c r="AJ16" s="10"/>
      <c r="AK16" s="10"/>
      <c r="AL16" s="10"/>
    </row>
    <row r="17" spans="1:38" x14ac:dyDescent="0.25">
      <c r="A17" s="37">
        <f>+Données!A17</f>
        <v>5412</v>
      </c>
      <c r="B17" s="167" t="str">
        <f>+Données!B17</f>
        <v>Rennaz</v>
      </c>
      <c r="C17" s="610">
        <f>+Ecrêtage!C17</f>
        <v>31259.838939393936</v>
      </c>
      <c r="D17" s="604"/>
      <c r="E17" s="610">
        <f>Données!AF17+Données!AG17+Données!AH17</f>
        <v>393207</v>
      </c>
      <c r="F17" s="604">
        <f t="shared" si="0"/>
        <v>250078.71151515149</v>
      </c>
      <c r="G17" s="610">
        <f t="shared" si="1"/>
        <v>143128.28848484851</v>
      </c>
      <c r="H17" s="605">
        <f t="shared" si="2"/>
        <v>-99666.207574631349</v>
      </c>
      <c r="I17" s="604"/>
      <c r="J17" s="610">
        <f>Données!AN17</f>
        <v>47770</v>
      </c>
      <c r="K17" s="611">
        <f t="shared" si="3"/>
        <v>31259.838939393936</v>
      </c>
      <c r="L17" s="604">
        <f t="shared" si="4"/>
        <v>16510.161060606064</v>
      </c>
      <c r="M17" s="605">
        <f t="shared" si="5"/>
        <v>-11496.714987485873</v>
      </c>
      <c r="N17" s="604"/>
      <c r="O17" s="612">
        <f t="shared" si="6"/>
        <v>-111162.92256211722</v>
      </c>
      <c r="P17" s="180"/>
      <c r="Q17" s="152"/>
      <c r="R17" s="152"/>
      <c r="S17" s="152"/>
      <c r="T17" s="152"/>
      <c r="U17" s="152"/>
      <c r="AF17" s="10"/>
      <c r="AG17" s="10"/>
      <c r="AH17" s="10"/>
      <c r="AI17" s="10"/>
      <c r="AJ17" s="10"/>
      <c r="AK17" s="10"/>
      <c r="AL17" s="10"/>
    </row>
    <row r="18" spans="1:38" x14ac:dyDescent="0.25">
      <c r="A18" s="37">
        <f>+Données!A18</f>
        <v>5413</v>
      </c>
      <c r="B18" s="167" t="str">
        <f>+Données!B18</f>
        <v>Roche</v>
      </c>
      <c r="C18" s="610">
        <f>+Ecrêtage!C18</f>
        <v>41768.164926470592</v>
      </c>
      <c r="D18" s="604"/>
      <c r="E18" s="610">
        <f>Données!AF18+Données!AG18+Données!AH18</f>
        <v>519550</v>
      </c>
      <c r="F18" s="604">
        <f t="shared" si="0"/>
        <v>334145.31941176474</v>
      </c>
      <c r="G18" s="610">
        <f t="shared" si="1"/>
        <v>185404.68058823526</v>
      </c>
      <c r="H18" s="605">
        <f t="shared" si="2"/>
        <v>-129105.02582284012</v>
      </c>
      <c r="I18" s="604"/>
      <c r="J18" s="610">
        <f>Données!AN18</f>
        <v>16546</v>
      </c>
      <c r="K18" s="611">
        <f t="shared" si="3"/>
        <v>41768.164926470592</v>
      </c>
      <c r="L18" s="604">
        <f t="shared" si="4"/>
        <v>0</v>
      </c>
      <c r="M18" s="605">
        <f t="shared" si="5"/>
        <v>0</v>
      </c>
      <c r="N18" s="604"/>
      <c r="O18" s="612">
        <f t="shared" si="6"/>
        <v>-129105.02582284012</v>
      </c>
      <c r="P18" s="180"/>
      <c r="Q18" s="152"/>
      <c r="R18" s="152"/>
      <c r="S18" s="152"/>
      <c r="T18" s="152"/>
      <c r="U18" s="152"/>
      <c r="AF18" s="10"/>
      <c r="AG18" s="10"/>
      <c r="AH18" s="10"/>
      <c r="AI18" s="10"/>
      <c r="AJ18" s="10"/>
      <c r="AK18" s="10"/>
      <c r="AL18" s="10"/>
    </row>
    <row r="19" spans="1:38" x14ac:dyDescent="0.25">
      <c r="A19" s="37">
        <f>+Données!A19</f>
        <v>5414</v>
      </c>
      <c r="B19" s="167" t="str">
        <f>+Données!B19</f>
        <v>Villeneuve</v>
      </c>
      <c r="C19" s="610">
        <f>+Ecrêtage!C19</f>
        <v>175995.0642105263</v>
      </c>
      <c r="D19" s="604"/>
      <c r="E19" s="610">
        <f>Données!AF19+Données!AG19+Données!AH19</f>
        <v>4431251</v>
      </c>
      <c r="F19" s="604">
        <f t="shared" si="0"/>
        <v>1407960.5136842104</v>
      </c>
      <c r="G19" s="610">
        <f t="shared" si="1"/>
        <v>3023290.4863157896</v>
      </c>
      <c r="H19" s="605">
        <f t="shared" si="2"/>
        <v>-2105243.4872052227</v>
      </c>
      <c r="I19" s="604"/>
      <c r="J19" s="610">
        <f>Données!AN19</f>
        <v>365789</v>
      </c>
      <c r="K19" s="611">
        <f t="shared" si="3"/>
        <v>175995.0642105263</v>
      </c>
      <c r="L19" s="604">
        <f t="shared" si="4"/>
        <v>189793.9357894737</v>
      </c>
      <c r="M19" s="605">
        <f t="shared" si="5"/>
        <v>-132161.44761489538</v>
      </c>
      <c r="N19" s="604"/>
      <c r="O19" s="612">
        <f t="shared" si="6"/>
        <v>-2237404.9348201179</v>
      </c>
      <c r="P19" s="180"/>
      <c r="Q19" s="152"/>
      <c r="R19" s="152"/>
      <c r="S19" s="152"/>
      <c r="T19" s="152"/>
      <c r="U19" s="152"/>
      <c r="AF19" s="10"/>
      <c r="AG19" s="10"/>
      <c r="AH19" s="10"/>
      <c r="AI19" s="10"/>
      <c r="AJ19" s="10"/>
      <c r="AK19" s="10"/>
      <c r="AL19" s="10"/>
    </row>
    <row r="20" spans="1:38" x14ac:dyDescent="0.25">
      <c r="A20" s="37">
        <f>+Données!A20</f>
        <v>5415</v>
      </c>
      <c r="B20" s="167" t="str">
        <f>+Données!B20</f>
        <v>Yvorne</v>
      </c>
      <c r="C20" s="610">
        <f>+Ecrêtage!C20</f>
        <v>36884.950722610716</v>
      </c>
      <c r="D20" s="604"/>
      <c r="E20" s="610">
        <f>Données!AF20+Données!AG20+Données!AH20</f>
        <v>696023</v>
      </c>
      <c r="F20" s="604">
        <f t="shared" si="0"/>
        <v>295079.60578088573</v>
      </c>
      <c r="G20" s="610">
        <f t="shared" si="1"/>
        <v>400943.39421911427</v>
      </c>
      <c r="H20" s="605">
        <f t="shared" si="2"/>
        <v>-279193.63793796563</v>
      </c>
      <c r="I20" s="604"/>
      <c r="J20" s="610">
        <f>Données!AN20</f>
        <v>47670</v>
      </c>
      <c r="K20" s="611">
        <f t="shared" si="3"/>
        <v>36884.950722610716</v>
      </c>
      <c r="L20" s="604">
        <f t="shared" si="4"/>
        <v>10785.049277389284</v>
      </c>
      <c r="M20" s="605">
        <f t="shared" si="5"/>
        <v>-7510.0804415522443</v>
      </c>
      <c r="N20" s="604"/>
      <c r="O20" s="612">
        <f t="shared" si="6"/>
        <v>-286703.7183795179</v>
      </c>
      <c r="P20" s="180"/>
      <c r="Q20" s="152"/>
      <c r="R20" s="152"/>
      <c r="S20" s="152"/>
      <c r="T20" s="152"/>
      <c r="U20" s="152"/>
      <c r="AF20" s="10"/>
      <c r="AG20" s="10"/>
      <c r="AH20" s="10"/>
      <c r="AI20" s="10"/>
      <c r="AJ20" s="10"/>
      <c r="AK20" s="10"/>
      <c r="AL20" s="10"/>
    </row>
    <row r="21" spans="1:38" s="146" customFormat="1" x14ac:dyDescent="0.25">
      <c r="A21" s="37">
        <f>+Données!A21</f>
        <v>5422</v>
      </c>
      <c r="B21" s="167" t="str">
        <f>+Données!B21</f>
        <v>Aubonne</v>
      </c>
      <c r="C21" s="610">
        <f>+Ecrêtage!C21</f>
        <v>367761.87779411761</v>
      </c>
      <c r="D21" s="604"/>
      <c r="E21" s="610">
        <f>Données!AF21+Données!AG21+Données!AH21</f>
        <v>2372588</v>
      </c>
      <c r="F21" s="604">
        <f t="shared" si="0"/>
        <v>2942095.0223529409</v>
      </c>
      <c r="G21" s="610">
        <f t="shared" si="1"/>
        <v>0</v>
      </c>
      <c r="H21" s="605">
        <f t="shared" si="2"/>
        <v>0</v>
      </c>
      <c r="I21" s="604"/>
      <c r="J21" s="610">
        <f>Données!AN21</f>
        <v>75777</v>
      </c>
      <c r="K21" s="611">
        <f t="shared" si="3"/>
        <v>367761.87779411761</v>
      </c>
      <c r="L21" s="604">
        <f t="shared" si="4"/>
        <v>0</v>
      </c>
      <c r="M21" s="605">
        <f t="shared" si="5"/>
        <v>0</v>
      </c>
      <c r="N21" s="604"/>
      <c r="O21" s="612">
        <f t="shared" si="6"/>
        <v>0</v>
      </c>
      <c r="P21" s="180"/>
      <c r="Q21" s="152"/>
      <c r="R21" s="152"/>
      <c r="S21" s="152"/>
      <c r="T21" s="152"/>
      <c r="U21" s="152"/>
    </row>
    <row r="22" spans="1:38" x14ac:dyDescent="0.25">
      <c r="A22" s="37">
        <f>+Données!A22</f>
        <v>5423</v>
      </c>
      <c r="B22" s="167" t="str">
        <f>+Données!B22</f>
        <v>Ballens</v>
      </c>
      <c r="C22" s="610">
        <f>+Ecrêtage!C22</f>
        <v>16526.279041095891</v>
      </c>
      <c r="D22" s="604"/>
      <c r="E22" s="610">
        <f>Données!AF22+Données!AG22+Données!AH22</f>
        <v>352955</v>
      </c>
      <c r="F22" s="604">
        <f t="shared" si="0"/>
        <v>132210.23232876713</v>
      </c>
      <c r="G22" s="610">
        <f t="shared" si="1"/>
        <v>220744.76767123287</v>
      </c>
      <c r="H22" s="605">
        <f t="shared" si="2"/>
        <v>-153713.80506701063</v>
      </c>
      <c r="I22" s="604"/>
      <c r="J22" s="610">
        <f>Données!AN22</f>
        <v>42678</v>
      </c>
      <c r="K22" s="611">
        <f t="shared" si="3"/>
        <v>16526.279041095891</v>
      </c>
      <c r="L22" s="604">
        <f t="shared" si="4"/>
        <v>26151.720958904109</v>
      </c>
      <c r="M22" s="605">
        <f t="shared" si="5"/>
        <v>-18210.535996173046</v>
      </c>
      <c r="N22" s="604"/>
      <c r="O22" s="612">
        <f t="shared" si="6"/>
        <v>-171924.34106318367</v>
      </c>
      <c r="P22" s="180"/>
      <c r="Q22" s="152"/>
      <c r="R22" s="152"/>
      <c r="S22" s="152"/>
      <c r="T22" s="152"/>
      <c r="U22" s="152"/>
      <c r="AF22" s="10"/>
      <c r="AG22" s="10"/>
      <c r="AH22" s="10"/>
      <c r="AI22" s="10"/>
      <c r="AJ22" s="10"/>
      <c r="AK22" s="10"/>
      <c r="AL22" s="10"/>
    </row>
    <row r="23" spans="1:38" x14ac:dyDescent="0.25">
      <c r="A23" s="37">
        <f>+Données!A23</f>
        <v>5424</v>
      </c>
      <c r="B23" s="167" t="str">
        <f>+Données!B23</f>
        <v>Berolle</v>
      </c>
      <c r="C23" s="610">
        <f>+Ecrêtage!C23</f>
        <v>9736.045430463575</v>
      </c>
      <c r="D23" s="604"/>
      <c r="E23" s="610">
        <f>Données!AF23+Données!AG23+Données!AH23</f>
        <v>130076</v>
      </c>
      <c r="F23" s="604">
        <f t="shared" si="0"/>
        <v>77888.3634437086</v>
      </c>
      <c r="G23" s="610">
        <f t="shared" si="1"/>
        <v>52187.6365562914</v>
      </c>
      <c r="H23" s="605">
        <f t="shared" si="2"/>
        <v>-36340.431880448072</v>
      </c>
      <c r="I23" s="604"/>
      <c r="J23" s="610">
        <f>Données!AN23</f>
        <v>89006</v>
      </c>
      <c r="K23" s="611">
        <f t="shared" si="3"/>
        <v>9736.045430463575</v>
      </c>
      <c r="L23" s="604">
        <f t="shared" si="4"/>
        <v>79269.954569536421</v>
      </c>
      <c r="M23" s="605">
        <f t="shared" si="5"/>
        <v>-55198.981488522164</v>
      </c>
      <c r="N23" s="604"/>
      <c r="O23" s="612">
        <f t="shared" si="6"/>
        <v>-91539.413368970243</v>
      </c>
      <c r="P23" s="180"/>
      <c r="Q23" s="152"/>
      <c r="R23" s="152"/>
      <c r="S23" s="152"/>
      <c r="T23" s="152"/>
      <c r="U23" s="152"/>
      <c r="AF23" s="10"/>
      <c r="AG23" s="10"/>
      <c r="AH23" s="10"/>
      <c r="AI23" s="10"/>
      <c r="AJ23" s="10"/>
      <c r="AK23" s="10"/>
      <c r="AL23" s="10"/>
    </row>
    <row r="24" spans="1:38" x14ac:dyDescent="0.25">
      <c r="A24" s="37">
        <f>+Données!A24</f>
        <v>5425</v>
      </c>
      <c r="B24" s="167" t="str">
        <f>+Données!B24</f>
        <v>Bière</v>
      </c>
      <c r="C24" s="610">
        <f>+Ecrêtage!C24</f>
        <v>44858.928245877061</v>
      </c>
      <c r="D24" s="604"/>
      <c r="E24" s="610">
        <f>Données!AF24+Données!AG24+Données!AH24</f>
        <v>1149688</v>
      </c>
      <c r="F24" s="604">
        <f t="shared" si="0"/>
        <v>358871.42596701649</v>
      </c>
      <c r="G24" s="610">
        <f t="shared" si="1"/>
        <v>790816.57403298351</v>
      </c>
      <c r="H24" s="605">
        <f t="shared" si="2"/>
        <v>-550678.62304085155</v>
      </c>
      <c r="I24" s="604"/>
      <c r="J24" s="610">
        <f>Données!AN24</f>
        <v>314158</v>
      </c>
      <c r="K24" s="611">
        <f t="shared" si="3"/>
        <v>44858.928245877061</v>
      </c>
      <c r="L24" s="604">
        <f t="shared" si="4"/>
        <v>269299.07175412297</v>
      </c>
      <c r="M24" s="605">
        <f t="shared" si="5"/>
        <v>-187524.19573537505</v>
      </c>
      <c r="N24" s="604"/>
      <c r="O24" s="612">
        <f t="shared" si="6"/>
        <v>-738202.8187762266</v>
      </c>
      <c r="P24" s="180"/>
      <c r="Q24" s="152"/>
      <c r="R24" s="152"/>
      <c r="S24" s="152"/>
      <c r="T24" s="152"/>
      <c r="U24" s="152"/>
      <c r="AF24" s="10"/>
      <c r="AG24" s="10"/>
      <c r="AH24" s="10"/>
      <c r="AI24" s="10"/>
      <c r="AJ24" s="10"/>
      <c r="AK24" s="10"/>
      <c r="AL24" s="10"/>
    </row>
    <row r="25" spans="1:38" x14ac:dyDescent="0.25">
      <c r="A25" s="37">
        <f>+Données!A25</f>
        <v>5426</v>
      </c>
      <c r="B25" s="167" t="str">
        <f>+Données!B25</f>
        <v>Bougy-Villars</v>
      </c>
      <c r="C25" s="610">
        <f>+Ecrêtage!C25</f>
        <v>68704.794547803613</v>
      </c>
      <c r="D25" s="604"/>
      <c r="E25" s="610">
        <f>Données!AF25+Données!AG25+Données!AH25</f>
        <v>0</v>
      </c>
      <c r="F25" s="604">
        <f t="shared" si="0"/>
        <v>549638.3563824289</v>
      </c>
      <c r="G25" s="610">
        <f t="shared" si="1"/>
        <v>0</v>
      </c>
      <c r="H25" s="605">
        <f t="shared" si="2"/>
        <v>0</v>
      </c>
      <c r="I25" s="604"/>
      <c r="J25" s="610">
        <f>Données!AN25</f>
        <v>0</v>
      </c>
      <c r="K25" s="611">
        <f t="shared" si="3"/>
        <v>68704.794547803613</v>
      </c>
      <c r="L25" s="604">
        <f t="shared" si="4"/>
        <v>0</v>
      </c>
      <c r="M25" s="605">
        <f t="shared" si="5"/>
        <v>0</v>
      </c>
      <c r="N25" s="604"/>
      <c r="O25" s="612">
        <f t="shared" si="6"/>
        <v>0</v>
      </c>
      <c r="P25" s="180"/>
      <c r="Q25" s="152"/>
      <c r="R25" s="152"/>
      <c r="S25" s="152"/>
      <c r="T25" s="152"/>
      <c r="U25" s="152"/>
      <c r="AF25" s="10"/>
      <c r="AG25" s="10"/>
      <c r="AH25" s="10"/>
      <c r="AI25" s="10"/>
      <c r="AJ25" s="10"/>
      <c r="AK25" s="10"/>
      <c r="AL25" s="10"/>
    </row>
    <row r="26" spans="1:38" x14ac:dyDescent="0.25">
      <c r="A26" s="37">
        <f>+Données!A26</f>
        <v>5427</v>
      </c>
      <c r="B26" s="167" t="str">
        <f>+Données!B26</f>
        <v>Féchy</v>
      </c>
      <c r="C26" s="610">
        <f>+Ecrêtage!C26</f>
        <v>103018.21625</v>
      </c>
      <c r="D26" s="604"/>
      <c r="E26" s="610">
        <f>Données!AF26+Données!AG26+Données!AH26</f>
        <v>312455</v>
      </c>
      <c r="F26" s="604">
        <f t="shared" si="0"/>
        <v>824145.73</v>
      </c>
      <c r="G26" s="610">
        <f t="shared" si="1"/>
        <v>0</v>
      </c>
      <c r="H26" s="605">
        <f t="shared" si="2"/>
        <v>0</v>
      </c>
      <c r="I26" s="604"/>
      <c r="J26" s="610">
        <f>Données!AN26</f>
        <v>60569</v>
      </c>
      <c r="K26" s="611">
        <f t="shared" si="3"/>
        <v>103018.21625</v>
      </c>
      <c r="L26" s="604">
        <f t="shared" si="4"/>
        <v>0</v>
      </c>
      <c r="M26" s="605">
        <f t="shared" si="5"/>
        <v>0</v>
      </c>
      <c r="N26" s="604"/>
      <c r="O26" s="612">
        <f t="shared" si="6"/>
        <v>0</v>
      </c>
      <c r="P26" s="180"/>
      <c r="Q26" s="152"/>
      <c r="R26" s="152"/>
      <c r="S26" s="152"/>
      <c r="T26" s="152"/>
      <c r="U26" s="152"/>
      <c r="AF26" s="10"/>
      <c r="AG26" s="10"/>
      <c r="AH26" s="10"/>
      <c r="AI26" s="10"/>
      <c r="AJ26" s="10"/>
      <c r="AK26" s="10"/>
      <c r="AL26" s="10"/>
    </row>
    <row r="27" spans="1:38" x14ac:dyDescent="0.25">
      <c r="A27" s="37">
        <f>+Données!A27</f>
        <v>5428</v>
      </c>
      <c r="B27" s="167" t="str">
        <f>+Données!B27</f>
        <v>Gimel</v>
      </c>
      <c r="C27" s="610">
        <f>+Ecrêtage!C27</f>
        <v>75149.866461187237</v>
      </c>
      <c r="D27" s="604"/>
      <c r="E27" s="610">
        <f>Données!AF27+Données!AG27+Données!AH27</f>
        <v>1436986</v>
      </c>
      <c r="F27" s="604">
        <f t="shared" si="0"/>
        <v>601198.9316894979</v>
      </c>
      <c r="G27" s="610">
        <f t="shared" si="1"/>
        <v>835787.0683105021</v>
      </c>
      <c r="H27" s="605">
        <f t="shared" si="2"/>
        <v>-581993.45720007794</v>
      </c>
      <c r="I27" s="604"/>
      <c r="J27" s="610">
        <f>Données!AN27</f>
        <v>143316</v>
      </c>
      <c r="K27" s="611">
        <f t="shared" si="3"/>
        <v>75149.866461187237</v>
      </c>
      <c r="L27" s="604">
        <f t="shared" si="4"/>
        <v>68166.133538812763</v>
      </c>
      <c r="M27" s="605">
        <f t="shared" si="5"/>
        <v>-47466.926955942377</v>
      </c>
      <c r="N27" s="604"/>
      <c r="O27" s="612">
        <f t="shared" si="6"/>
        <v>-629460.38415602036</v>
      </c>
      <c r="P27" s="180"/>
      <c r="Q27" s="152"/>
      <c r="R27" s="152"/>
      <c r="S27" s="152"/>
      <c r="T27" s="152"/>
      <c r="U27" s="152"/>
      <c r="AF27" s="10"/>
      <c r="AG27" s="10"/>
      <c r="AH27" s="10"/>
      <c r="AI27" s="10"/>
      <c r="AJ27" s="10"/>
      <c r="AK27" s="10"/>
      <c r="AL27" s="10"/>
    </row>
    <row r="28" spans="1:38" x14ac:dyDescent="0.25">
      <c r="A28" s="37">
        <f>+Données!A28</f>
        <v>5429</v>
      </c>
      <c r="B28" s="167" t="str">
        <f>+Données!B28</f>
        <v>Longirod</v>
      </c>
      <c r="C28" s="610">
        <f>+Ecrêtage!C28</f>
        <v>17947.478064516126</v>
      </c>
      <c r="D28" s="604"/>
      <c r="E28" s="610">
        <f>Données!AF28+Données!AG28+Données!AH28</f>
        <v>268927</v>
      </c>
      <c r="F28" s="604">
        <f t="shared" si="0"/>
        <v>143579.82451612901</v>
      </c>
      <c r="G28" s="610">
        <f t="shared" si="1"/>
        <v>125347.17548387099</v>
      </c>
      <c r="H28" s="605">
        <f t="shared" si="2"/>
        <v>-87284.475647116516</v>
      </c>
      <c r="I28" s="604"/>
      <c r="J28" s="610">
        <f>Données!AN28</f>
        <v>50967</v>
      </c>
      <c r="K28" s="611">
        <f t="shared" si="3"/>
        <v>17947.478064516126</v>
      </c>
      <c r="L28" s="604">
        <f t="shared" si="4"/>
        <v>33019.521935483877</v>
      </c>
      <c r="M28" s="605">
        <f t="shared" si="5"/>
        <v>-22992.872772215153</v>
      </c>
      <c r="N28" s="604"/>
      <c r="O28" s="612">
        <f t="shared" si="6"/>
        <v>-110277.34841933167</v>
      </c>
      <c r="P28" s="180"/>
      <c r="Q28" s="152"/>
      <c r="R28" s="152"/>
      <c r="S28" s="152"/>
      <c r="T28" s="152"/>
      <c r="U28" s="152"/>
      <c r="AF28" s="10"/>
      <c r="AG28" s="10"/>
      <c r="AH28" s="10"/>
      <c r="AI28" s="10"/>
      <c r="AJ28" s="10"/>
      <c r="AK28" s="10"/>
      <c r="AL28" s="10"/>
    </row>
    <row r="29" spans="1:38" x14ac:dyDescent="0.25">
      <c r="A29" s="37">
        <f>+Données!A29</f>
        <v>5430</v>
      </c>
      <c r="B29" s="167" t="str">
        <f>+Données!B29</f>
        <v>Marchissy</v>
      </c>
      <c r="C29" s="610">
        <f>+Ecrêtage!C29</f>
        <v>16228.828774193547</v>
      </c>
      <c r="D29" s="604"/>
      <c r="E29" s="610">
        <f>Données!AF29+Données!AG29+Données!AH29</f>
        <v>210470</v>
      </c>
      <c r="F29" s="604">
        <f t="shared" si="0"/>
        <v>129830.63019354838</v>
      </c>
      <c r="G29" s="610">
        <f t="shared" si="1"/>
        <v>80639.369806451621</v>
      </c>
      <c r="H29" s="605">
        <f t="shared" si="2"/>
        <v>-56152.562536008118</v>
      </c>
      <c r="I29" s="604"/>
      <c r="J29" s="610">
        <f>Données!AN29</f>
        <v>42943</v>
      </c>
      <c r="K29" s="611">
        <f t="shared" si="3"/>
        <v>16228.828774193547</v>
      </c>
      <c r="L29" s="604">
        <f t="shared" si="4"/>
        <v>26714.171225806451</v>
      </c>
      <c r="M29" s="605">
        <f t="shared" si="5"/>
        <v>-18602.193617771936</v>
      </c>
      <c r="N29" s="604"/>
      <c r="O29" s="612">
        <f t="shared" si="6"/>
        <v>-74754.75615378005</v>
      </c>
      <c r="P29" s="180"/>
      <c r="Q29" s="152"/>
      <c r="R29" s="152"/>
      <c r="S29" s="152"/>
      <c r="T29" s="152"/>
      <c r="U29" s="152"/>
      <c r="AF29" s="10"/>
      <c r="AG29" s="10"/>
      <c r="AH29" s="10"/>
      <c r="AI29" s="10"/>
      <c r="AJ29" s="10"/>
      <c r="AK29" s="10"/>
      <c r="AL29" s="10"/>
    </row>
    <row r="30" spans="1:38" x14ac:dyDescent="0.25">
      <c r="A30" s="37">
        <f>+Données!A30</f>
        <v>5431</v>
      </c>
      <c r="B30" s="167" t="str">
        <f>+Données!B30</f>
        <v>Mollens</v>
      </c>
      <c r="C30" s="610">
        <f>+Ecrêtage!C30</f>
        <v>10701.336756756757</v>
      </c>
      <c r="D30" s="604"/>
      <c r="E30" s="610">
        <f>Données!AF30+Données!AG30+Données!AH30</f>
        <v>138849</v>
      </c>
      <c r="F30" s="604">
        <f t="shared" si="0"/>
        <v>85610.694054054053</v>
      </c>
      <c r="G30" s="610">
        <f t="shared" si="1"/>
        <v>53238.305945945947</v>
      </c>
      <c r="H30" s="605">
        <f t="shared" si="2"/>
        <v>-37072.056876388036</v>
      </c>
      <c r="I30" s="604"/>
      <c r="J30" s="610">
        <f>Données!AN30</f>
        <v>80508</v>
      </c>
      <c r="K30" s="611">
        <f t="shared" si="3"/>
        <v>10701.336756756757</v>
      </c>
      <c r="L30" s="604">
        <f t="shared" si="4"/>
        <v>69806.663243243238</v>
      </c>
      <c r="M30" s="605">
        <f t="shared" si="5"/>
        <v>-48609.296335084531</v>
      </c>
      <c r="N30" s="604"/>
      <c r="O30" s="612">
        <f t="shared" si="6"/>
        <v>-85681.353211472568</v>
      </c>
      <c r="P30" s="180"/>
      <c r="Q30" s="152"/>
      <c r="R30" s="152"/>
      <c r="S30" s="152"/>
      <c r="T30" s="152"/>
      <c r="U30" s="152"/>
      <c r="AF30" s="10"/>
      <c r="AG30" s="10"/>
      <c r="AH30" s="10"/>
      <c r="AI30" s="10"/>
      <c r="AJ30" s="10"/>
      <c r="AK30" s="10"/>
      <c r="AL30" s="10"/>
    </row>
    <row r="31" spans="1:38" x14ac:dyDescent="0.25">
      <c r="A31" s="37">
        <f>+Données!A31</f>
        <v>5434</v>
      </c>
      <c r="B31" s="167" t="str">
        <f>+Données!B31</f>
        <v>Saint-George</v>
      </c>
      <c r="C31" s="610">
        <f>+Ecrêtage!C31</f>
        <v>50881.209304556367</v>
      </c>
      <c r="D31" s="604"/>
      <c r="E31" s="610">
        <f>Données!AF31+Données!AG31+Données!AH31</f>
        <v>449587</v>
      </c>
      <c r="F31" s="604">
        <f t="shared" si="0"/>
        <v>407049.67443645094</v>
      </c>
      <c r="G31" s="610">
        <f t="shared" si="1"/>
        <v>42537.325563549064</v>
      </c>
      <c r="H31" s="605">
        <f t="shared" si="2"/>
        <v>-29620.517119053988</v>
      </c>
      <c r="I31" s="604"/>
      <c r="J31" s="610">
        <f>Données!AN31</f>
        <v>89840</v>
      </c>
      <c r="K31" s="611">
        <f t="shared" si="3"/>
        <v>50881.209304556367</v>
      </c>
      <c r="L31" s="604">
        <f t="shared" si="4"/>
        <v>38958.790695443633</v>
      </c>
      <c r="M31" s="605">
        <f t="shared" si="5"/>
        <v>-27128.633769136006</v>
      </c>
      <c r="N31" s="604"/>
      <c r="O31" s="612">
        <f t="shared" si="6"/>
        <v>-56749.150888189994</v>
      </c>
      <c r="P31" s="180"/>
      <c r="Q31" s="152"/>
      <c r="R31" s="152"/>
      <c r="S31" s="152"/>
      <c r="T31" s="152"/>
      <c r="U31" s="152"/>
      <c r="AF31" s="10"/>
      <c r="AG31" s="10"/>
      <c r="AH31" s="10"/>
      <c r="AI31" s="10"/>
      <c r="AJ31" s="10"/>
      <c r="AK31" s="10"/>
      <c r="AL31" s="10"/>
    </row>
    <row r="32" spans="1:38" x14ac:dyDescent="0.25">
      <c r="A32" s="37">
        <f>+Données!A32</f>
        <v>5435</v>
      </c>
      <c r="B32" s="167" t="str">
        <f>+Données!B32</f>
        <v>Saint-Livres</v>
      </c>
      <c r="C32" s="610">
        <f>+Ecrêtage!C32</f>
        <v>27013.42144927536</v>
      </c>
      <c r="D32" s="604"/>
      <c r="E32" s="610">
        <f>Données!AF32+Données!AG32+Données!AH32</f>
        <v>278309</v>
      </c>
      <c r="F32" s="604">
        <f t="shared" si="0"/>
        <v>216107.37159420288</v>
      </c>
      <c r="G32" s="610">
        <f t="shared" si="1"/>
        <v>62201.628405797121</v>
      </c>
      <c r="H32" s="605">
        <f t="shared" si="2"/>
        <v>-43313.592818016034</v>
      </c>
      <c r="I32" s="604"/>
      <c r="J32" s="610">
        <f>Données!AN32</f>
        <v>53517</v>
      </c>
      <c r="K32" s="611">
        <f t="shared" si="3"/>
        <v>27013.42144927536</v>
      </c>
      <c r="L32" s="604">
        <f t="shared" si="4"/>
        <v>26503.57855072464</v>
      </c>
      <c r="M32" s="605">
        <f t="shared" si="5"/>
        <v>-18455.549138957937</v>
      </c>
      <c r="N32" s="604"/>
      <c r="O32" s="612">
        <f t="shared" si="6"/>
        <v>-61769.141956973966</v>
      </c>
      <c r="P32" s="180"/>
      <c r="Q32" s="152"/>
      <c r="R32" s="152"/>
      <c r="S32" s="152"/>
      <c r="T32" s="152"/>
      <c r="U32" s="152"/>
      <c r="AF32" s="10"/>
      <c r="AG32" s="10"/>
      <c r="AH32" s="10"/>
      <c r="AI32" s="10"/>
      <c r="AJ32" s="10"/>
      <c r="AK32" s="10"/>
      <c r="AL32" s="10"/>
    </row>
    <row r="33" spans="1:38" x14ac:dyDescent="0.25">
      <c r="A33" s="37">
        <f>+Données!A33</f>
        <v>5436</v>
      </c>
      <c r="B33" s="167" t="str">
        <f>+Données!B33</f>
        <v>Saint-Oyens</v>
      </c>
      <c r="C33" s="610">
        <f>+Ecrêtage!C33</f>
        <v>17587.95702531646</v>
      </c>
      <c r="D33" s="604"/>
      <c r="E33" s="610">
        <f>Données!AF33+Données!AG33+Données!AH33</f>
        <v>0</v>
      </c>
      <c r="F33" s="604">
        <f t="shared" si="0"/>
        <v>140703.65620253168</v>
      </c>
      <c r="G33" s="610">
        <f t="shared" si="1"/>
        <v>0</v>
      </c>
      <c r="H33" s="605">
        <f t="shared" si="2"/>
        <v>0</v>
      </c>
      <c r="I33" s="604"/>
      <c r="J33" s="610">
        <f>Données!AN33</f>
        <v>0</v>
      </c>
      <c r="K33" s="611">
        <f t="shared" si="3"/>
        <v>17587.95702531646</v>
      </c>
      <c r="L33" s="604">
        <f t="shared" si="4"/>
        <v>0</v>
      </c>
      <c r="M33" s="605">
        <f t="shared" si="5"/>
        <v>0</v>
      </c>
      <c r="N33" s="604"/>
      <c r="O33" s="612">
        <f t="shared" si="6"/>
        <v>0</v>
      </c>
      <c r="P33" s="180"/>
      <c r="Q33" s="152"/>
      <c r="R33" s="152"/>
      <c r="S33" s="152"/>
      <c r="T33" s="152"/>
      <c r="U33" s="152"/>
      <c r="AF33" s="10"/>
      <c r="AG33" s="10"/>
      <c r="AH33" s="10"/>
      <c r="AI33" s="10"/>
      <c r="AJ33" s="10"/>
      <c r="AK33" s="10"/>
      <c r="AL33" s="10"/>
    </row>
    <row r="34" spans="1:38" x14ac:dyDescent="0.25">
      <c r="A34" s="37">
        <f>+Données!A34</f>
        <v>5437</v>
      </c>
      <c r="B34" s="167" t="str">
        <f>+Données!B34</f>
        <v>Saubraz</v>
      </c>
      <c r="C34" s="610">
        <f>+Ecrêtage!C34</f>
        <v>13211.02075</v>
      </c>
      <c r="D34" s="604"/>
      <c r="E34" s="610">
        <f>Données!AF34+Données!AG34+Données!AH34</f>
        <v>541158</v>
      </c>
      <c r="F34" s="604">
        <f t="shared" si="0"/>
        <v>105688.166</v>
      </c>
      <c r="G34" s="610">
        <f t="shared" si="1"/>
        <v>435469.83400000003</v>
      </c>
      <c r="H34" s="605">
        <f t="shared" si="2"/>
        <v>-303235.84056920186</v>
      </c>
      <c r="I34" s="604"/>
      <c r="J34" s="610">
        <f>Données!AN34</f>
        <v>2869</v>
      </c>
      <c r="K34" s="611">
        <f t="shared" si="3"/>
        <v>13211.02075</v>
      </c>
      <c r="L34" s="604">
        <f t="shared" si="4"/>
        <v>0</v>
      </c>
      <c r="M34" s="605">
        <f t="shared" si="5"/>
        <v>0</v>
      </c>
      <c r="N34" s="604"/>
      <c r="O34" s="612">
        <f t="shared" si="6"/>
        <v>-303235.84056920186</v>
      </c>
      <c r="P34" s="180"/>
      <c r="Q34" s="152"/>
      <c r="R34" s="152"/>
      <c r="S34" s="152"/>
      <c r="T34" s="152"/>
      <c r="U34" s="152"/>
      <c r="AF34" s="10"/>
      <c r="AG34" s="10"/>
      <c r="AH34" s="10"/>
      <c r="AI34" s="10"/>
      <c r="AJ34" s="10"/>
      <c r="AK34" s="10"/>
      <c r="AL34" s="10"/>
    </row>
    <row r="35" spans="1:38" x14ac:dyDescent="0.25">
      <c r="A35" s="37">
        <f>+Données!A35</f>
        <v>5451</v>
      </c>
      <c r="B35" s="167" t="str">
        <f>+Données!B35</f>
        <v>Avenches</v>
      </c>
      <c r="C35" s="610">
        <f>+Ecrêtage!C35</f>
        <v>142009.89482051283</v>
      </c>
      <c r="D35" s="604"/>
      <c r="E35" s="610">
        <f>Données!AF35+Données!AG35+Données!AH35</f>
        <v>3052032</v>
      </c>
      <c r="F35" s="604">
        <f t="shared" si="0"/>
        <v>1136079.1585641026</v>
      </c>
      <c r="G35" s="610">
        <f t="shared" si="1"/>
        <v>1915952.8414358974</v>
      </c>
      <c r="H35" s="605">
        <f t="shared" si="2"/>
        <v>-1334158.0173926929</v>
      </c>
      <c r="I35" s="604"/>
      <c r="J35" s="610">
        <f>Données!AN35</f>
        <v>72080</v>
      </c>
      <c r="K35" s="611">
        <f t="shared" si="3"/>
        <v>142009.89482051283</v>
      </c>
      <c r="L35" s="604">
        <f t="shared" si="4"/>
        <v>0</v>
      </c>
      <c r="M35" s="605">
        <f t="shared" si="5"/>
        <v>0</v>
      </c>
      <c r="N35" s="604"/>
      <c r="O35" s="612">
        <f t="shared" si="6"/>
        <v>-1334158.0173926929</v>
      </c>
      <c r="P35" s="180"/>
      <c r="Q35" s="152"/>
      <c r="R35" s="152"/>
      <c r="S35" s="152"/>
      <c r="T35" s="152"/>
      <c r="U35" s="152"/>
      <c r="AF35" s="10"/>
      <c r="AG35" s="10"/>
      <c r="AH35" s="10"/>
      <c r="AI35" s="10"/>
      <c r="AJ35" s="10"/>
      <c r="AK35" s="10"/>
      <c r="AL35" s="10"/>
    </row>
    <row r="36" spans="1:38" x14ac:dyDescent="0.25">
      <c r="A36" s="37">
        <f>+Données!A36</f>
        <v>5456</v>
      </c>
      <c r="B36" s="167" t="str">
        <f>+Données!B36</f>
        <v>Cudrefin</v>
      </c>
      <c r="C36" s="610">
        <f>+Ecrêtage!C36</f>
        <v>69270.195988700565</v>
      </c>
      <c r="D36" s="604"/>
      <c r="E36" s="610">
        <f>Données!AF36+Données!AG36+Données!AH36</f>
        <v>880840</v>
      </c>
      <c r="F36" s="604">
        <f t="shared" si="0"/>
        <v>554161.56790960452</v>
      </c>
      <c r="G36" s="610">
        <f t="shared" si="1"/>
        <v>326678.43209039548</v>
      </c>
      <c r="H36" s="605">
        <f t="shared" si="2"/>
        <v>-227479.84180865213</v>
      </c>
      <c r="I36" s="604"/>
      <c r="J36" s="610">
        <f>Données!AN36</f>
        <v>17073</v>
      </c>
      <c r="K36" s="611">
        <f t="shared" si="3"/>
        <v>69270.195988700565</v>
      </c>
      <c r="L36" s="604">
        <f t="shared" si="4"/>
        <v>0</v>
      </c>
      <c r="M36" s="605">
        <f t="shared" si="5"/>
        <v>0</v>
      </c>
      <c r="N36" s="604"/>
      <c r="O36" s="612">
        <f t="shared" si="6"/>
        <v>-227479.84180865213</v>
      </c>
      <c r="P36" s="180"/>
      <c r="Q36" s="152"/>
      <c r="R36" s="152"/>
      <c r="S36" s="152"/>
      <c r="T36" s="152"/>
      <c r="U36" s="152"/>
      <c r="AF36" s="10"/>
      <c r="AG36" s="10"/>
      <c r="AH36" s="10"/>
      <c r="AI36" s="10"/>
      <c r="AJ36" s="10"/>
      <c r="AK36" s="10"/>
      <c r="AL36" s="10"/>
    </row>
    <row r="37" spans="1:38" x14ac:dyDescent="0.25">
      <c r="A37" s="37">
        <f>+Données!A37</f>
        <v>5458</v>
      </c>
      <c r="B37" s="167" t="str">
        <f>+Données!B37</f>
        <v>Faoug</v>
      </c>
      <c r="C37" s="610">
        <f>+Ecrêtage!C37</f>
        <v>33300.633333333331</v>
      </c>
      <c r="D37" s="604"/>
      <c r="E37" s="610">
        <f>Données!AF37+Données!AG37+Données!AH37</f>
        <v>413063</v>
      </c>
      <c r="F37" s="604">
        <f t="shared" si="0"/>
        <v>266405.06666666665</v>
      </c>
      <c r="G37" s="610">
        <f t="shared" si="1"/>
        <v>146657.93333333335</v>
      </c>
      <c r="H37" s="605">
        <f t="shared" si="2"/>
        <v>-102124.04676112492</v>
      </c>
      <c r="I37" s="604"/>
      <c r="J37" s="610">
        <f>Données!AN37</f>
        <v>16139</v>
      </c>
      <c r="K37" s="611">
        <f t="shared" si="3"/>
        <v>33300.633333333331</v>
      </c>
      <c r="L37" s="604">
        <f t="shared" si="4"/>
        <v>0</v>
      </c>
      <c r="M37" s="605">
        <f t="shared" si="5"/>
        <v>0</v>
      </c>
      <c r="N37" s="604"/>
      <c r="O37" s="612">
        <f t="shared" si="6"/>
        <v>-102124.04676112492</v>
      </c>
      <c r="P37" s="180"/>
      <c r="Q37" s="152"/>
      <c r="R37" s="152"/>
      <c r="S37" s="152"/>
      <c r="T37" s="152"/>
      <c r="U37" s="152"/>
      <c r="AF37" s="10"/>
      <c r="AG37" s="10"/>
      <c r="AH37" s="10"/>
      <c r="AI37" s="10"/>
      <c r="AJ37" s="10"/>
      <c r="AK37" s="10"/>
      <c r="AL37" s="10"/>
    </row>
    <row r="38" spans="1:38" x14ac:dyDescent="0.25">
      <c r="A38" s="37">
        <f>+Données!A38</f>
        <v>5464</v>
      </c>
      <c r="B38" s="167" t="str">
        <f>+Données!B38</f>
        <v>Vully-les-Lacs</v>
      </c>
      <c r="C38" s="610">
        <f>+Ecrêtage!C38</f>
        <v>124498.36985074625</v>
      </c>
      <c r="D38" s="604"/>
      <c r="E38" s="610">
        <f>Données!AF38+Données!AG38+Données!AH38</f>
        <v>2107609</v>
      </c>
      <c r="F38" s="604">
        <f t="shared" si="0"/>
        <v>995986.95880597003</v>
      </c>
      <c r="G38" s="610">
        <f t="shared" si="1"/>
        <v>1111622.0411940301</v>
      </c>
      <c r="H38" s="605">
        <f t="shared" si="2"/>
        <v>-774068.87398019782</v>
      </c>
      <c r="I38" s="604"/>
      <c r="J38" s="610">
        <f>Données!AN38</f>
        <v>30715</v>
      </c>
      <c r="K38" s="611">
        <f t="shared" si="3"/>
        <v>124498.36985074625</v>
      </c>
      <c r="L38" s="604">
        <f t="shared" si="4"/>
        <v>0</v>
      </c>
      <c r="M38" s="605">
        <f t="shared" si="5"/>
        <v>0</v>
      </c>
      <c r="N38" s="604"/>
      <c r="O38" s="612">
        <f t="shared" si="6"/>
        <v>-774068.87398019782</v>
      </c>
      <c r="P38" s="180"/>
      <c r="Q38" s="152"/>
      <c r="R38" s="152"/>
      <c r="S38" s="152"/>
      <c r="T38" s="152"/>
      <c r="U38" s="152"/>
      <c r="AF38" s="10"/>
      <c r="AG38" s="10"/>
      <c r="AH38" s="10"/>
      <c r="AI38" s="10"/>
      <c r="AJ38" s="10"/>
      <c r="AK38" s="10"/>
      <c r="AL38" s="10"/>
    </row>
    <row r="39" spans="1:38" x14ac:dyDescent="0.25">
      <c r="A39" s="37">
        <f>+Données!A39</f>
        <v>5471</v>
      </c>
      <c r="B39" s="167" t="str">
        <f>+Données!B39</f>
        <v>Bettens</v>
      </c>
      <c r="C39" s="610">
        <f>+Ecrêtage!C39</f>
        <v>23785.854190476188</v>
      </c>
      <c r="D39" s="604"/>
      <c r="E39" s="610">
        <f>Données!AF39+Données!AG39+Données!AH39</f>
        <v>196417</v>
      </c>
      <c r="F39" s="604">
        <f t="shared" si="0"/>
        <v>190286.8335238095</v>
      </c>
      <c r="G39" s="610">
        <f t="shared" si="1"/>
        <v>6130.1664761904976</v>
      </c>
      <c r="H39" s="605">
        <f t="shared" si="2"/>
        <v>-4268.6910529760544</v>
      </c>
      <c r="I39" s="604"/>
      <c r="J39" s="610">
        <f>Données!AN39</f>
        <v>392</v>
      </c>
      <c r="K39" s="611">
        <f t="shared" si="3"/>
        <v>23785.854190476188</v>
      </c>
      <c r="L39" s="604">
        <f t="shared" si="4"/>
        <v>0</v>
      </c>
      <c r="M39" s="605">
        <f t="shared" si="5"/>
        <v>0</v>
      </c>
      <c r="N39" s="604"/>
      <c r="O39" s="612">
        <f t="shared" si="6"/>
        <v>-4268.6910529760544</v>
      </c>
      <c r="P39" s="180"/>
      <c r="Q39" s="152"/>
      <c r="R39" s="152"/>
      <c r="S39" s="152"/>
      <c r="T39" s="152"/>
      <c r="U39" s="152"/>
      <c r="AF39" s="10"/>
      <c r="AG39" s="10"/>
      <c r="AH39" s="10"/>
      <c r="AI39" s="10"/>
      <c r="AJ39" s="10"/>
      <c r="AK39" s="10"/>
      <c r="AL39" s="10"/>
    </row>
    <row r="40" spans="1:38" x14ac:dyDescent="0.25">
      <c r="A40" s="37">
        <f>+Données!A40</f>
        <v>5472</v>
      </c>
      <c r="B40" s="167" t="str">
        <f>+Données!B40</f>
        <v>Bournens</v>
      </c>
      <c r="C40" s="610">
        <f>+Ecrêtage!C40</f>
        <v>19794.03169230769</v>
      </c>
      <c r="D40" s="604"/>
      <c r="E40" s="610">
        <f>Données!AF40+Données!AG40+Données!AH40</f>
        <v>240862</v>
      </c>
      <c r="F40" s="604">
        <f t="shared" si="0"/>
        <v>158352.25353846152</v>
      </c>
      <c r="G40" s="610">
        <f t="shared" si="1"/>
        <v>82509.746461538482</v>
      </c>
      <c r="H40" s="605">
        <f t="shared" si="2"/>
        <v>-57454.983950544665</v>
      </c>
      <c r="I40" s="604"/>
      <c r="J40" s="610">
        <f>Données!AN40</f>
        <v>35206</v>
      </c>
      <c r="K40" s="611">
        <f t="shared" si="3"/>
        <v>19794.03169230769</v>
      </c>
      <c r="L40" s="604">
        <f t="shared" si="4"/>
        <v>15411.96830769231</v>
      </c>
      <c r="M40" s="605">
        <f t="shared" si="5"/>
        <v>-10731.997488048684</v>
      </c>
      <c r="N40" s="604"/>
      <c r="O40" s="612">
        <f t="shared" si="6"/>
        <v>-68186.981438593357</v>
      </c>
      <c r="P40" s="180"/>
      <c r="Q40" s="152"/>
      <c r="R40" s="152"/>
      <c r="S40" s="152"/>
      <c r="T40" s="152"/>
      <c r="U40" s="152"/>
      <c r="AF40" s="10"/>
      <c r="AG40" s="10"/>
      <c r="AH40" s="10"/>
      <c r="AI40" s="10"/>
      <c r="AJ40" s="10"/>
      <c r="AK40" s="10"/>
      <c r="AL40" s="10"/>
    </row>
    <row r="41" spans="1:38" x14ac:dyDescent="0.25">
      <c r="A41" s="37">
        <f>+Données!A41</f>
        <v>5473</v>
      </c>
      <c r="B41" s="167" t="str">
        <f>+Données!B41</f>
        <v>Boussens</v>
      </c>
      <c r="C41" s="610">
        <f>+Ecrêtage!C41</f>
        <v>38638.005156250001</v>
      </c>
      <c r="D41" s="604"/>
      <c r="E41" s="610">
        <f>Données!AF41+Données!AG41+Données!AH41</f>
        <v>0</v>
      </c>
      <c r="F41" s="604">
        <f t="shared" si="0"/>
        <v>309104.04125000001</v>
      </c>
      <c r="G41" s="610">
        <f t="shared" si="1"/>
        <v>0</v>
      </c>
      <c r="H41" s="605">
        <f t="shared" si="2"/>
        <v>0</v>
      </c>
      <c r="I41" s="604"/>
      <c r="J41" s="610">
        <f>Données!AN41</f>
        <v>0</v>
      </c>
      <c r="K41" s="611">
        <f t="shared" si="3"/>
        <v>38638.005156250001</v>
      </c>
      <c r="L41" s="604">
        <f t="shared" si="4"/>
        <v>0</v>
      </c>
      <c r="M41" s="605">
        <f t="shared" si="5"/>
        <v>0</v>
      </c>
      <c r="N41" s="604"/>
      <c r="O41" s="612">
        <f t="shared" si="6"/>
        <v>0</v>
      </c>
      <c r="P41" s="180"/>
      <c r="Q41" s="152"/>
      <c r="R41" s="152"/>
      <c r="S41" s="152"/>
      <c r="T41" s="152"/>
      <c r="U41" s="152"/>
      <c r="AF41" s="10"/>
      <c r="AG41" s="10"/>
      <c r="AH41" s="10"/>
      <c r="AI41" s="10"/>
      <c r="AJ41" s="10"/>
      <c r="AK41" s="10"/>
      <c r="AL41" s="10"/>
    </row>
    <row r="42" spans="1:38" x14ac:dyDescent="0.25">
      <c r="A42" s="37">
        <f>+Données!A42</f>
        <v>5474</v>
      </c>
      <c r="B42" s="167" t="str">
        <f>+Données!B42</f>
        <v>La Chaux (Cossonay)</v>
      </c>
      <c r="C42" s="610">
        <f>+Ecrêtage!C42</f>
        <v>13264.060789473682</v>
      </c>
      <c r="D42" s="604"/>
      <c r="E42" s="610">
        <f>Données!AF42+Données!AG42+Données!AH42</f>
        <v>257637</v>
      </c>
      <c r="F42" s="604">
        <f t="shared" si="0"/>
        <v>106112.48631578946</v>
      </c>
      <c r="G42" s="610">
        <f t="shared" si="1"/>
        <v>151524.51368421054</v>
      </c>
      <c r="H42" s="605">
        <f t="shared" si="2"/>
        <v>-105512.84999886149</v>
      </c>
      <c r="I42" s="604"/>
      <c r="J42" s="610">
        <f>Données!AN42</f>
        <v>17089</v>
      </c>
      <c r="K42" s="611">
        <f t="shared" si="3"/>
        <v>13264.060789473682</v>
      </c>
      <c r="L42" s="604">
        <f t="shared" si="4"/>
        <v>3824.9392105263178</v>
      </c>
      <c r="M42" s="605">
        <f t="shared" si="5"/>
        <v>-2663.4649890124128</v>
      </c>
      <c r="N42" s="604"/>
      <c r="O42" s="612">
        <f t="shared" si="6"/>
        <v>-108176.31498787391</v>
      </c>
      <c r="P42" s="180"/>
      <c r="Q42" s="152"/>
      <c r="R42" s="152"/>
      <c r="S42" s="152"/>
      <c r="T42" s="152"/>
      <c r="U42" s="152"/>
      <c r="AF42" s="10"/>
      <c r="AG42" s="10"/>
      <c r="AH42" s="10"/>
      <c r="AI42" s="10"/>
      <c r="AJ42" s="10"/>
      <c r="AK42" s="10"/>
      <c r="AL42" s="10"/>
    </row>
    <row r="43" spans="1:38" x14ac:dyDescent="0.25">
      <c r="A43" s="37">
        <f>+Données!A43</f>
        <v>5475</v>
      </c>
      <c r="B43" s="167" t="str">
        <f>+Données!B43</f>
        <v>Chavannes-le-Veyron</v>
      </c>
      <c r="C43" s="610">
        <f>+Ecrêtage!C43</f>
        <v>4088.5965333333334</v>
      </c>
      <c r="D43" s="604"/>
      <c r="E43" s="610">
        <f>Données!AF43+Données!AG43+Données!AH43</f>
        <v>176327</v>
      </c>
      <c r="F43" s="604">
        <f t="shared" si="0"/>
        <v>32708.772266666667</v>
      </c>
      <c r="G43" s="610">
        <f t="shared" si="1"/>
        <v>143618.22773333333</v>
      </c>
      <c r="H43" s="605">
        <f t="shared" si="2"/>
        <v>-100007.37274439173</v>
      </c>
      <c r="I43" s="604"/>
      <c r="J43" s="610">
        <f>Données!AN43</f>
        <v>16600</v>
      </c>
      <c r="K43" s="611">
        <f t="shared" si="3"/>
        <v>4088.5965333333334</v>
      </c>
      <c r="L43" s="604">
        <f t="shared" si="4"/>
        <v>12511.403466666667</v>
      </c>
      <c r="M43" s="605">
        <f t="shared" si="5"/>
        <v>-8712.2129954817792</v>
      </c>
      <c r="N43" s="604"/>
      <c r="O43" s="612">
        <f t="shared" si="6"/>
        <v>-108719.58573987351</v>
      </c>
      <c r="P43" s="180"/>
      <c r="Q43" s="152"/>
      <c r="R43" s="152"/>
      <c r="S43" s="152"/>
      <c r="T43" s="152"/>
      <c r="U43" s="152"/>
      <c r="AF43" s="10"/>
      <c r="AG43" s="10"/>
      <c r="AH43" s="10"/>
      <c r="AI43" s="10"/>
      <c r="AJ43" s="10"/>
      <c r="AK43" s="10"/>
      <c r="AL43" s="10"/>
    </row>
    <row r="44" spans="1:38" x14ac:dyDescent="0.25">
      <c r="A44" s="37">
        <f>+Données!A44</f>
        <v>5476</v>
      </c>
      <c r="B44" s="167" t="str">
        <f>+Données!B44</f>
        <v>Chevilly</v>
      </c>
      <c r="C44" s="610">
        <f>+Ecrêtage!C44</f>
        <v>11956.878714285715</v>
      </c>
      <c r="D44" s="604"/>
      <c r="E44" s="610">
        <f>Données!AF44+Données!AG44+Données!AH44</f>
        <v>259003</v>
      </c>
      <c r="F44" s="604">
        <f t="shared" si="0"/>
        <v>95655.029714285716</v>
      </c>
      <c r="G44" s="610">
        <f t="shared" si="1"/>
        <v>163347.97028571428</v>
      </c>
      <c r="H44" s="605">
        <f t="shared" si="2"/>
        <v>-113746.01684777453</v>
      </c>
      <c r="I44" s="604"/>
      <c r="J44" s="610">
        <f>Données!AN44</f>
        <v>2264</v>
      </c>
      <c r="K44" s="611">
        <f t="shared" si="3"/>
        <v>11956.878714285715</v>
      </c>
      <c r="L44" s="604">
        <f t="shared" si="4"/>
        <v>0</v>
      </c>
      <c r="M44" s="605">
        <f t="shared" si="5"/>
        <v>0</v>
      </c>
      <c r="N44" s="604"/>
      <c r="O44" s="612">
        <f t="shared" si="6"/>
        <v>-113746.01684777453</v>
      </c>
      <c r="P44" s="180"/>
      <c r="Q44" s="152"/>
      <c r="R44" s="152"/>
      <c r="S44" s="152"/>
      <c r="T44" s="152"/>
      <c r="U44" s="152"/>
      <c r="AF44" s="10"/>
      <c r="AG44" s="10"/>
      <c r="AH44" s="10"/>
      <c r="AI44" s="10"/>
      <c r="AJ44" s="10"/>
      <c r="AK44" s="10"/>
      <c r="AL44" s="10"/>
    </row>
    <row r="45" spans="1:38" x14ac:dyDescent="0.25">
      <c r="A45" s="37">
        <f>+Données!A45</f>
        <v>5477</v>
      </c>
      <c r="B45" s="167" t="str">
        <f>+Données!B45</f>
        <v>Cossonay</v>
      </c>
      <c r="C45" s="610">
        <f>+Ecrêtage!C45</f>
        <v>181500.7204411765</v>
      </c>
      <c r="D45" s="604"/>
      <c r="E45" s="610">
        <f>Données!AF45+Données!AG45+Données!AH45</f>
        <v>2656646</v>
      </c>
      <c r="F45" s="604">
        <f t="shared" si="0"/>
        <v>1452005.763529412</v>
      </c>
      <c r="G45" s="610">
        <f t="shared" si="1"/>
        <v>1204640.236470588</v>
      </c>
      <c r="H45" s="605">
        <f t="shared" si="2"/>
        <v>-838841.32991320093</v>
      </c>
      <c r="I45" s="604"/>
      <c r="J45" s="610">
        <f>Données!AN45</f>
        <v>144403</v>
      </c>
      <c r="K45" s="611">
        <f t="shared" si="3"/>
        <v>181500.7204411765</v>
      </c>
      <c r="L45" s="604">
        <f t="shared" si="4"/>
        <v>0</v>
      </c>
      <c r="M45" s="605">
        <f t="shared" si="5"/>
        <v>0</v>
      </c>
      <c r="N45" s="604"/>
      <c r="O45" s="612">
        <f t="shared" si="6"/>
        <v>-838841.32991320093</v>
      </c>
      <c r="P45" s="180"/>
      <c r="Q45" s="152"/>
      <c r="R45" s="152"/>
      <c r="S45" s="152"/>
      <c r="T45" s="152"/>
      <c r="U45" s="152"/>
      <c r="AF45" s="10"/>
      <c r="AG45" s="10"/>
      <c r="AH45" s="10"/>
      <c r="AI45" s="10"/>
      <c r="AJ45" s="10"/>
      <c r="AK45" s="10"/>
      <c r="AL45" s="10"/>
    </row>
    <row r="46" spans="1:38" x14ac:dyDescent="0.25">
      <c r="A46" s="37">
        <f>+Données!A46</f>
        <v>5479</v>
      </c>
      <c r="B46" s="167" t="str">
        <f>+Données!B46</f>
        <v>Cuarnens</v>
      </c>
      <c r="C46" s="610">
        <f>+Ecrêtage!C46</f>
        <v>19152.633421052633</v>
      </c>
      <c r="D46" s="604"/>
      <c r="E46" s="610">
        <f>Données!AF46+Données!AG46+Données!AH46</f>
        <v>357797</v>
      </c>
      <c r="F46" s="604">
        <f t="shared" si="0"/>
        <v>153221.06736842106</v>
      </c>
      <c r="G46" s="610">
        <f t="shared" si="1"/>
        <v>204575.93263157894</v>
      </c>
      <c r="H46" s="605">
        <f t="shared" si="2"/>
        <v>-142454.76964947532</v>
      </c>
      <c r="I46" s="604"/>
      <c r="J46" s="610">
        <f>Données!AN46</f>
        <v>103958</v>
      </c>
      <c r="K46" s="611">
        <f t="shared" si="3"/>
        <v>19152.633421052633</v>
      </c>
      <c r="L46" s="604">
        <f t="shared" si="4"/>
        <v>84805.366578947374</v>
      </c>
      <c r="M46" s="605">
        <f t="shared" si="5"/>
        <v>-59053.520155764469</v>
      </c>
      <c r="N46" s="604"/>
      <c r="O46" s="612">
        <f t="shared" si="6"/>
        <v>-201508.28980523979</v>
      </c>
      <c r="P46" s="180"/>
      <c r="Q46" s="152"/>
      <c r="R46" s="152"/>
      <c r="S46" s="152"/>
      <c r="T46" s="152"/>
      <c r="U46" s="152"/>
      <c r="AF46" s="10"/>
      <c r="AG46" s="10"/>
      <c r="AH46" s="10"/>
      <c r="AI46" s="10"/>
      <c r="AJ46" s="10"/>
      <c r="AK46" s="10"/>
      <c r="AL46" s="10"/>
    </row>
    <row r="47" spans="1:38" x14ac:dyDescent="0.25">
      <c r="A47" s="37">
        <f>+Données!A47</f>
        <v>5480</v>
      </c>
      <c r="B47" s="167" t="str">
        <f>+Données!B47</f>
        <v>Daillens</v>
      </c>
      <c r="C47" s="610">
        <f>+Ecrêtage!C47</f>
        <v>49509.108484848482</v>
      </c>
      <c r="D47" s="604"/>
      <c r="E47" s="610">
        <f>Données!AF47+Données!AG47+Données!AH47</f>
        <v>535325</v>
      </c>
      <c r="F47" s="604">
        <f t="shared" si="0"/>
        <v>396072.86787878786</v>
      </c>
      <c r="G47" s="610">
        <f t="shared" si="1"/>
        <v>139252.13212121214</v>
      </c>
      <c r="H47" s="605">
        <f t="shared" si="2"/>
        <v>-96967.07794191163</v>
      </c>
      <c r="I47" s="604"/>
      <c r="J47" s="610">
        <f>Données!AN47</f>
        <v>14917</v>
      </c>
      <c r="K47" s="611">
        <f t="shared" si="3"/>
        <v>49509.108484848482</v>
      </c>
      <c r="L47" s="604">
        <f t="shared" si="4"/>
        <v>0</v>
      </c>
      <c r="M47" s="605">
        <f t="shared" si="5"/>
        <v>0</v>
      </c>
      <c r="N47" s="604"/>
      <c r="O47" s="612">
        <f t="shared" si="6"/>
        <v>-96967.07794191163</v>
      </c>
      <c r="P47" s="180"/>
      <c r="Q47" s="152"/>
      <c r="R47" s="152"/>
      <c r="S47" s="152"/>
      <c r="T47" s="152"/>
      <c r="U47" s="152"/>
      <c r="AF47" s="10"/>
      <c r="AG47" s="10"/>
      <c r="AH47" s="10"/>
      <c r="AI47" s="10"/>
      <c r="AJ47" s="10"/>
      <c r="AK47" s="10"/>
      <c r="AL47" s="10"/>
    </row>
    <row r="48" spans="1:38" x14ac:dyDescent="0.25">
      <c r="A48" s="37">
        <f>+Données!A48</f>
        <v>5481</v>
      </c>
      <c r="B48" s="167" t="str">
        <f>+Données!B48</f>
        <v>Dizy</v>
      </c>
      <c r="C48" s="610">
        <f>+Ecrêtage!C48</f>
        <v>12384.965733333334</v>
      </c>
      <c r="D48" s="604"/>
      <c r="E48" s="610">
        <f>Données!AF48+Données!AG48+Données!AH48</f>
        <v>109413</v>
      </c>
      <c r="F48" s="604">
        <f t="shared" si="0"/>
        <v>99079.725866666675</v>
      </c>
      <c r="G48" s="610">
        <f t="shared" si="1"/>
        <v>10333.274133333325</v>
      </c>
      <c r="H48" s="605">
        <f t="shared" si="2"/>
        <v>-7195.4905323093444</v>
      </c>
      <c r="I48" s="604"/>
      <c r="J48" s="610">
        <f>Données!AN48</f>
        <v>10507</v>
      </c>
      <c r="K48" s="611">
        <f t="shared" si="3"/>
        <v>12384.965733333334</v>
      </c>
      <c r="L48" s="604">
        <f t="shared" si="4"/>
        <v>0</v>
      </c>
      <c r="M48" s="605">
        <f t="shared" si="5"/>
        <v>0</v>
      </c>
      <c r="N48" s="604"/>
      <c r="O48" s="612">
        <f t="shared" si="6"/>
        <v>-7195.4905323093444</v>
      </c>
      <c r="P48" s="180"/>
      <c r="Q48" s="152"/>
      <c r="R48" s="152"/>
      <c r="S48" s="152"/>
      <c r="T48" s="152"/>
      <c r="U48" s="152"/>
      <c r="AF48" s="10"/>
      <c r="AG48" s="10"/>
      <c r="AH48" s="10"/>
      <c r="AI48" s="10"/>
      <c r="AJ48" s="10"/>
      <c r="AK48" s="10"/>
      <c r="AL48" s="10"/>
    </row>
    <row r="49" spans="1:38" x14ac:dyDescent="0.25">
      <c r="A49" s="37">
        <f>+Données!A49</f>
        <v>5482</v>
      </c>
      <c r="B49" s="167" t="str">
        <f>+Données!B49</f>
        <v>Eclépens</v>
      </c>
      <c r="C49" s="610">
        <f>+Ecrêtage!C49</f>
        <v>54393.337391304347</v>
      </c>
      <c r="D49" s="604"/>
      <c r="E49" s="610">
        <f>Données!AF49+Données!AG49+Données!AH49</f>
        <v>590277</v>
      </c>
      <c r="F49" s="604">
        <f t="shared" si="0"/>
        <v>435146.69913043478</v>
      </c>
      <c r="G49" s="610">
        <f t="shared" si="1"/>
        <v>155130.30086956522</v>
      </c>
      <c r="H49" s="605">
        <f t="shared" si="2"/>
        <v>-108023.71027595863</v>
      </c>
      <c r="I49" s="604"/>
      <c r="J49" s="610">
        <f>Données!AN49</f>
        <v>125650</v>
      </c>
      <c r="K49" s="611">
        <f t="shared" si="3"/>
        <v>54393.337391304347</v>
      </c>
      <c r="L49" s="604">
        <f t="shared" si="4"/>
        <v>71256.662608695653</v>
      </c>
      <c r="M49" s="605">
        <f t="shared" si="5"/>
        <v>-49618.991478302589</v>
      </c>
      <c r="N49" s="604"/>
      <c r="O49" s="612">
        <f t="shared" si="6"/>
        <v>-157642.70175426122</v>
      </c>
      <c r="P49" s="180"/>
      <c r="Q49" s="152"/>
      <c r="R49" s="152"/>
      <c r="S49" s="152"/>
      <c r="T49" s="152"/>
      <c r="U49" s="152"/>
      <c r="AF49" s="10"/>
      <c r="AG49" s="10"/>
      <c r="AH49" s="10"/>
      <c r="AI49" s="10"/>
      <c r="AJ49" s="10"/>
      <c r="AK49" s="10"/>
      <c r="AL49" s="10"/>
    </row>
    <row r="50" spans="1:38" x14ac:dyDescent="0.25">
      <c r="A50" s="37">
        <f>+Données!A50</f>
        <v>5483</v>
      </c>
      <c r="B50" s="167" t="str">
        <f>+Données!B50</f>
        <v>Ferreyres</v>
      </c>
      <c r="C50" s="610">
        <f>+Ecrêtage!C50</f>
        <v>11195.615526315791</v>
      </c>
      <c r="D50" s="604"/>
      <c r="E50" s="610">
        <f>Données!AF50+Données!AG50+Données!AH50</f>
        <v>93680</v>
      </c>
      <c r="F50" s="604">
        <f t="shared" si="0"/>
        <v>89564.924210526326</v>
      </c>
      <c r="G50" s="610">
        <f t="shared" si="1"/>
        <v>4115.0757894736744</v>
      </c>
      <c r="H50" s="605">
        <f t="shared" si="2"/>
        <v>-2865.4992116561202</v>
      </c>
      <c r="I50" s="604"/>
      <c r="J50" s="610">
        <f>Données!AN50</f>
        <v>9070</v>
      </c>
      <c r="K50" s="611">
        <f t="shared" si="3"/>
        <v>11195.615526315791</v>
      </c>
      <c r="L50" s="604">
        <f t="shared" si="4"/>
        <v>0</v>
      </c>
      <c r="M50" s="605">
        <f t="shared" si="5"/>
        <v>0</v>
      </c>
      <c r="N50" s="604"/>
      <c r="O50" s="612">
        <f t="shared" si="6"/>
        <v>-2865.4992116561202</v>
      </c>
      <c r="P50" s="180"/>
      <c r="Q50" s="152"/>
      <c r="R50" s="152"/>
      <c r="S50" s="152"/>
      <c r="T50" s="152"/>
      <c r="U50" s="152"/>
      <c r="AF50" s="10"/>
      <c r="AG50" s="10"/>
      <c r="AH50" s="10"/>
      <c r="AI50" s="10"/>
      <c r="AJ50" s="10"/>
      <c r="AK50" s="10"/>
      <c r="AL50" s="10"/>
    </row>
    <row r="51" spans="1:38" x14ac:dyDescent="0.25">
      <c r="A51" s="37">
        <f>+Données!A51</f>
        <v>5484</v>
      </c>
      <c r="B51" s="167" t="str">
        <f>+Données!B51</f>
        <v>Gollion</v>
      </c>
      <c r="C51" s="610">
        <f>+Ecrêtage!C51</f>
        <v>33718.962837837833</v>
      </c>
      <c r="D51" s="604"/>
      <c r="E51" s="610">
        <f>Données!AF51+Données!AG51+Données!AH51</f>
        <v>834609</v>
      </c>
      <c r="F51" s="604">
        <f t="shared" si="0"/>
        <v>269751.70270270266</v>
      </c>
      <c r="G51" s="610">
        <f t="shared" si="1"/>
        <v>564857.29729729728</v>
      </c>
      <c r="H51" s="605">
        <f t="shared" si="2"/>
        <v>-393333.7374354006</v>
      </c>
      <c r="I51" s="604"/>
      <c r="J51" s="610">
        <f>Données!AN51</f>
        <v>72586</v>
      </c>
      <c r="K51" s="611">
        <f t="shared" si="3"/>
        <v>33718.962837837833</v>
      </c>
      <c r="L51" s="604">
        <f t="shared" si="4"/>
        <v>38867.037162162167</v>
      </c>
      <c r="M51" s="605">
        <f t="shared" si="5"/>
        <v>-27064.741950191321</v>
      </c>
      <c r="N51" s="604"/>
      <c r="O51" s="612">
        <f t="shared" si="6"/>
        <v>-420398.47938559193</v>
      </c>
      <c r="P51" s="180"/>
      <c r="Q51" s="152"/>
      <c r="R51" s="152"/>
      <c r="S51" s="152"/>
      <c r="T51" s="152"/>
      <c r="U51" s="152"/>
      <c r="AF51" s="10"/>
      <c r="AG51" s="10"/>
      <c r="AH51" s="10"/>
      <c r="AI51" s="10"/>
      <c r="AJ51" s="10"/>
      <c r="AK51" s="10"/>
      <c r="AL51" s="10"/>
    </row>
    <row r="52" spans="1:38" x14ac:dyDescent="0.25">
      <c r="A52" s="37">
        <f>+Données!A52</f>
        <v>5485</v>
      </c>
      <c r="B52" s="167" t="str">
        <f>+Données!B52</f>
        <v>Grancy</v>
      </c>
      <c r="C52" s="610">
        <f>+Ecrêtage!C52</f>
        <v>26449.499428571431</v>
      </c>
      <c r="D52" s="604"/>
      <c r="E52" s="610">
        <f>Données!AF52+Données!AG52+Données!AH52</f>
        <v>290929</v>
      </c>
      <c r="F52" s="604">
        <f t="shared" si="0"/>
        <v>211595.99542857145</v>
      </c>
      <c r="G52" s="610">
        <f t="shared" si="1"/>
        <v>79333.004571428552</v>
      </c>
      <c r="H52" s="605">
        <f t="shared" si="2"/>
        <v>-55242.885839246148</v>
      </c>
      <c r="I52" s="604"/>
      <c r="J52" s="610">
        <f>Données!AN52</f>
        <v>79368</v>
      </c>
      <c r="K52" s="611">
        <f t="shared" si="3"/>
        <v>26449.499428571431</v>
      </c>
      <c r="L52" s="604">
        <f t="shared" si="4"/>
        <v>52918.500571428565</v>
      </c>
      <c r="M52" s="605">
        <f t="shared" si="5"/>
        <v>-36849.36303174316</v>
      </c>
      <c r="N52" s="604"/>
      <c r="O52" s="612">
        <f t="shared" si="6"/>
        <v>-92092.248870989308</v>
      </c>
      <c r="P52" s="180"/>
      <c r="Q52" s="152"/>
      <c r="R52" s="152"/>
      <c r="S52" s="152"/>
      <c r="T52" s="152"/>
      <c r="U52" s="152"/>
      <c r="AF52" s="10"/>
      <c r="AG52" s="10"/>
      <c r="AH52" s="10"/>
      <c r="AI52" s="10"/>
      <c r="AJ52" s="10"/>
      <c r="AK52" s="10"/>
      <c r="AL52" s="10"/>
    </row>
    <row r="53" spans="1:38" x14ac:dyDescent="0.25">
      <c r="A53" s="37">
        <f>+Données!A53</f>
        <v>5486</v>
      </c>
      <c r="B53" s="167" t="str">
        <f>+Données!B53</f>
        <v>L'Isle</v>
      </c>
      <c r="C53" s="610">
        <f>+Ecrêtage!C53</f>
        <v>36962.66320000001</v>
      </c>
      <c r="D53" s="604"/>
      <c r="E53" s="610">
        <f>Données!AF53+Données!AG53+Données!AH53</f>
        <v>571371</v>
      </c>
      <c r="F53" s="604">
        <f t="shared" si="0"/>
        <v>295701.30560000008</v>
      </c>
      <c r="G53" s="610">
        <f t="shared" si="1"/>
        <v>275669.69439999992</v>
      </c>
      <c r="H53" s="605">
        <f t="shared" si="2"/>
        <v>-191960.32646623917</v>
      </c>
      <c r="I53" s="604"/>
      <c r="J53" s="610">
        <f>Données!AN53</f>
        <v>149933</v>
      </c>
      <c r="K53" s="611">
        <f t="shared" si="3"/>
        <v>36962.66320000001</v>
      </c>
      <c r="L53" s="604">
        <f t="shared" si="4"/>
        <v>112970.33679999999</v>
      </c>
      <c r="M53" s="605">
        <f t="shared" si="5"/>
        <v>-78665.965732390629</v>
      </c>
      <c r="N53" s="604"/>
      <c r="O53" s="612">
        <f t="shared" si="6"/>
        <v>-270626.29219862982</v>
      </c>
      <c r="P53" s="180"/>
      <c r="Q53" s="152"/>
      <c r="R53" s="152"/>
      <c r="S53" s="152"/>
      <c r="T53" s="152"/>
      <c r="U53" s="152"/>
      <c r="AF53" s="10"/>
      <c r="AG53" s="10"/>
      <c r="AH53" s="10"/>
      <c r="AI53" s="10"/>
      <c r="AJ53" s="10"/>
      <c r="AK53" s="10"/>
      <c r="AL53" s="10"/>
    </row>
    <row r="54" spans="1:38" x14ac:dyDescent="0.25">
      <c r="A54" s="37">
        <f>+Données!A54</f>
        <v>5487</v>
      </c>
      <c r="B54" s="167" t="str">
        <f>+Données!B54</f>
        <v>Lussery-Villars</v>
      </c>
      <c r="C54" s="610">
        <f>+Ecrêtage!C54</f>
        <v>15075.076666666666</v>
      </c>
      <c r="D54" s="604"/>
      <c r="E54" s="610">
        <f>Données!AF54+Données!AG54+Données!AH54</f>
        <v>114374</v>
      </c>
      <c r="F54" s="604">
        <f t="shared" si="0"/>
        <v>120600.61333333333</v>
      </c>
      <c r="G54" s="610">
        <f t="shared" si="1"/>
        <v>0</v>
      </c>
      <c r="H54" s="605">
        <f t="shared" si="2"/>
        <v>0</v>
      </c>
      <c r="I54" s="604"/>
      <c r="J54" s="610">
        <f>Données!AN54</f>
        <v>-2259</v>
      </c>
      <c r="K54" s="611">
        <f t="shared" si="3"/>
        <v>15075.076666666666</v>
      </c>
      <c r="L54" s="604">
        <f t="shared" si="4"/>
        <v>0</v>
      </c>
      <c r="M54" s="605">
        <f t="shared" si="5"/>
        <v>0</v>
      </c>
      <c r="N54" s="604"/>
      <c r="O54" s="612">
        <f t="shared" si="6"/>
        <v>0</v>
      </c>
      <c r="P54" s="180"/>
      <c r="Q54" s="152"/>
      <c r="R54" s="152"/>
      <c r="S54" s="152"/>
      <c r="T54" s="152"/>
      <c r="U54" s="152"/>
      <c r="AF54" s="10"/>
      <c r="AG54" s="10"/>
      <c r="AH54" s="10"/>
      <c r="AI54" s="10"/>
      <c r="AJ54" s="10"/>
      <c r="AK54" s="10"/>
      <c r="AL54" s="10"/>
    </row>
    <row r="55" spans="1:38" x14ac:dyDescent="0.25">
      <c r="A55" s="37">
        <f>+Données!A55</f>
        <v>5488</v>
      </c>
      <c r="B55" s="167" t="str">
        <f>+Données!B55</f>
        <v>Mauraz</v>
      </c>
      <c r="C55" s="610">
        <f>+Ecrêtage!C55</f>
        <v>1889.5633766233766</v>
      </c>
      <c r="D55" s="604"/>
      <c r="E55" s="610">
        <f>Données!AF55+Données!AG55+Données!AH55</f>
        <v>74049</v>
      </c>
      <c r="F55" s="604">
        <f t="shared" si="0"/>
        <v>15116.507012987013</v>
      </c>
      <c r="G55" s="610">
        <f t="shared" si="1"/>
        <v>58932.492987012985</v>
      </c>
      <c r="H55" s="605">
        <f t="shared" si="2"/>
        <v>-41037.157232240053</v>
      </c>
      <c r="I55" s="604"/>
      <c r="J55" s="610">
        <f>Données!AN55</f>
        <v>0</v>
      </c>
      <c r="K55" s="611">
        <f t="shared" si="3"/>
        <v>1889.5633766233766</v>
      </c>
      <c r="L55" s="604">
        <f t="shared" si="4"/>
        <v>0</v>
      </c>
      <c r="M55" s="605">
        <f t="shared" si="5"/>
        <v>0</v>
      </c>
      <c r="N55" s="604"/>
      <c r="O55" s="612">
        <f t="shared" si="6"/>
        <v>-41037.157232240053</v>
      </c>
      <c r="P55" s="180"/>
      <c r="Q55" s="152"/>
      <c r="R55" s="152"/>
      <c r="S55" s="152"/>
      <c r="T55" s="152"/>
      <c r="U55" s="152"/>
      <c r="AF55" s="10"/>
      <c r="AG55" s="10"/>
      <c r="AH55" s="10"/>
      <c r="AI55" s="10"/>
      <c r="AJ55" s="10"/>
      <c r="AK55" s="10"/>
      <c r="AL55" s="10"/>
    </row>
    <row r="56" spans="1:38" x14ac:dyDescent="0.25">
      <c r="A56" s="37">
        <f>+Données!A56</f>
        <v>5489</v>
      </c>
      <c r="B56" s="167" t="str">
        <f>+Données!B56</f>
        <v>Mex</v>
      </c>
      <c r="C56" s="610">
        <f>+Ecrêtage!C56</f>
        <v>77108.405546218492</v>
      </c>
      <c r="D56" s="604"/>
      <c r="E56" s="610">
        <f>Données!AF56+Données!AG56+Données!AH56</f>
        <v>2325606</v>
      </c>
      <c r="F56" s="604">
        <f t="shared" si="0"/>
        <v>616867.24436974793</v>
      </c>
      <c r="G56" s="610">
        <f t="shared" si="1"/>
        <v>1708738.755630252</v>
      </c>
      <c r="H56" s="605">
        <f t="shared" si="2"/>
        <v>-1189866.191458652</v>
      </c>
      <c r="I56" s="604"/>
      <c r="J56" s="610">
        <f>Données!AN56</f>
        <v>50957</v>
      </c>
      <c r="K56" s="611">
        <f t="shared" si="3"/>
        <v>77108.405546218492</v>
      </c>
      <c r="L56" s="604">
        <f t="shared" si="4"/>
        <v>0</v>
      </c>
      <c r="M56" s="605">
        <f t="shared" si="5"/>
        <v>0</v>
      </c>
      <c r="N56" s="604"/>
      <c r="O56" s="612">
        <f t="shared" si="6"/>
        <v>-1189866.191458652</v>
      </c>
      <c r="P56" s="180"/>
      <c r="Q56" s="152"/>
      <c r="R56" s="152"/>
      <c r="S56" s="152"/>
      <c r="T56" s="152"/>
      <c r="U56" s="152"/>
      <c r="AF56" s="10"/>
      <c r="AG56" s="10"/>
      <c r="AH56" s="10"/>
      <c r="AI56" s="10"/>
      <c r="AJ56" s="10"/>
      <c r="AK56" s="10"/>
      <c r="AL56" s="10"/>
    </row>
    <row r="57" spans="1:38" x14ac:dyDescent="0.25">
      <c r="A57" s="37">
        <f>+Données!A57</f>
        <v>5490</v>
      </c>
      <c r="B57" s="167" t="str">
        <f>+Données!B57</f>
        <v>Moiry</v>
      </c>
      <c r="C57" s="610">
        <f>+Ecrêtage!C57</f>
        <v>8086.7260526315777</v>
      </c>
      <c r="D57" s="604"/>
      <c r="E57" s="610">
        <f>Données!AF57+Données!AG57+Données!AH57</f>
        <v>133103</v>
      </c>
      <c r="F57" s="604">
        <f t="shared" si="0"/>
        <v>64693.808421052621</v>
      </c>
      <c r="G57" s="610">
        <f t="shared" si="1"/>
        <v>68409.191578947386</v>
      </c>
      <c r="H57" s="605">
        <f t="shared" si="2"/>
        <v>-47636.178424936952</v>
      </c>
      <c r="I57" s="604"/>
      <c r="J57" s="610">
        <f>Données!AN57</f>
        <v>-9537</v>
      </c>
      <c r="K57" s="611">
        <f t="shared" si="3"/>
        <v>8086.7260526315777</v>
      </c>
      <c r="L57" s="604">
        <f t="shared" si="4"/>
        <v>0</v>
      </c>
      <c r="M57" s="605">
        <f t="shared" si="5"/>
        <v>0</v>
      </c>
      <c r="N57" s="604"/>
      <c r="O57" s="612">
        <f t="shared" si="6"/>
        <v>-47636.178424936952</v>
      </c>
      <c r="P57" s="180"/>
      <c r="Q57" s="152"/>
      <c r="R57" s="152"/>
      <c r="S57" s="152"/>
      <c r="T57" s="152"/>
      <c r="U57" s="152"/>
      <c r="AF57" s="10"/>
      <c r="AG57" s="10"/>
      <c r="AH57" s="10"/>
      <c r="AI57" s="10"/>
      <c r="AJ57" s="10"/>
      <c r="AK57" s="10"/>
      <c r="AL57" s="10"/>
    </row>
    <row r="58" spans="1:38" x14ac:dyDescent="0.25">
      <c r="A58" s="37">
        <f>+Données!A58</f>
        <v>5491</v>
      </c>
      <c r="B58" s="167" t="str">
        <f>+Données!B58</f>
        <v>Mont-la-Ville</v>
      </c>
      <c r="C58" s="610">
        <f>+Ecrêtage!C58</f>
        <v>14059.996578947368</v>
      </c>
      <c r="D58" s="604"/>
      <c r="E58" s="610">
        <f>Données!AF58+Données!AG58+Données!AH58</f>
        <v>1208602</v>
      </c>
      <c r="F58" s="604">
        <f t="shared" si="0"/>
        <v>112479.97263157894</v>
      </c>
      <c r="G58" s="610">
        <f t="shared" si="1"/>
        <v>1096122.027368421</v>
      </c>
      <c r="H58" s="605">
        <f t="shared" si="2"/>
        <v>-763275.56671923411</v>
      </c>
      <c r="I58" s="604"/>
      <c r="J58" s="610">
        <f>Données!AN58</f>
        <v>-1734</v>
      </c>
      <c r="K58" s="611">
        <f t="shared" si="3"/>
        <v>14059.996578947368</v>
      </c>
      <c r="L58" s="604">
        <f t="shared" si="4"/>
        <v>0</v>
      </c>
      <c r="M58" s="605">
        <f t="shared" si="5"/>
        <v>0</v>
      </c>
      <c r="N58" s="604"/>
      <c r="O58" s="612">
        <f t="shared" si="6"/>
        <v>-763275.56671923411</v>
      </c>
      <c r="P58" s="180"/>
      <c r="Q58" s="152"/>
      <c r="R58" s="152"/>
      <c r="S58" s="152"/>
      <c r="T58" s="152"/>
      <c r="U58" s="152"/>
      <c r="AF58" s="10"/>
      <c r="AG58" s="10"/>
      <c r="AH58" s="10"/>
      <c r="AI58" s="10"/>
      <c r="AJ58" s="10"/>
      <c r="AK58" s="10"/>
      <c r="AL58" s="10"/>
    </row>
    <row r="59" spans="1:38" x14ac:dyDescent="0.25">
      <c r="A59" s="37">
        <f>+Données!A59</f>
        <v>5492</v>
      </c>
      <c r="B59" s="167" t="str">
        <f>+Données!B59</f>
        <v>Montricher</v>
      </c>
      <c r="C59" s="610">
        <f>+Ecrêtage!C59</f>
        <v>198155.03156250002</v>
      </c>
      <c r="D59" s="604"/>
      <c r="E59" s="610">
        <f>Données!AF59+Données!AG59+Données!AH59</f>
        <v>401260</v>
      </c>
      <c r="F59" s="604">
        <f t="shared" si="0"/>
        <v>1585240.2525000002</v>
      </c>
      <c r="G59" s="610">
        <f t="shared" si="1"/>
        <v>0</v>
      </c>
      <c r="H59" s="605">
        <f t="shared" si="2"/>
        <v>0</v>
      </c>
      <c r="I59" s="604"/>
      <c r="J59" s="610">
        <f>Données!AN59</f>
        <v>264938</v>
      </c>
      <c r="K59" s="611">
        <f t="shared" si="3"/>
        <v>198155.03156250002</v>
      </c>
      <c r="L59" s="604">
        <f t="shared" si="4"/>
        <v>66782.968437499978</v>
      </c>
      <c r="M59" s="605">
        <f t="shared" si="5"/>
        <v>-46503.771303368361</v>
      </c>
      <c r="N59" s="604"/>
      <c r="O59" s="612">
        <f t="shared" si="6"/>
        <v>-46503.771303368361</v>
      </c>
      <c r="P59" s="180"/>
      <c r="Q59" s="152"/>
      <c r="R59" s="152"/>
      <c r="S59" s="152"/>
      <c r="T59" s="152"/>
      <c r="U59" s="152"/>
      <c r="AF59" s="10"/>
      <c r="AG59" s="10"/>
      <c r="AH59" s="10"/>
      <c r="AI59" s="10"/>
      <c r="AJ59" s="10"/>
      <c r="AK59" s="10"/>
      <c r="AL59" s="10"/>
    </row>
    <row r="60" spans="1:38" x14ac:dyDescent="0.25">
      <c r="A60" s="37">
        <f>+Données!A60</f>
        <v>5493</v>
      </c>
      <c r="B60" s="167" t="str">
        <f>+Données!B60</f>
        <v>Orny</v>
      </c>
      <c r="C60" s="610">
        <f>+Ecrêtage!C60</f>
        <v>16121.406280295052</v>
      </c>
      <c r="D60" s="604"/>
      <c r="E60" s="610">
        <f>Données!AF60+Données!AG60+Données!AH60</f>
        <v>245354</v>
      </c>
      <c r="F60" s="604">
        <f t="shared" si="0"/>
        <v>128971.25024236042</v>
      </c>
      <c r="G60" s="610">
        <f t="shared" si="1"/>
        <v>116382.74975763958</v>
      </c>
      <c r="H60" s="605">
        <f t="shared" si="2"/>
        <v>-81042.171455010393</v>
      </c>
      <c r="I60" s="604"/>
      <c r="J60" s="610">
        <f>Données!AN60</f>
        <v>6514</v>
      </c>
      <c r="K60" s="611">
        <f t="shared" si="3"/>
        <v>16121.406280295052</v>
      </c>
      <c r="L60" s="604">
        <f t="shared" si="4"/>
        <v>0</v>
      </c>
      <c r="M60" s="605">
        <f t="shared" si="5"/>
        <v>0</v>
      </c>
      <c r="N60" s="604"/>
      <c r="O60" s="612">
        <f t="shared" si="6"/>
        <v>-81042.171455010393</v>
      </c>
      <c r="P60" s="180"/>
      <c r="Q60" s="152"/>
      <c r="R60" s="152"/>
      <c r="S60" s="152"/>
      <c r="T60" s="152"/>
      <c r="U60" s="152"/>
      <c r="AF60" s="10"/>
      <c r="AG60" s="10"/>
      <c r="AH60" s="10"/>
      <c r="AI60" s="10"/>
      <c r="AJ60" s="10"/>
      <c r="AK60" s="10"/>
      <c r="AL60" s="10"/>
    </row>
    <row r="61" spans="1:38" x14ac:dyDescent="0.25">
      <c r="A61" s="37">
        <f>+Données!A61</f>
        <v>5495</v>
      </c>
      <c r="B61" s="167" t="str">
        <f>+Données!B61</f>
        <v>Penthalaz</v>
      </c>
      <c r="C61" s="610">
        <f>+Ecrêtage!C61</f>
        <v>96624.252827586228</v>
      </c>
      <c r="D61" s="604"/>
      <c r="E61" s="610">
        <f>Données!AF61+Données!AG61+Données!AH61</f>
        <v>1706262</v>
      </c>
      <c r="F61" s="604">
        <f t="shared" si="0"/>
        <v>772994.02262068982</v>
      </c>
      <c r="G61" s="610">
        <f t="shared" si="1"/>
        <v>933267.97737931018</v>
      </c>
      <c r="H61" s="605">
        <f t="shared" si="2"/>
        <v>-649873.48721136444</v>
      </c>
      <c r="I61" s="604"/>
      <c r="J61" s="610">
        <f>Données!AN61</f>
        <v>119131</v>
      </c>
      <c r="K61" s="611">
        <f t="shared" si="3"/>
        <v>96624.252827586228</v>
      </c>
      <c r="L61" s="604">
        <f t="shared" si="4"/>
        <v>22506.747172413772</v>
      </c>
      <c r="M61" s="605">
        <f t="shared" si="5"/>
        <v>-15672.388451378696</v>
      </c>
      <c r="N61" s="604"/>
      <c r="O61" s="612">
        <f t="shared" si="6"/>
        <v>-665545.87566274311</v>
      </c>
      <c r="P61" s="180"/>
      <c r="Q61" s="152"/>
      <c r="R61" s="152"/>
      <c r="S61" s="152"/>
      <c r="T61" s="152"/>
      <c r="U61" s="152"/>
      <c r="AF61" s="10"/>
      <c r="AG61" s="10"/>
      <c r="AH61" s="10"/>
      <c r="AI61" s="10"/>
      <c r="AJ61" s="10"/>
      <c r="AK61" s="10"/>
      <c r="AL61" s="10"/>
    </row>
    <row r="62" spans="1:38" x14ac:dyDescent="0.25">
      <c r="A62" s="37">
        <f>+Données!A62</f>
        <v>5496</v>
      </c>
      <c r="B62" s="167" t="str">
        <f>+Données!B62</f>
        <v>Penthaz</v>
      </c>
      <c r="C62" s="610">
        <f>+Ecrêtage!C62</f>
        <v>63424.403453237413</v>
      </c>
      <c r="D62" s="604"/>
      <c r="E62" s="610">
        <f>Données!AF62+Données!AG62+Données!AH62</f>
        <v>880101</v>
      </c>
      <c r="F62" s="604">
        <f t="shared" si="0"/>
        <v>507395.22762589931</v>
      </c>
      <c r="G62" s="610">
        <f t="shared" si="1"/>
        <v>372705.77237410069</v>
      </c>
      <c r="H62" s="605">
        <f t="shared" si="2"/>
        <v>-259530.60199998616</v>
      </c>
      <c r="I62" s="604"/>
      <c r="J62" s="610">
        <f>Données!AN62</f>
        <v>17220</v>
      </c>
      <c r="K62" s="611">
        <f t="shared" si="3"/>
        <v>63424.403453237413</v>
      </c>
      <c r="L62" s="604">
        <f t="shared" si="4"/>
        <v>0</v>
      </c>
      <c r="M62" s="605">
        <f t="shared" si="5"/>
        <v>0</v>
      </c>
      <c r="N62" s="604"/>
      <c r="O62" s="612">
        <f t="shared" si="6"/>
        <v>-259530.60199998616</v>
      </c>
      <c r="P62" s="180"/>
      <c r="Q62" s="152"/>
      <c r="R62" s="152"/>
      <c r="S62" s="152"/>
      <c r="T62" s="152"/>
      <c r="U62" s="152"/>
      <c r="AF62" s="10"/>
      <c r="AG62" s="10"/>
      <c r="AH62" s="10"/>
      <c r="AI62" s="10"/>
      <c r="AJ62" s="10"/>
      <c r="AK62" s="10"/>
      <c r="AL62" s="10"/>
    </row>
    <row r="63" spans="1:38" x14ac:dyDescent="0.25">
      <c r="A63" s="37">
        <f>+Données!A63</f>
        <v>5497</v>
      </c>
      <c r="B63" s="167" t="str">
        <f>+Données!B63</f>
        <v>Pompaples</v>
      </c>
      <c r="C63" s="610">
        <f>+Ecrêtage!C63</f>
        <v>29282.771666666667</v>
      </c>
      <c r="D63" s="604"/>
      <c r="E63" s="610">
        <f>Données!AF63+Données!AG63+Données!AH63</f>
        <v>524540</v>
      </c>
      <c r="F63" s="604">
        <f t="shared" si="0"/>
        <v>234262.17333333334</v>
      </c>
      <c r="G63" s="610">
        <f t="shared" si="1"/>
        <v>290277.82666666666</v>
      </c>
      <c r="H63" s="605">
        <f t="shared" si="2"/>
        <v>-202132.5793323901</v>
      </c>
      <c r="I63" s="604"/>
      <c r="J63" s="610">
        <f>Données!AN63</f>
        <v>14444</v>
      </c>
      <c r="K63" s="611">
        <f t="shared" si="3"/>
        <v>29282.771666666667</v>
      </c>
      <c r="L63" s="604">
        <f t="shared" si="4"/>
        <v>0</v>
      </c>
      <c r="M63" s="605">
        <f t="shared" si="5"/>
        <v>0</v>
      </c>
      <c r="N63" s="604"/>
      <c r="O63" s="612">
        <f t="shared" si="6"/>
        <v>-202132.5793323901</v>
      </c>
      <c r="P63" s="180"/>
      <c r="Q63" s="152"/>
      <c r="R63" s="152"/>
      <c r="S63" s="152"/>
      <c r="T63" s="152"/>
      <c r="U63" s="152"/>
      <c r="AF63" s="10"/>
      <c r="AG63" s="10"/>
      <c r="AH63" s="10"/>
      <c r="AI63" s="10"/>
      <c r="AJ63" s="10"/>
      <c r="AK63" s="10"/>
      <c r="AL63" s="10"/>
    </row>
    <row r="64" spans="1:38" x14ac:dyDescent="0.25">
      <c r="A64" s="37">
        <f>+Données!A64</f>
        <v>5498</v>
      </c>
      <c r="B64" s="167" t="str">
        <f>+Données!B64</f>
        <v>La Sarraz</v>
      </c>
      <c r="C64" s="610">
        <f>+Ecrêtage!C64</f>
        <v>76599.208428571437</v>
      </c>
      <c r="D64" s="604"/>
      <c r="E64" s="610">
        <f>Données!AF64+Données!AG64+Données!AH64</f>
        <v>1180029</v>
      </c>
      <c r="F64" s="604">
        <f t="shared" si="0"/>
        <v>612793.6674285715</v>
      </c>
      <c r="G64" s="610">
        <f t="shared" si="1"/>
        <v>567235.3325714285</v>
      </c>
      <c r="H64" s="605">
        <f t="shared" si="2"/>
        <v>-394989.66275778331</v>
      </c>
      <c r="I64" s="604"/>
      <c r="J64" s="610">
        <f>Données!AN64</f>
        <v>30273</v>
      </c>
      <c r="K64" s="611">
        <f t="shared" si="3"/>
        <v>76599.208428571437</v>
      </c>
      <c r="L64" s="604">
        <f t="shared" si="4"/>
        <v>0</v>
      </c>
      <c r="M64" s="605">
        <f t="shared" si="5"/>
        <v>0</v>
      </c>
      <c r="N64" s="604"/>
      <c r="O64" s="612">
        <f t="shared" si="6"/>
        <v>-394989.66275778331</v>
      </c>
      <c r="P64" s="180"/>
      <c r="Q64" s="152"/>
      <c r="R64" s="152"/>
      <c r="S64" s="152"/>
      <c r="T64" s="152"/>
      <c r="U64" s="152"/>
      <c r="AF64" s="10"/>
      <c r="AG64" s="10"/>
      <c r="AH64" s="10"/>
      <c r="AI64" s="10"/>
      <c r="AJ64" s="10"/>
      <c r="AK64" s="10"/>
      <c r="AL64" s="10"/>
    </row>
    <row r="65" spans="1:38" x14ac:dyDescent="0.25">
      <c r="A65" s="37">
        <f>+Données!A65</f>
        <v>5499</v>
      </c>
      <c r="B65" s="167" t="str">
        <f>+Données!B65</f>
        <v>Senarclens</v>
      </c>
      <c r="C65" s="610">
        <f>+Ecrêtage!C65</f>
        <v>21136.176934306572</v>
      </c>
      <c r="D65" s="604"/>
      <c r="E65" s="610">
        <f>Données!AF65+Données!AG65+Données!AH65</f>
        <v>462820</v>
      </c>
      <c r="F65" s="604">
        <f t="shared" si="0"/>
        <v>169089.41547445257</v>
      </c>
      <c r="G65" s="610">
        <f t="shared" si="1"/>
        <v>293730.58452554746</v>
      </c>
      <c r="H65" s="605">
        <f t="shared" si="2"/>
        <v>-204536.87889546761</v>
      </c>
      <c r="I65" s="604"/>
      <c r="J65" s="610">
        <f>Données!AN65</f>
        <v>7872</v>
      </c>
      <c r="K65" s="611">
        <f t="shared" si="3"/>
        <v>21136.176934306572</v>
      </c>
      <c r="L65" s="604">
        <f t="shared" si="4"/>
        <v>0</v>
      </c>
      <c r="M65" s="605">
        <f t="shared" si="5"/>
        <v>0</v>
      </c>
      <c r="N65" s="604"/>
      <c r="O65" s="612">
        <f t="shared" si="6"/>
        <v>-204536.87889546761</v>
      </c>
      <c r="P65" s="180"/>
      <c r="Q65" s="152"/>
      <c r="R65" s="152"/>
      <c r="S65" s="152"/>
      <c r="T65" s="152"/>
      <c r="U65" s="152"/>
      <c r="AF65" s="10"/>
      <c r="AG65" s="10"/>
      <c r="AH65" s="10"/>
      <c r="AI65" s="10"/>
      <c r="AJ65" s="10"/>
      <c r="AK65" s="10"/>
      <c r="AL65" s="10"/>
    </row>
    <row r="66" spans="1:38" x14ac:dyDescent="0.25">
      <c r="A66" s="37">
        <f>+Données!A66</f>
        <v>5501</v>
      </c>
      <c r="B66" s="167" t="str">
        <f>+Données!B66</f>
        <v>Sullens</v>
      </c>
      <c r="C66" s="610">
        <f>+Ecrêtage!C66</f>
        <v>57751.835468749996</v>
      </c>
      <c r="D66" s="604"/>
      <c r="E66" s="610">
        <f>Données!AF66+Données!AG66+Données!AH66</f>
        <v>337927</v>
      </c>
      <c r="F66" s="604">
        <f t="shared" si="0"/>
        <v>462014.68374999997</v>
      </c>
      <c r="G66" s="610">
        <f t="shared" si="1"/>
        <v>0</v>
      </c>
      <c r="H66" s="605">
        <f t="shared" si="2"/>
        <v>0</v>
      </c>
      <c r="I66" s="604"/>
      <c r="J66" s="610">
        <f>Données!AN66</f>
        <v>44043</v>
      </c>
      <c r="K66" s="611">
        <f t="shared" si="3"/>
        <v>57751.835468749996</v>
      </c>
      <c r="L66" s="604">
        <f t="shared" si="4"/>
        <v>0</v>
      </c>
      <c r="M66" s="605">
        <f t="shared" si="5"/>
        <v>0</v>
      </c>
      <c r="N66" s="604"/>
      <c r="O66" s="612">
        <f t="shared" si="6"/>
        <v>0</v>
      </c>
      <c r="P66" s="180"/>
      <c r="Q66" s="152"/>
      <c r="R66" s="152"/>
      <c r="S66" s="152"/>
      <c r="T66" s="152"/>
      <c r="U66" s="152"/>
      <c r="AF66" s="10"/>
      <c r="AG66" s="10"/>
      <c r="AH66" s="10"/>
      <c r="AI66" s="10"/>
      <c r="AJ66" s="10"/>
      <c r="AK66" s="10"/>
      <c r="AL66" s="10"/>
    </row>
    <row r="67" spans="1:38" x14ac:dyDescent="0.25">
      <c r="A67" s="37">
        <f>+Données!A67</f>
        <v>5503</v>
      </c>
      <c r="B67" s="167" t="str">
        <f>+Données!B67</f>
        <v>Vufflens-la-Ville</v>
      </c>
      <c r="C67" s="610">
        <f>+Ecrêtage!C67</f>
        <v>68821.666815920398</v>
      </c>
      <c r="D67" s="604"/>
      <c r="E67" s="610">
        <f>Données!AF67+Données!AG67+Données!AH67</f>
        <v>1087577</v>
      </c>
      <c r="F67" s="604">
        <f t="shared" si="0"/>
        <v>550573.33452736319</v>
      </c>
      <c r="G67" s="610">
        <f t="shared" si="1"/>
        <v>537003.66547263681</v>
      </c>
      <c r="H67" s="605">
        <f t="shared" si="2"/>
        <v>-373938.08979277656</v>
      </c>
      <c r="I67" s="604"/>
      <c r="J67" s="610">
        <f>Données!AN67</f>
        <v>38095</v>
      </c>
      <c r="K67" s="611">
        <f t="shared" si="3"/>
        <v>68821.666815920398</v>
      </c>
      <c r="L67" s="604">
        <f t="shared" si="4"/>
        <v>0</v>
      </c>
      <c r="M67" s="605">
        <f t="shared" si="5"/>
        <v>0</v>
      </c>
      <c r="N67" s="604"/>
      <c r="O67" s="612">
        <f t="shared" si="6"/>
        <v>-373938.08979277656</v>
      </c>
      <c r="P67" s="180"/>
      <c r="Q67" s="152"/>
      <c r="R67" s="152"/>
      <c r="S67" s="152"/>
      <c r="T67" s="152"/>
      <c r="U67" s="152"/>
      <c r="AF67" s="10"/>
      <c r="AG67" s="10"/>
      <c r="AH67" s="10"/>
      <c r="AI67" s="10"/>
      <c r="AJ67" s="10"/>
      <c r="AK67" s="10"/>
      <c r="AL67" s="10"/>
    </row>
    <row r="68" spans="1:38" x14ac:dyDescent="0.25">
      <c r="A68" s="37">
        <f>+Données!A68</f>
        <v>5511</v>
      </c>
      <c r="B68" s="167" t="str">
        <f>+Données!B68</f>
        <v>Assens</v>
      </c>
      <c r="C68" s="610">
        <f>+Ecrêtage!C68</f>
        <v>69828.319999999992</v>
      </c>
      <c r="D68" s="604"/>
      <c r="E68" s="610">
        <f>Données!AF68+Données!AG68+Données!AH68</f>
        <v>847792</v>
      </c>
      <c r="F68" s="604">
        <f t="shared" si="0"/>
        <v>558626.55999999994</v>
      </c>
      <c r="G68" s="610">
        <f t="shared" si="1"/>
        <v>289165.44000000006</v>
      </c>
      <c r="H68" s="605">
        <f t="shared" si="2"/>
        <v>-201357.97801774513</v>
      </c>
      <c r="I68" s="604"/>
      <c r="J68" s="610">
        <f>Données!AN68</f>
        <v>65174</v>
      </c>
      <c r="K68" s="611">
        <f t="shared" si="3"/>
        <v>69828.319999999992</v>
      </c>
      <c r="L68" s="604">
        <f t="shared" si="4"/>
        <v>0</v>
      </c>
      <c r="M68" s="605">
        <f t="shared" si="5"/>
        <v>0</v>
      </c>
      <c r="N68" s="604"/>
      <c r="O68" s="612">
        <f t="shared" si="6"/>
        <v>-201357.97801774513</v>
      </c>
      <c r="P68" s="180"/>
      <c r="Q68" s="152"/>
      <c r="R68" s="152"/>
      <c r="S68" s="152"/>
      <c r="T68" s="152"/>
      <c r="U68" s="152"/>
      <c r="AF68" s="10"/>
      <c r="AG68" s="10"/>
      <c r="AH68" s="10"/>
      <c r="AI68" s="10"/>
      <c r="AJ68" s="10"/>
      <c r="AK68" s="10"/>
      <c r="AL68" s="10"/>
    </row>
    <row r="69" spans="1:38" x14ac:dyDescent="0.25">
      <c r="A69" s="37">
        <f>+Données!A69</f>
        <v>5512</v>
      </c>
      <c r="B69" s="167" t="str">
        <f>+Données!B69</f>
        <v>Bercher</v>
      </c>
      <c r="C69" s="610">
        <f>+Ecrêtage!C69</f>
        <v>41189.844430379737</v>
      </c>
      <c r="D69" s="604"/>
      <c r="E69" s="610">
        <f>Données!AF69+Données!AG69+Données!AH69</f>
        <v>712082</v>
      </c>
      <c r="F69" s="604">
        <f t="shared" si="0"/>
        <v>329518.7554430379</v>
      </c>
      <c r="G69" s="610">
        <f t="shared" si="1"/>
        <v>382563.2445569621</v>
      </c>
      <c r="H69" s="605">
        <f t="shared" si="2"/>
        <v>-266394.77175383759</v>
      </c>
      <c r="I69" s="604"/>
      <c r="J69" s="610">
        <f>Données!AN69</f>
        <v>9262</v>
      </c>
      <c r="K69" s="611">
        <f t="shared" si="3"/>
        <v>41189.844430379737</v>
      </c>
      <c r="L69" s="604">
        <f t="shared" si="4"/>
        <v>0</v>
      </c>
      <c r="M69" s="605">
        <f t="shared" si="5"/>
        <v>0</v>
      </c>
      <c r="N69" s="604"/>
      <c r="O69" s="612">
        <f t="shared" si="6"/>
        <v>-266394.77175383759</v>
      </c>
      <c r="P69" s="180"/>
      <c r="Q69" s="152"/>
      <c r="R69" s="152"/>
      <c r="S69" s="152"/>
      <c r="T69" s="152"/>
      <c r="U69" s="152"/>
      <c r="AF69" s="10"/>
      <c r="AG69" s="10"/>
      <c r="AH69" s="10"/>
      <c r="AI69" s="10"/>
      <c r="AJ69" s="10"/>
      <c r="AK69" s="10"/>
      <c r="AL69" s="10"/>
    </row>
    <row r="70" spans="1:38" x14ac:dyDescent="0.25">
      <c r="A70" s="37">
        <f>+Données!A70</f>
        <v>5514</v>
      </c>
      <c r="B70" s="167" t="str">
        <f>+Données!B70</f>
        <v>Bottens</v>
      </c>
      <c r="C70" s="610">
        <f>+Ecrêtage!C70</f>
        <v>45955.362896551727</v>
      </c>
      <c r="D70" s="604"/>
      <c r="E70" s="610">
        <f>Données!AF70+Données!AG70+Données!AH70</f>
        <v>434670</v>
      </c>
      <c r="F70" s="604">
        <f t="shared" si="0"/>
        <v>367642.90317241382</v>
      </c>
      <c r="G70" s="610">
        <f t="shared" si="1"/>
        <v>67027.096827586181</v>
      </c>
      <c r="H70" s="605">
        <f t="shared" si="2"/>
        <v>-46673.768101756454</v>
      </c>
      <c r="I70" s="604"/>
      <c r="J70" s="610">
        <f>Données!AN70</f>
        <v>25450</v>
      </c>
      <c r="K70" s="611">
        <f t="shared" si="3"/>
        <v>45955.362896551727</v>
      </c>
      <c r="L70" s="604">
        <f t="shared" si="4"/>
        <v>0</v>
      </c>
      <c r="M70" s="605">
        <f t="shared" si="5"/>
        <v>0</v>
      </c>
      <c r="N70" s="604"/>
      <c r="O70" s="612">
        <f t="shared" si="6"/>
        <v>-46673.768101756454</v>
      </c>
      <c r="P70" s="180"/>
      <c r="Q70" s="152"/>
      <c r="R70" s="152"/>
      <c r="S70" s="152"/>
      <c r="T70" s="152"/>
      <c r="U70" s="152"/>
      <c r="AF70" s="10"/>
      <c r="AG70" s="10"/>
      <c r="AH70" s="10"/>
      <c r="AI70" s="10"/>
      <c r="AJ70" s="10"/>
      <c r="AK70" s="10"/>
      <c r="AL70" s="10"/>
    </row>
    <row r="71" spans="1:38" x14ac:dyDescent="0.25">
      <c r="A71" s="37">
        <f>+Données!A71</f>
        <v>5515</v>
      </c>
      <c r="B71" s="167" t="str">
        <f>+Données!B71</f>
        <v>Bretigny-sur-Morrens</v>
      </c>
      <c r="C71" s="610">
        <f>+Ecrêtage!C71</f>
        <v>32116.031538461531</v>
      </c>
      <c r="D71" s="604"/>
      <c r="E71" s="610">
        <f>Données!AF71+Données!AG71+Données!AH71</f>
        <v>258005</v>
      </c>
      <c r="F71" s="604">
        <f t="shared" ref="F71:F134" si="7">+C71*$G$5</f>
        <v>256928.25230769225</v>
      </c>
      <c r="G71" s="610">
        <f t="shared" ref="G71:G134" si="8">IF(E71&gt;F71,E71-F71,0)</f>
        <v>1076.7476923077484</v>
      </c>
      <c r="H71" s="605">
        <f t="shared" ref="H71:H134" si="9">-G71*H$5</f>
        <v>-749.78440770225291</v>
      </c>
      <c r="I71" s="604"/>
      <c r="J71" s="610">
        <f>Données!AN71</f>
        <v>28340</v>
      </c>
      <c r="K71" s="611">
        <f t="shared" ref="K71:K134" si="10">C71*L$5</f>
        <v>32116.031538461531</v>
      </c>
      <c r="L71" s="604">
        <f t="shared" ref="L71:L134" si="11">IF(J71&gt;K71,J71-K71,0)</f>
        <v>0</v>
      </c>
      <c r="M71" s="605">
        <f t="shared" ref="M71:M134" si="12">-L71*M$5</f>
        <v>0</v>
      </c>
      <c r="N71" s="604"/>
      <c r="O71" s="612">
        <f t="shared" ref="O71:O134" si="13">M71+H71</f>
        <v>-749.78440770225291</v>
      </c>
      <c r="P71" s="180"/>
      <c r="Q71" s="152"/>
      <c r="R71" s="152"/>
      <c r="S71" s="152"/>
      <c r="T71" s="152"/>
      <c r="U71" s="152"/>
      <c r="AF71" s="10"/>
      <c r="AG71" s="10"/>
      <c r="AH71" s="10"/>
      <c r="AI71" s="10"/>
      <c r="AJ71" s="10"/>
      <c r="AK71" s="10"/>
      <c r="AL71" s="10"/>
    </row>
    <row r="72" spans="1:38" x14ac:dyDescent="0.25">
      <c r="A72" s="37">
        <f>+Données!A72</f>
        <v>5516</v>
      </c>
      <c r="B72" s="167" t="str">
        <f>+Données!B72</f>
        <v>Cugy</v>
      </c>
      <c r="C72" s="610">
        <f>+Ecrêtage!C72</f>
        <v>112038.1875</v>
      </c>
      <c r="D72" s="604"/>
      <c r="E72" s="610">
        <f>Données!AF72+Données!AG72+Données!AH72</f>
        <v>1442627</v>
      </c>
      <c r="F72" s="604">
        <f t="shared" si="7"/>
        <v>896305.5</v>
      </c>
      <c r="G72" s="610">
        <f t="shared" si="8"/>
        <v>546321.5</v>
      </c>
      <c r="H72" s="605">
        <f t="shared" si="9"/>
        <v>-380426.48729952489</v>
      </c>
      <c r="I72" s="604"/>
      <c r="J72" s="610">
        <f>Données!AN72</f>
        <v>39176</v>
      </c>
      <c r="K72" s="611">
        <f t="shared" si="10"/>
        <v>112038.1875</v>
      </c>
      <c r="L72" s="604">
        <f t="shared" si="11"/>
        <v>0</v>
      </c>
      <c r="M72" s="605">
        <f t="shared" si="12"/>
        <v>0</v>
      </c>
      <c r="N72" s="604"/>
      <c r="O72" s="612">
        <f t="shared" si="13"/>
        <v>-380426.48729952489</v>
      </c>
      <c r="P72" s="180"/>
      <c r="Q72" s="152"/>
      <c r="R72" s="152"/>
      <c r="S72" s="152"/>
      <c r="T72" s="152"/>
      <c r="U72" s="152"/>
      <c r="AF72" s="10"/>
      <c r="AG72" s="10"/>
      <c r="AH72" s="10"/>
      <c r="AI72" s="10"/>
      <c r="AJ72" s="10"/>
      <c r="AK72" s="10"/>
      <c r="AL72" s="10"/>
    </row>
    <row r="73" spans="1:38" x14ac:dyDescent="0.25">
      <c r="A73" s="37">
        <f>+Données!A73</f>
        <v>5518</v>
      </c>
      <c r="B73" s="167" t="str">
        <f>+Données!B73</f>
        <v>Echallens</v>
      </c>
      <c r="C73" s="610">
        <f>+Ecrêtage!C73</f>
        <v>216867.084137931</v>
      </c>
      <c r="D73" s="604"/>
      <c r="E73" s="610">
        <f>Données!AF73+Données!AG73+Données!AH73</f>
        <v>3872264</v>
      </c>
      <c r="F73" s="604">
        <f t="shared" si="7"/>
        <v>1734936.673103448</v>
      </c>
      <c r="G73" s="610">
        <f t="shared" si="8"/>
        <v>2137327.326896552</v>
      </c>
      <c r="H73" s="605">
        <f t="shared" si="9"/>
        <v>-1488310.3212678591</v>
      </c>
      <c r="I73" s="604"/>
      <c r="J73" s="610">
        <f>Données!AN73</f>
        <v>62866</v>
      </c>
      <c r="K73" s="611">
        <f t="shared" si="10"/>
        <v>216867.084137931</v>
      </c>
      <c r="L73" s="604">
        <f t="shared" si="11"/>
        <v>0</v>
      </c>
      <c r="M73" s="605">
        <f t="shared" si="12"/>
        <v>0</v>
      </c>
      <c r="N73" s="604"/>
      <c r="O73" s="612">
        <f t="shared" si="13"/>
        <v>-1488310.3212678591</v>
      </c>
      <c r="P73" s="180"/>
      <c r="Q73" s="152"/>
      <c r="R73" s="152"/>
      <c r="S73" s="152"/>
      <c r="T73" s="152"/>
      <c r="U73" s="152"/>
      <c r="AF73" s="10"/>
      <c r="AG73" s="10"/>
      <c r="AH73" s="10"/>
      <c r="AI73" s="10"/>
      <c r="AJ73" s="10"/>
      <c r="AK73" s="10"/>
      <c r="AL73" s="10"/>
    </row>
    <row r="74" spans="1:38" x14ac:dyDescent="0.25">
      <c r="A74" s="37">
        <f>+Données!A74</f>
        <v>5520</v>
      </c>
      <c r="B74" s="167" t="str">
        <f>+Données!B74</f>
        <v>Essertines-sur-Yverdon</v>
      </c>
      <c r="C74" s="610">
        <f>+Ecrêtage!C74</f>
        <v>35335.874054054053</v>
      </c>
      <c r="D74" s="604"/>
      <c r="E74" s="610">
        <f>Données!AF74+Données!AG74+Données!AH74</f>
        <v>1449890</v>
      </c>
      <c r="F74" s="604">
        <f t="shared" si="7"/>
        <v>282686.99243243242</v>
      </c>
      <c r="G74" s="610">
        <f t="shared" si="8"/>
        <v>1167203.0075675675</v>
      </c>
      <c r="H74" s="605">
        <f t="shared" si="9"/>
        <v>-812772.22319526225</v>
      </c>
      <c r="I74" s="604"/>
      <c r="J74" s="610">
        <f>Données!AN74</f>
        <v>125696</v>
      </c>
      <c r="K74" s="611">
        <f t="shared" si="10"/>
        <v>35335.874054054053</v>
      </c>
      <c r="L74" s="604">
        <f t="shared" si="11"/>
        <v>90360.12594594594</v>
      </c>
      <c r="M74" s="605">
        <f t="shared" si="12"/>
        <v>-62921.531196482058</v>
      </c>
      <c r="N74" s="604"/>
      <c r="O74" s="612">
        <f t="shared" si="13"/>
        <v>-875693.75439174427</v>
      </c>
      <c r="P74" s="180"/>
      <c r="Q74" s="152"/>
      <c r="R74" s="152"/>
      <c r="S74" s="152"/>
      <c r="T74" s="152"/>
      <c r="U74" s="152"/>
      <c r="AF74" s="10"/>
      <c r="AG74" s="10"/>
      <c r="AH74" s="10"/>
      <c r="AI74" s="10"/>
      <c r="AJ74" s="10"/>
      <c r="AK74" s="10"/>
      <c r="AL74" s="10"/>
    </row>
    <row r="75" spans="1:38" x14ac:dyDescent="0.25">
      <c r="A75" s="37">
        <f>+Données!A75</f>
        <v>5521</v>
      </c>
      <c r="B75" s="167" t="str">
        <f>+Données!B75</f>
        <v>Etagnières</v>
      </c>
      <c r="C75" s="610">
        <f>+Ecrêtage!C75</f>
        <v>46868.677397260268</v>
      </c>
      <c r="D75" s="604"/>
      <c r="E75" s="610">
        <f>Données!AF75+Données!AG75+Données!AH75</f>
        <v>595770</v>
      </c>
      <c r="F75" s="604">
        <f t="shared" si="7"/>
        <v>374949.41917808214</v>
      </c>
      <c r="G75" s="610">
        <f t="shared" si="8"/>
        <v>220820.58082191786</v>
      </c>
      <c r="H75" s="605">
        <f t="shared" si="9"/>
        <v>-153766.59693151934</v>
      </c>
      <c r="I75" s="604"/>
      <c r="J75" s="610">
        <f>Données!AN75</f>
        <v>22492</v>
      </c>
      <c r="K75" s="611">
        <f t="shared" si="10"/>
        <v>46868.677397260268</v>
      </c>
      <c r="L75" s="604">
        <f t="shared" si="11"/>
        <v>0</v>
      </c>
      <c r="M75" s="605">
        <f t="shared" si="12"/>
        <v>0</v>
      </c>
      <c r="N75" s="604"/>
      <c r="O75" s="612">
        <f t="shared" si="13"/>
        <v>-153766.59693151934</v>
      </c>
      <c r="P75" s="180"/>
      <c r="Q75" s="152"/>
      <c r="R75" s="152"/>
      <c r="S75" s="152"/>
      <c r="T75" s="152"/>
      <c r="U75" s="152"/>
      <c r="AF75" s="10"/>
      <c r="AG75" s="10"/>
      <c r="AH75" s="10"/>
      <c r="AI75" s="10"/>
      <c r="AJ75" s="10"/>
      <c r="AK75" s="10"/>
      <c r="AL75" s="10"/>
    </row>
    <row r="76" spans="1:38" x14ac:dyDescent="0.25">
      <c r="A76" s="37">
        <f>+Données!A76</f>
        <v>5522</v>
      </c>
      <c r="B76" s="167" t="str">
        <f>+Données!B76</f>
        <v>Fey</v>
      </c>
      <c r="C76" s="610">
        <f>+Ecrêtage!C76</f>
        <v>25183.4012</v>
      </c>
      <c r="D76" s="604"/>
      <c r="E76" s="610">
        <f>Données!AF76+Données!AG76+Données!AH76</f>
        <v>490856</v>
      </c>
      <c r="F76" s="604">
        <f t="shared" si="7"/>
        <v>201467.2096</v>
      </c>
      <c r="G76" s="610">
        <f t="shared" si="8"/>
        <v>289388.7904</v>
      </c>
      <c r="H76" s="605">
        <f t="shared" si="9"/>
        <v>-201513.50623347328</v>
      </c>
      <c r="I76" s="604"/>
      <c r="J76" s="610">
        <f>Données!AN76</f>
        <v>31561</v>
      </c>
      <c r="K76" s="611">
        <f t="shared" si="10"/>
        <v>25183.4012</v>
      </c>
      <c r="L76" s="604">
        <f t="shared" si="11"/>
        <v>6377.5987999999998</v>
      </c>
      <c r="M76" s="605">
        <f t="shared" si="12"/>
        <v>-4440.9885184633322</v>
      </c>
      <c r="N76" s="604"/>
      <c r="O76" s="612">
        <f t="shared" si="13"/>
        <v>-205954.49475193661</v>
      </c>
      <c r="P76" s="180"/>
      <c r="Q76" s="152"/>
      <c r="R76" s="152"/>
      <c r="S76" s="152"/>
      <c r="T76" s="152"/>
      <c r="U76" s="152"/>
      <c r="AF76" s="10"/>
      <c r="AG76" s="10"/>
      <c r="AH76" s="10"/>
      <c r="AI76" s="10"/>
      <c r="AJ76" s="10"/>
      <c r="AK76" s="10"/>
      <c r="AL76" s="10"/>
    </row>
    <row r="77" spans="1:38" x14ac:dyDescent="0.25">
      <c r="A77" s="37">
        <f>+Données!A77</f>
        <v>5523</v>
      </c>
      <c r="B77" s="167" t="str">
        <f>+Données!B77</f>
        <v>Froideville</v>
      </c>
      <c r="C77" s="610">
        <f>+Ecrêtage!C77</f>
        <v>89218.615555555531</v>
      </c>
      <c r="D77" s="604"/>
      <c r="E77" s="610">
        <f>Données!AF77+Données!AG77+Données!AH77</f>
        <v>1077672</v>
      </c>
      <c r="F77" s="604">
        <f t="shared" si="7"/>
        <v>713748.92444444424</v>
      </c>
      <c r="G77" s="610">
        <f t="shared" si="8"/>
        <v>363923.07555555576</v>
      </c>
      <c r="H77" s="605">
        <f t="shared" si="9"/>
        <v>-253414.84323944725</v>
      </c>
      <c r="I77" s="604"/>
      <c r="J77" s="610">
        <f>Données!AN77</f>
        <v>1637</v>
      </c>
      <c r="K77" s="611">
        <f t="shared" si="10"/>
        <v>89218.615555555531</v>
      </c>
      <c r="L77" s="604">
        <f t="shared" si="11"/>
        <v>0</v>
      </c>
      <c r="M77" s="605">
        <f t="shared" si="12"/>
        <v>0</v>
      </c>
      <c r="N77" s="604"/>
      <c r="O77" s="612">
        <f t="shared" si="13"/>
        <v>-253414.84323944725</v>
      </c>
      <c r="P77" s="180"/>
      <c r="Q77" s="152"/>
      <c r="R77" s="152"/>
      <c r="S77" s="152"/>
      <c r="T77" s="152"/>
      <c r="U77" s="152"/>
      <c r="AF77" s="10"/>
      <c r="AG77" s="10"/>
      <c r="AH77" s="10"/>
      <c r="AI77" s="10"/>
      <c r="AJ77" s="10"/>
      <c r="AK77" s="10"/>
      <c r="AL77" s="10"/>
    </row>
    <row r="78" spans="1:38" x14ac:dyDescent="0.25">
      <c r="A78" s="37">
        <f>+Données!A78</f>
        <v>5527</v>
      </c>
      <c r="B78" s="167" t="str">
        <f>+Données!B78</f>
        <v>Morrens</v>
      </c>
      <c r="C78" s="610">
        <f>+Ecrêtage!C78</f>
        <v>42618.641486486493</v>
      </c>
      <c r="D78" s="604"/>
      <c r="E78" s="610">
        <f>Données!AF78+Données!AG78+Données!AH78</f>
        <v>360834</v>
      </c>
      <c r="F78" s="604">
        <f t="shared" si="7"/>
        <v>340949.13189189194</v>
      </c>
      <c r="G78" s="610">
        <f t="shared" si="8"/>
        <v>19884.868108108058</v>
      </c>
      <c r="H78" s="605">
        <f t="shared" si="9"/>
        <v>-13846.664509417802</v>
      </c>
      <c r="I78" s="604"/>
      <c r="J78" s="610">
        <f>Données!AN78</f>
        <v>71810</v>
      </c>
      <c r="K78" s="611">
        <f t="shared" si="10"/>
        <v>42618.641486486493</v>
      </c>
      <c r="L78" s="604">
        <f t="shared" si="11"/>
        <v>29191.358513513507</v>
      </c>
      <c r="M78" s="605">
        <f t="shared" si="12"/>
        <v>-20327.162630057621</v>
      </c>
      <c r="N78" s="604"/>
      <c r="O78" s="612">
        <f t="shared" si="13"/>
        <v>-34173.827139475427</v>
      </c>
      <c r="P78" s="180"/>
      <c r="Q78" s="152"/>
      <c r="R78" s="152"/>
      <c r="S78" s="152"/>
      <c r="T78" s="152"/>
      <c r="U78" s="152"/>
      <c r="AF78" s="10"/>
      <c r="AG78" s="10"/>
      <c r="AH78" s="10"/>
      <c r="AI78" s="10"/>
      <c r="AJ78" s="10"/>
      <c r="AK78" s="10"/>
      <c r="AL78" s="10"/>
    </row>
    <row r="79" spans="1:38" x14ac:dyDescent="0.25">
      <c r="A79" s="37">
        <f>+Données!A79</f>
        <v>5529</v>
      </c>
      <c r="B79" s="167" t="str">
        <f>+Données!B79</f>
        <v>Oulens-sous-Echallens</v>
      </c>
      <c r="C79" s="610">
        <f>+Ecrêtage!C79</f>
        <v>21320.008028169017</v>
      </c>
      <c r="D79" s="604"/>
      <c r="E79" s="610">
        <f>Données!AF79+Données!AG79+Données!AH79</f>
        <v>336434</v>
      </c>
      <c r="F79" s="604">
        <f t="shared" si="7"/>
        <v>170560.06422535214</v>
      </c>
      <c r="G79" s="610">
        <f t="shared" si="8"/>
        <v>165873.93577464786</v>
      </c>
      <c r="H79" s="605">
        <f t="shared" si="9"/>
        <v>-115504.95215966475</v>
      </c>
      <c r="I79" s="604"/>
      <c r="J79" s="610">
        <f>Données!AN79</f>
        <v>-10570</v>
      </c>
      <c r="K79" s="611">
        <f t="shared" si="10"/>
        <v>21320.008028169017</v>
      </c>
      <c r="L79" s="604">
        <f t="shared" si="11"/>
        <v>0</v>
      </c>
      <c r="M79" s="605">
        <f t="shared" si="12"/>
        <v>0</v>
      </c>
      <c r="N79" s="604"/>
      <c r="O79" s="612">
        <f t="shared" si="13"/>
        <v>-115504.95215966475</v>
      </c>
      <c r="P79" s="180"/>
      <c r="Q79" s="152"/>
      <c r="R79" s="152"/>
      <c r="S79" s="152"/>
      <c r="T79" s="152"/>
      <c r="U79" s="152"/>
      <c r="AF79" s="10"/>
      <c r="AG79" s="10"/>
      <c r="AH79" s="10"/>
      <c r="AI79" s="10"/>
      <c r="AJ79" s="10"/>
      <c r="AK79" s="10"/>
      <c r="AL79" s="10"/>
    </row>
    <row r="80" spans="1:38" x14ac:dyDescent="0.25">
      <c r="A80" s="37">
        <f>+Données!A80</f>
        <v>5530</v>
      </c>
      <c r="B80" s="167" t="str">
        <f>+Données!B80</f>
        <v>Pailly</v>
      </c>
      <c r="C80" s="610">
        <f>+Ecrêtage!C80</f>
        <v>18985.526425438595</v>
      </c>
      <c r="D80" s="604"/>
      <c r="E80" s="610">
        <f>Données!AF80+Données!AG80+Données!AH80</f>
        <v>557430</v>
      </c>
      <c r="F80" s="604">
        <f t="shared" si="7"/>
        <v>151884.21140350876</v>
      </c>
      <c r="G80" s="610">
        <f t="shared" si="8"/>
        <v>405545.78859649121</v>
      </c>
      <c r="H80" s="605">
        <f t="shared" si="9"/>
        <v>-282398.47744392062</v>
      </c>
      <c r="I80" s="604"/>
      <c r="J80" s="610">
        <f>Données!AN80</f>
        <v>26029</v>
      </c>
      <c r="K80" s="611">
        <f t="shared" si="10"/>
        <v>18985.526425438595</v>
      </c>
      <c r="L80" s="604">
        <f t="shared" si="11"/>
        <v>7043.4735745614053</v>
      </c>
      <c r="M80" s="605">
        <f t="shared" si="12"/>
        <v>-4904.6649461121769</v>
      </c>
      <c r="N80" s="604"/>
      <c r="O80" s="612">
        <f t="shared" si="13"/>
        <v>-287303.14239003282</v>
      </c>
      <c r="P80" s="180"/>
      <c r="Q80" s="152"/>
      <c r="R80" s="152"/>
      <c r="S80" s="152"/>
      <c r="T80" s="152"/>
      <c r="U80" s="152"/>
      <c r="AF80" s="10"/>
      <c r="AG80" s="10"/>
      <c r="AH80" s="10"/>
      <c r="AI80" s="10"/>
      <c r="AJ80" s="10"/>
      <c r="AK80" s="10"/>
      <c r="AL80" s="10"/>
    </row>
    <row r="81" spans="1:38" x14ac:dyDescent="0.25">
      <c r="A81" s="37">
        <f>+Données!A81</f>
        <v>5531</v>
      </c>
      <c r="B81" s="167" t="str">
        <f>+Données!B81</f>
        <v>Penthéréaz</v>
      </c>
      <c r="C81" s="610">
        <f>+Ecrêtage!C81</f>
        <v>16979.020135135139</v>
      </c>
      <c r="D81" s="604"/>
      <c r="E81" s="610">
        <f>Données!AF81+Données!AG81+Données!AH81</f>
        <v>190003</v>
      </c>
      <c r="F81" s="604">
        <f t="shared" si="7"/>
        <v>135832.16108108111</v>
      </c>
      <c r="G81" s="610">
        <f t="shared" si="8"/>
        <v>54170.838918918889</v>
      </c>
      <c r="H81" s="605">
        <f t="shared" si="9"/>
        <v>-37721.418549320697</v>
      </c>
      <c r="I81" s="604"/>
      <c r="J81" s="610">
        <f>Données!AN81</f>
        <v>27345</v>
      </c>
      <c r="K81" s="611">
        <f t="shared" si="10"/>
        <v>16979.020135135139</v>
      </c>
      <c r="L81" s="604">
        <f t="shared" si="11"/>
        <v>10365.979864864861</v>
      </c>
      <c r="M81" s="605">
        <f t="shared" si="12"/>
        <v>-7218.2648997122442</v>
      </c>
      <c r="N81" s="604"/>
      <c r="O81" s="612">
        <f t="shared" si="13"/>
        <v>-44939.683449032942</v>
      </c>
      <c r="P81" s="180"/>
      <c r="Q81" s="152"/>
      <c r="R81" s="152"/>
      <c r="S81" s="152"/>
      <c r="T81" s="152"/>
      <c r="U81" s="152"/>
      <c r="AF81" s="10"/>
      <c r="AG81" s="10"/>
      <c r="AH81" s="10"/>
      <c r="AI81" s="10"/>
      <c r="AJ81" s="10"/>
      <c r="AK81" s="10"/>
      <c r="AL81" s="10"/>
    </row>
    <row r="82" spans="1:38" x14ac:dyDescent="0.25">
      <c r="A82" s="37">
        <f>+Données!A82</f>
        <v>5533</v>
      </c>
      <c r="B82" s="167" t="str">
        <f>+Données!B82</f>
        <v>Poliez-Pittet</v>
      </c>
      <c r="C82" s="610">
        <f>+Ecrêtage!C82</f>
        <v>27367.358493150681</v>
      </c>
      <c r="D82" s="604"/>
      <c r="E82" s="610">
        <f>Données!AF82+Données!AG82+Données!AH82</f>
        <v>292440</v>
      </c>
      <c r="F82" s="604">
        <f t="shared" si="7"/>
        <v>218938.86794520545</v>
      </c>
      <c r="G82" s="610">
        <f t="shared" si="8"/>
        <v>73501.132054794551</v>
      </c>
      <c r="H82" s="605">
        <f t="shared" si="9"/>
        <v>-51181.909333870259</v>
      </c>
      <c r="I82" s="604"/>
      <c r="J82" s="610">
        <f>Données!AN82</f>
        <v>65073</v>
      </c>
      <c r="K82" s="611">
        <f t="shared" si="10"/>
        <v>27367.358493150681</v>
      </c>
      <c r="L82" s="604">
        <f t="shared" si="11"/>
        <v>37705.641506849322</v>
      </c>
      <c r="M82" s="605">
        <f t="shared" si="12"/>
        <v>-26256.01362901854</v>
      </c>
      <c r="N82" s="604"/>
      <c r="O82" s="612">
        <f t="shared" si="13"/>
        <v>-77437.922962888799</v>
      </c>
      <c r="P82" s="180"/>
      <c r="Q82" s="152"/>
      <c r="R82" s="152"/>
      <c r="S82" s="152"/>
      <c r="T82" s="152"/>
      <c r="U82" s="152"/>
      <c r="AF82" s="10"/>
      <c r="AG82" s="10"/>
      <c r="AH82" s="10"/>
      <c r="AI82" s="10"/>
      <c r="AJ82" s="10"/>
      <c r="AK82" s="10"/>
      <c r="AL82" s="10"/>
    </row>
    <row r="83" spans="1:38" x14ac:dyDescent="0.25">
      <c r="A83" s="37">
        <f>+Données!A83</f>
        <v>5534</v>
      </c>
      <c r="B83" s="167" t="str">
        <f>+Données!B83</f>
        <v>Rueyres</v>
      </c>
      <c r="C83" s="610">
        <f>+Ecrêtage!C83</f>
        <v>17982.384452054797</v>
      </c>
      <c r="D83" s="604"/>
      <c r="E83" s="610">
        <f>Données!AF83+Données!AG83+Données!AH83</f>
        <v>130061</v>
      </c>
      <c r="F83" s="604">
        <f t="shared" si="7"/>
        <v>143859.07561643838</v>
      </c>
      <c r="G83" s="610">
        <f t="shared" si="8"/>
        <v>0</v>
      </c>
      <c r="H83" s="605">
        <f t="shared" si="9"/>
        <v>0</v>
      </c>
      <c r="I83" s="604"/>
      <c r="J83" s="610">
        <f>Données!AN83</f>
        <v>8499</v>
      </c>
      <c r="K83" s="611">
        <f t="shared" si="10"/>
        <v>17982.384452054797</v>
      </c>
      <c r="L83" s="604">
        <f t="shared" si="11"/>
        <v>0</v>
      </c>
      <c r="M83" s="605">
        <f t="shared" si="12"/>
        <v>0</v>
      </c>
      <c r="N83" s="604"/>
      <c r="O83" s="612">
        <f t="shared" si="13"/>
        <v>0</v>
      </c>
      <c r="P83" s="180"/>
      <c r="Q83" s="152"/>
      <c r="R83" s="152"/>
      <c r="S83" s="152"/>
      <c r="T83" s="152"/>
      <c r="U83" s="152"/>
      <c r="AF83" s="10"/>
      <c r="AG83" s="10"/>
      <c r="AH83" s="10"/>
      <c r="AI83" s="10"/>
      <c r="AJ83" s="10"/>
      <c r="AK83" s="10"/>
      <c r="AL83" s="10"/>
    </row>
    <row r="84" spans="1:38" x14ac:dyDescent="0.25">
      <c r="A84" s="37">
        <f>+Données!A84</f>
        <v>5535</v>
      </c>
      <c r="B84" s="167" t="str">
        <f>+Données!B84</f>
        <v>Saint-Barthélemy</v>
      </c>
      <c r="C84" s="610">
        <f>+Ecrêtage!C84</f>
        <v>26523.088000000003</v>
      </c>
      <c r="D84" s="604"/>
      <c r="E84" s="610">
        <f>Données!AF84+Données!AG84+Données!AH84</f>
        <v>236346.75</v>
      </c>
      <c r="F84" s="604">
        <f t="shared" si="7"/>
        <v>212184.70400000003</v>
      </c>
      <c r="G84" s="610">
        <f t="shared" si="8"/>
        <v>24162.045999999973</v>
      </c>
      <c r="H84" s="605">
        <f t="shared" si="9"/>
        <v>-16825.04218806971</v>
      </c>
      <c r="I84" s="604"/>
      <c r="J84" s="610">
        <f>Données!AN84</f>
        <v>1147</v>
      </c>
      <c r="K84" s="611">
        <f t="shared" si="10"/>
        <v>26523.088000000003</v>
      </c>
      <c r="L84" s="604">
        <f t="shared" si="11"/>
        <v>0</v>
      </c>
      <c r="M84" s="605">
        <f t="shared" si="12"/>
        <v>0</v>
      </c>
      <c r="N84" s="604"/>
      <c r="O84" s="612">
        <f t="shared" si="13"/>
        <v>-16825.04218806971</v>
      </c>
      <c r="P84" s="180"/>
      <c r="Q84" s="152"/>
      <c r="R84" s="152"/>
      <c r="S84" s="152"/>
      <c r="T84" s="152"/>
      <c r="U84" s="152"/>
      <c r="AF84" s="10"/>
      <c r="AG84" s="10"/>
      <c r="AH84" s="10"/>
      <c r="AI84" s="10"/>
      <c r="AJ84" s="10"/>
      <c r="AK84" s="10"/>
      <c r="AL84" s="10"/>
    </row>
    <row r="85" spans="1:38" x14ac:dyDescent="0.25">
      <c r="A85" s="37">
        <f>+Données!A85</f>
        <v>5537</v>
      </c>
      <c r="B85" s="167" t="str">
        <f>+Données!B85</f>
        <v>Villars-le-Terroir</v>
      </c>
      <c r="C85" s="610">
        <f>+Ecrêtage!C85</f>
        <v>36821.563947368428</v>
      </c>
      <c r="D85" s="604"/>
      <c r="E85" s="610">
        <f>Données!AF85+Données!AG85+Données!AH85</f>
        <v>469629</v>
      </c>
      <c r="F85" s="604">
        <f t="shared" si="7"/>
        <v>294572.51157894742</v>
      </c>
      <c r="G85" s="610">
        <f t="shared" si="8"/>
        <v>175056.48842105258</v>
      </c>
      <c r="H85" s="605">
        <f t="shared" si="9"/>
        <v>-121899.14724024404</v>
      </c>
      <c r="I85" s="604"/>
      <c r="J85" s="610">
        <f>Données!AN85</f>
        <v>11444</v>
      </c>
      <c r="K85" s="611">
        <f t="shared" si="10"/>
        <v>36821.563947368428</v>
      </c>
      <c r="L85" s="604">
        <f t="shared" si="11"/>
        <v>0</v>
      </c>
      <c r="M85" s="605">
        <f t="shared" si="12"/>
        <v>0</v>
      </c>
      <c r="N85" s="604"/>
      <c r="O85" s="612">
        <f t="shared" si="13"/>
        <v>-121899.14724024404</v>
      </c>
      <c r="P85" s="180"/>
      <c r="Q85" s="152"/>
      <c r="R85" s="152"/>
      <c r="S85" s="152"/>
      <c r="T85" s="152"/>
      <c r="U85" s="152"/>
      <c r="AF85" s="10"/>
      <c r="AG85" s="10"/>
      <c r="AH85" s="10"/>
      <c r="AI85" s="10"/>
      <c r="AJ85" s="10"/>
      <c r="AK85" s="10"/>
      <c r="AL85" s="10"/>
    </row>
    <row r="86" spans="1:38" x14ac:dyDescent="0.25">
      <c r="A86" s="37">
        <f>+Données!A86</f>
        <v>5539</v>
      </c>
      <c r="B86" s="167" t="str">
        <f>+Données!B86</f>
        <v>Vuarrens</v>
      </c>
      <c r="C86" s="610">
        <f>+Ecrêtage!C86</f>
        <v>34903.7481632653</v>
      </c>
      <c r="D86" s="604"/>
      <c r="E86" s="610">
        <f>Données!AF86+Données!AG86+Données!AH86</f>
        <v>307586</v>
      </c>
      <c r="F86" s="604">
        <f t="shared" si="7"/>
        <v>279229.9853061224</v>
      </c>
      <c r="G86" s="610">
        <f t="shared" si="8"/>
        <v>28356.014693877602</v>
      </c>
      <c r="H86" s="605">
        <f t="shared" si="9"/>
        <v>-19745.47782542984</v>
      </c>
      <c r="I86" s="604"/>
      <c r="J86" s="610">
        <f>Données!AN86</f>
        <v>52436</v>
      </c>
      <c r="K86" s="611">
        <f t="shared" si="10"/>
        <v>34903.7481632653</v>
      </c>
      <c r="L86" s="604">
        <f t="shared" si="11"/>
        <v>17532.2518367347</v>
      </c>
      <c r="M86" s="605">
        <f t="shared" si="12"/>
        <v>-12208.439500732857</v>
      </c>
      <c r="N86" s="604"/>
      <c r="O86" s="612">
        <f t="shared" si="13"/>
        <v>-31953.917326162697</v>
      </c>
      <c r="P86" s="180"/>
      <c r="Q86" s="152"/>
      <c r="R86" s="152"/>
      <c r="S86" s="152"/>
      <c r="T86" s="152"/>
      <c r="U86" s="152"/>
      <c r="AF86" s="10"/>
      <c r="AG86" s="10"/>
      <c r="AH86" s="10"/>
      <c r="AI86" s="10"/>
      <c r="AJ86" s="10"/>
      <c r="AK86" s="10"/>
      <c r="AL86" s="10"/>
    </row>
    <row r="87" spans="1:38" x14ac:dyDescent="0.25">
      <c r="A87" s="37">
        <f>+Données!A87</f>
        <v>5540</v>
      </c>
      <c r="B87" s="167" t="str">
        <f>+Données!B87</f>
        <v>Montilliez</v>
      </c>
      <c r="C87" s="610">
        <f>+Ecrêtage!C87</f>
        <v>65033.644896551712</v>
      </c>
      <c r="D87" s="604"/>
      <c r="E87" s="610">
        <f>Données!AF87+Données!AG87+Données!AH87</f>
        <v>694308</v>
      </c>
      <c r="F87" s="604">
        <f t="shared" si="7"/>
        <v>520269.1591724137</v>
      </c>
      <c r="G87" s="610">
        <f t="shared" si="8"/>
        <v>174038.8408275863</v>
      </c>
      <c r="H87" s="605">
        <f t="shared" si="9"/>
        <v>-121190.51670073354</v>
      </c>
      <c r="I87" s="604"/>
      <c r="J87" s="610">
        <f>Données!AN87</f>
        <v>60320</v>
      </c>
      <c r="K87" s="611">
        <f t="shared" si="10"/>
        <v>65033.644896551712</v>
      </c>
      <c r="L87" s="604">
        <f t="shared" si="11"/>
        <v>0</v>
      </c>
      <c r="M87" s="605">
        <f t="shared" si="12"/>
        <v>0</v>
      </c>
      <c r="N87" s="604"/>
      <c r="O87" s="612">
        <f t="shared" si="13"/>
        <v>-121190.51670073354</v>
      </c>
      <c r="P87" s="180"/>
      <c r="Q87" s="152"/>
      <c r="R87" s="152"/>
      <c r="S87" s="152"/>
      <c r="T87" s="152"/>
      <c r="U87" s="152"/>
      <c r="AF87" s="10"/>
      <c r="AG87" s="10"/>
      <c r="AH87" s="10"/>
      <c r="AI87" s="10"/>
      <c r="AJ87" s="10"/>
      <c r="AK87" s="10"/>
      <c r="AL87" s="10"/>
    </row>
    <row r="88" spans="1:38" x14ac:dyDescent="0.25">
      <c r="A88" s="37">
        <f>+Données!A88</f>
        <v>5541</v>
      </c>
      <c r="B88" s="167" t="str">
        <f>+Données!B88</f>
        <v>Goumoëns</v>
      </c>
      <c r="C88" s="610">
        <f>+Ecrêtage!C88</f>
        <v>41006.934834437088</v>
      </c>
      <c r="D88" s="604"/>
      <c r="E88" s="610">
        <f>Données!AF88+Données!AG88+Données!AH88</f>
        <v>405024</v>
      </c>
      <c r="F88" s="604">
        <f t="shared" si="7"/>
        <v>328055.47867549671</v>
      </c>
      <c r="G88" s="610">
        <f t="shared" si="8"/>
        <v>76968.521324503294</v>
      </c>
      <c r="H88" s="605">
        <f t="shared" si="9"/>
        <v>-53596.397359648785</v>
      </c>
      <c r="I88" s="604"/>
      <c r="J88" s="610">
        <f>Données!AN88</f>
        <v>4190</v>
      </c>
      <c r="K88" s="611">
        <f t="shared" si="10"/>
        <v>41006.934834437088</v>
      </c>
      <c r="L88" s="604">
        <f t="shared" si="11"/>
        <v>0</v>
      </c>
      <c r="M88" s="605">
        <f t="shared" si="12"/>
        <v>0</v>
      </c>
      <c r="N88" s="604"/>
      <c r="O88" s="612">
        <f t="shared" si="13"/>
        <v>-53596.397359648785</v>
      </c>
      <c r="P88" s="180"/>
      <c r="Q88" s="152"/>
      <c r="R88" s="152"/>
      <c r="S88" s="152"/>
      <c r="T88" s="152"/>
      <c r="U88" s="152"/>
      <c r="AF88" s="10"/>
      <c r="AG88" s="10"/>
      <c r="AH88" s="10"/>
      <c r="AI88" s="10"/>
      <c r="AJ88" s="10"/>
      <c r="AK88" s="10"/>
      <c r="AL88" s="10"/>
    </row>
    <row r="89" spans="1:38" x14ac:dyDescent="0.25">
      <c r="A89" s="37">
        <f>+Données!A89</f>
        <v>5551</v>
      </c>
      <c r="B89" s="167" t="str">
        <f>+Données!B89</f>
        <v>Bonvillars</v>
      </c>
      <c r="C89" s="610">
        <f>+Ecrêtage!C89</f>
        <v>19467.158771929826</v>
      </c>
      <c r="D89" s="604"/>
      <c r="E89" s="610">
        <f>Données!AF89+Données!AG89+Données!AH89</f>
        <v>226771</v>
      </c>
      <c r="F89" s="604">
        <f t="shared" si="7"/>
        <v>155737.27017543861</v>
      </c>
      <c r="G89" s="610">
        <f t="shared" si="8"/>
        <v>71033.729824561393</v>
      </c>
      <c r="H89" s="605">
        <f t="shared" si="9"/>
        <v>-49463.754065950889</v>
      </c>
      <c r="I89" s="604"/>
      <c r="J89" s="610">
        <f>Données!AN89</f>
        <v>36963</v>
      </c>
      <c r="K89" s="611">
        <f t="shared" si="10"/>
        <v>19467.158771929826</v>
      </c>
      <c r="L89" s="604">
        <f t="shared" si="11"/>
        <v>17495.841228070174</v>
      </c>
      <c r="M89" s="605">
        <f t="shared" si="12"/>
        <v>-12183.085272582064</v>
      </c>
      <c r="N89" s="604"/>
      <c r="O89" s="612">
        <f t="shared" si="13"/>
        <v>-61646.839338532955</v>
      </c>
      <c r="P89" s="180"/>
      <c r="Q89" s="152"/>
      <c r="R89" s="152"/>
      <c r="S89" s="152"/>
      <c r="T89" s="152"/>
      <c r="U89" s="152"/>
      <c r="AF89" s="10"/>
      <c r="AG89" s="10"/>
      <c r="AH89" s="10"/>
      <c r="AI89" s="10"/>
      <c r="AJ89" s="10"/>
      <c r="AK89" s="10"/>
      <c r="AL89" s="10"/>
    </row>
    <row r="90" spans="1:38" x14ac:dyDescent="0.25">
      <c r="A90" s="37">
        <f>+Données!A90</f>
        <v>5552</v>
      </c>
      <c r="B90" s="167" t="str">
        <f>+Données!B90</f>
        <v>Bullet</v>
      </c>
      <c r="C90" s="610">
        <f>+Ecrêtage!C90</f>
        <v>20081.650000000001</v>
      </c>
      <c r="D90" s="604"/>
      <c r="E90" s="610">
        <f>Données!AF90+Données!AG90+Données!AH90</f>
        <v>471282</v>
      </c>
      <c r="F90" s="604">
        <f t="shared" si="7"/>
        <v>160653.20000000001</v>
      </c>
      <c r="G90" s="610">
        <f t="shared" si="8"/>
        <v>310628.8</v>
      </c>
      <c r="H90" s="605">
        <f t="shared" si="9"/>
        <v>-216303.81238532011</v>
      </c>
      <c r="I90" s="604"/>
      <c r="J90" s="610">
        <f>Données!AN90</f>
        <v>53788</v>
      </c>
      <c r="K90" s="611">
        <f t="shared" si="10"/>
        <v>20081.650000000001</v>
      </c>
      <c r="L90" s="604">
        <f t="shared" si="11"/>
        <v>33706.35</v>
      </c>
      <c r="M90" s="605">
        <f t="shared" si="12"/>
        <v>-23471.13985114688</v>
      </c>
      <c r="N90" s="604"/>
      <c r="O90" s="612">
        <f t="shared" si="13"/>
        <v>-239774.95223646698</v>
      </c>
      <c r="P90" s="180"/>
      <c r="Q90" s="152"/>
      <c r="R90" s="152"/>
      <c r="S90" s="152"/>
      <c r="T90" s="152"/>
      <c r="U90" s="152"/>
      <c r="AF90" s="10"/>
      <c r="AG90" s="10"/>
      <c r="AH90" s="10"/>
      <c r="AI90" s="10"/>
      <c r="AJ90" s="10"/>
      <c r="AK90" s="10"/>
      <c r="AL90" s="10"/>
    </row>
    <row r="91" spans="1:38" x14ac:dyDescent="0.25">
      <c r="A91" s="37">
        <f>+Données!A91</f>
        <v>5553</v>
      </c>
      <c r="B91" s="167" t="str">
        <f>+Données!B91</f>
        <v>Champagne</v>
      </c>
      <c r="C91" s="610">
        <f>+Ecrêtage!C91</f>
        <v>38368.423846153841</v>
      </c>
      <c r="D91" s="604"/>
      <c r="E91" s="610">
        <f>Données!AF91+Données!AG91+Données!AH91</f>
        <v>918292</v>
      </c>
      <c r="F91" s="604">
        <f t="shared" si="7"/>
        <v>306947.39076923073</v>
      </c>
      <c r="G91" s="610">
        <f t="shared" si="8"/>
        <v>611344.60923076933</v>
      </c>
      <c r="H91" s="605">
        <f t="shared" si="9"/>
        <v>-425704.7951053771</v>
      </c>
      <c r="I91" s="604"/>
      <c r="J91" s="610">
        <f>Données!AN91</f>
        <v>26116</v>
      </c>
      <c r="K91" s="611">
        <f t="shared" si="10"/>
        <v>38368.423846153841</v>
      </c>
      <c r="L91" s="604">
        <f t="shared" si="11"/>
        <v>0</v>
      </c>
      <c r="M91" s="605">
        <f t="shared" si="12"/>
        <v>0</v>
      </c>
      <c r="N91" s="604"/>
      <c r="O91" s="612">
        <f t="shared" si="13"/>
        <v>-425704.7951053771</v>
      </c>
      <c r="P91" s="180"/>
      <c r="Q91" s="152"/>
      <c r="R91" s="152"/>
      <c r="S91" s="152"/>
      <c r="T91" s="152"/>
      <c r="U91" s="152"/>
      <c r="AF91" s="10"/>
      <c r="AG91" s="10"/>
      <c r="AH91" s="10"/>
      <c r="AI91" s="10"/>
      <c r="AJ91" s="10"/>
      <c r="AK91" s="10"/>
      <c r="AL91" s="10"/>
    </row>
    <row r="92" spans="1:38" x14ac:dyDescent="0.25">
      <c r="A92" s="37">
        <f>+Données!A92</f>
        <v>5554</v>
      </c>
      <c r="B92" s="167" t="str">
        <f>+Données!B92</f>
        <v>Concise</v>
      </c>
      <c r="C92" s="610">
        <f>+Ecrêtage!C92</f>
        <v>33009.838309859158</v>
      </c>
      <c r="D92" s="604"/>
      <c r="E92" s="610">
        <f>Données!AF92+Données!AG92+Données!AH92</f>
        <v>616369</v>
      </c>
      <c r="F92" s="604">
        <f t="shared" si="7"/>
        <v>264078.70647887327</v>
      </c>
      <c r="G92" s="610">
        <f t="shared" si="8"/>
        <v>352290.29352112673</v>
      </c>
      <c r="H92" s="605">
        <f t="shared" si="9"/>
        <v>-245314.45105850825</v>
      </c>
      <c r="I92" s="604"/>
      <c r="J92" s="610">
        <f>Données!AN92</f>
        <v>16274</v>
      </c>
      <c r="K92" s="611">
        <f t="shared" si="10"/>
        <v>33009.838309859158</v>
      </c>
      <c r="L92" s="604">
        <f t="shared" si="11"/>
        <v>0</v>
      </c>
      <c r="M92" s="605">
        <f t="shared" si="12"/>
        <v>0</v>
      </c>
      <c r="N92" s="604"/>
      <c r="O92" s="612">
        <f t="shared" si="13"/>
        <v>-245314.45105850825</v>
      </c>
      <c r="P92" s="180"/>
      <c r="Q92" s="152"/>
      <c r="R92" s="152"/>
      <c r="S92" s="152"/>
      <c r="T92" s="152"/>
      <c r="U92" s="152"/>
      <c r="AF92" s="10"/>
      <c r="AG92" s="10"/>
      <c r="AH92" s="10"/>
      <c r="AI92" s="10"/>
      <c r="AJ92" s="10"/>
      <c r="AK92" s="10"/>
      <c r="AL92" s="10"/>
    </row>
    <row r="93" spans="1:38" x14ac:dyDescent="0.25">
      <c r="A93" s="37">
        <f>+Données!A93</f>
        <v>5555</v>
      </c>
      <c r="B93" s="167" t="str">
        <f>+Données!B93</f>
        <v>Corcelles-près-Concise</v>
      </c>
      <c r="C93" s="610">
        <f>+Ecrêtage!C93</f>
        <v>14189.979565217391</v>
      </c>
      <c r="D93" s="604"/>
      <c r="E93" s="610">
        <f>Données!AF93+Données!AG93+Données!AH93</f>
        <v>387144</v>
      </c>
      <c r="F93" s="604">
        <f t="shared" si="7"/>
        <v>113519.83652173913</v>
      </c>
      <c r="G93" s="610">
        <f t="shared" si="8"/>
        <v>273624.16347826086</v>
      </c>
      <c r="H93" s="605">
        <f t="shared" si="9"/>
        <v>-190535.93781739459</v>
      </c>
      <c r="I93" s="604"/>
      <c r="J93" s="610">
        <f>Données!AN93</f>
        <v>38109</v>
      </c>
      <c r="K93" s="611">
        <f t="shared" si="10"/>
        <v>14189.979565217391</v>
      </c>
      <c r="L93" s="604">
        <f t="shared" si="11"/>
        <v>23919.020434782607</v>
      </c>
      <c r="M93" s="605">
        <f t="shared" si="12"/>
        <v>-16655.813332716913</v>
      </c>
      <c r="N93" s="604"/>
      <c r="O93" s="612">
        <f t="shared" si="13"/>
        <v>-207191.75115011149</v>
      </c>
      <c r="P93" s="180"/>
      <c r="Q93" s="152"/>
      <c r="R93" s="152"/>
      <c r="S93" s="152"/>
      <c r="T93" s="152"/>
      <c r="U93" s="152"/>
      <c r="AF93" s="10"/>
      <c r="AG93" s="10"/>
      <c r="AH93" s="10"/>
      <c r="AI93" s="10"/>
      <c r="AJ93" s="10"/>
      <c r="AK93" s="10"/>
      <c r="AL93" s="10"/>
    </row>
    <row r="94" spans="1:38" x14ac:dyDescent="0.25">
      <c r="A94" s="37">
        <f>+Données!A94</f>
        <v>5556</v>
      </c>
      <c r="B94" s="167" t="str">
        <f>+Données!B94</f>
        <v>Fiez</v>
      </c>
      <c r="C94" s="610">
        <f>+Ecrêtage!C94</f>
        <v>12811.352608695654</v>
      </c>
      <c r="D94" s="604"/>
      <c r="E94" s="610">
        <f>Données!AF94+Données!AG94+Données!AH94</f>
        <v>155716</v>
      </c>
      <c r="F94" s="604">
        <f t="shared" si="7"/>
        <v>102490.82086956523</v>
      </c>
      <c r="G94" s="610">
        <f t="shared" si="8"/>
        <v>53225.179130434772</v>
      </c>
      <c r="H94" s="605">
        <f t="shared" si="9"/>
        <v>-37062.916126272314</v>
      </c>
      <c r="I94" s="604"/>
      <c r="J94" s="610">
        <f>Données!AN94</f>
        <v>20297</v>
      </c>
      <c r="K94" s="611">
        <f t="shared" si="10"/>
        <v>12811.352608695654</v>
      </c>
      <c r="L94" s="604">
        <f t="shared" si="11"/>
        <v>7485.6473913043465</v>
      </c>
      <c r="M94" s="605">
        <f t="shared" si="12"/>
        <v>-5212.5690499765515</v>
      </c>
      <c r="N94" s="604"/>
      <c r="O94" s="612">
        <f t="shared" si="13"/>
        <v>-42275.485176248869</v>
      </c>
      <c r="P94" s="180"/>
      <c r="Q94" s="152"/>
      <c r="R94" s="152"/>
      <c r="S94" s="152"/>
      <c r="T94" s="152"/>
      <c r="U94" s="152"/>
      <c r="AF94" s="10"/>
      <c r="AG94" s="10"/>
      <c r="AH94" s="10"/>
      <c r="AI94" s="10"/>
      <c r="AJ94" s="10"/>
      <c r="AK94" s="10"/>
      <c r="AL94" s="10"/>
    </row>
    <row r="95" spans="1:38" x14ac:dyDescent="0.25">
      <c r="A95" s="37">
        <f>+Données!A95</f>
        <v>5557</v>
      </c>
      <c r="B95" s="167" t="str">
        <f>+Données!B95</f>
        <v>Fontaines-sur-Grandson</v>
      </c>
      <c r="C95" s="610">
        <f>+Ecrêtage!C95</f>
        <v>5164.2157971014494</v>
      </c>
      <c r="D95" s="604"/>
      <c r="E95" s="610">
        <f>Données!AF95+Données!AG95+Données!AH95</f>
        <v>129324</v>
      </c>
      <c r="F95" s="604">
        <f t="shared" si="7"/>
        <v>41313.726376811595</v>
      </c>
      <c r="G95" s="610">
        <f t="shared" si="8"/>
        <v>88010.273623188405</v>
      </c>
      <c r="H95" s="605">
        <f t="shared" si="9"/>
        <v>-61285.230840703865</v>
      </c>
      <c r="I95" s="604"/>
      <c r="J95" s="610">
        <f>Données!AN95</f>
        <v>10271</v>
      </c>
      <c r="K95" s="611">
        <f t="shared" si="10"/>
        <v>5164.2157971014494</v>
      </c>
      <c r="L95" s="604">
        <f t="shared" si="11"/>
        <v>5106.7842028985506</v>
      </c>
      <c r="M95" s="605">
        <f t="shared" si="12"/>
        <v>-3556.0672162918718</v>
      </c>
      <c r="N95" s="604"/>
      <c r="O95" s="612">
        <f t="shared" si="13"/>
        <v>-64841.298056995736</v>
      </c>
      <c r="P95" s="180"/>
      <c r="Q95" s="152"/>
      <c r="R95" s="152"/>
      <c r="S95" s="152"/>
      <c r="T95" s="152"/>
      <c r="U95" s="152"/>
      <c r="AF95" s="10"/>
      <c r="AG95" s="10"/>
      <c r="AH95" s="10"/>
      <c r="AI95" s="10"/>
      <c r="AJ95" s="10"/>
      <c r="AK95" s="10"/>
      <c r="AL95" s="10"/>
    </row>
    <row r="96" spans="1:38" x14ac:dyDescent="0.25">
      <c r="A96" s="37">
        <f>+Données!A96</f>
        <v>5559</v>
      </c>
      <c r="B96" s="167" t="str">
        <f>+Données!B96</f>
        <v>Giez</v>
      </c>
      <c r="C96" s="610">
        <f>+Ecrêtage!C96</f>
        <v>23273.261029411766</v>
      </c>
      <c r="D96" s="604"/>
      <c r="E96" s="610">
        <f>Données!AF96+Données!AG96+Données!AH96</f>
        <v>248440</v>
      </c>
      <c r="F96" s="604">
        <f t="shared" si="7"/>
        <v>186186.08823529413</v>
      </c>
      <c r="G96" s="610">
        <f t="shared" si="8"/>
        <v>62253.911764705874</v>
      </c>
      <c r="H96" s="605">
        <f t="shared" si="9"/>
        <v>-43349.999905370045</v>
      </c>
      <c r="I96" s="604"/>
      <c r="J96" s="610">
        <f>Données!AN96</f>
        <v>4598</v>
      </c>
      <c r="K96" s="611">
        <f t="shared" si="10"/>
        <v>23273.261029411766</v>
      </c>
      <c r="L96" s="604">
        <f t="shared" si="11"/>
        <v>0</v>
      </c>
      <c r="M96" s="605">
        <f t="shared" si="12"/>
        <v>0</v>
      </c>
      <c r="N96" s="604"/>
      <c r="O96" s="612">
        <f t="shared" si="13"/>
        <v>-43349.999905370045</v>
      </c>
      <c r="P96" s="180"/>
      <c r="Q96" s="152"/>
      <c r="R96" s="152"/>
      <c r="S96" s="152"/>
      <c r="T96" s="152"/>
      <c r="U96" s="152"/>
      <c r="AF96" s="10"/>
      <c r="AG96" s="10"/>
      <c r="AH96" s="10"/>
      <c r="AI96" s="10"/>
      <c r="AJ96" s="10"/>
      <c r="AK96" s="10"/>
      <c r="AL96" s="10"/>
    </row>
    <row r="97" spans="1:38" x14ac:dyDescent="0.25">
      <c r="A97" s="37">
        <f>+Données!A97</f>
        <v>5560</v>
      </c>
      <c r="B97" s="167" t="str">
        <f>+Données!B97</f>
        <v>Grandevent</v>
      </c>
      <c r="C97" s="610">
        <f>+Ecrêtage!C97</f>
        <v>8016.4264285714298</v>
      </c>
      <c r="D97" s="604"/>
      <c r="E97" s="610">
        <f>Données!AF97+Données!AG97+Données!AH97</f>
        <v>312280</v>
      </c>
      <c r="F97" s="604">
        <f t="shared" si="7"/>
        <v>64131.411428571439</v>
      </c>
      <c r="G97" s="610">
        <f t="shared" si="8"/>
        <v>248148.58857142855</v>
      </c>
      <c r="H97" s="605">
        <f t="shared" si="9"/>
        <v>-172796.23056856374</v>
      </c>
      <c r="I97" s="604"/>
      <c r="J97" s="610">
        <f>Données!AN97</f>
        <v>1563</v>
      </c>
      <c r="K97" s="611">
        <f t="shared" si="10"/>
        <v>8016.4264285714298</v>
      </c>
      <c r="L97" s="604">
        <f t="shared" si="11"/>
        <v>0</v>
      </c>
      <c r="M97" s="605">
        <f t="shared" si="12"/>
        <v>0</v>
      </c>
      <c r="N97" s="604"/>
      <c r="O97" s="612">
        <f t="shared" si="13"/>
        <v>-172796.23056856374</v>
      </c>
      <c r="P97" s="180"/>
      <c r="Q97" s="152"/>
      <c r="R97" s="152"/>
      <c r="S97" s="152"/>
      <c r="T97" s="152"/>
      <c r="U97" s="152"/>
      <c r="AF97" s="10"/>
      <c r="AG97" s="10"/>
      <c r="AH97" s="10"/>
      <c r="AI97" s="10"/>
      <c r="AJ97" s="10"/>
      <c r="AK97" s="10"/>
      <c r="AL97" s="10"/>
    </row>
    <row r="98" spans="1:38" x14ac:dyDescent="0.25">
      <c r="A98" s="37">
        <f>+Données!A98</f>
        <v>5561</v>
      </c>
      <c r="B98" s="167" t="str">
        <f>+Données!B98</f>
        <v>Grandson</v>
      </c>
      <c r="C98" s="610">
        <f>+Ecrêtage!C98</f>
        <v>125721.38057971014</v>
      </c>
      <c r="D98" s="604"/>
      <c r="E98" s="610">
        <f>Données!AF98+Données!AG98+Données!AH98</f>
        <v>2612106</v>
      </c>
      <c r="F98" s="604">
        <f t="shared" si="7"/>
        <v>1005771.0446376811</v>
      </c>
      <c r="G98" s="610">
        <f t="shared" si="8"/>
        <v>1606334.955362319</v>
      </c>
      <c r="H98" s="605">
        <f t="shared" si="9"/>
        <v>-1118558.1466131685</v>
      </c>
      <c r="I98" s="604"/>
      <c r="J98" s="610">
        <f>Données!AN98</f>
        <v>11701</v>
      </c>
      <c r="K98" s="611">
        <f t="shared" si="10"/>
        <v>125721.38057971014</v>
      </c>
      <c r="L98" s="604">
        <f t="shared" si="11"/>
        <v>0</v>
      </c>
      <c r="M98" s="605">
        <f t="shared" si="12"/>
        <v>0</v>
      </c>
      <c r="N98" s="604"/>
      <c r="O98" s="612">
        <f t="shared" si="13"/>
        <v>-1118558.1466131685</v>
      </c>
      <c r="P98" s="180"/>
      <c r="Q98" s="152"/>
      <c r="R98" s="152"/>
      <c r="S98" s="152"/>
      <c r="T98" s="152"/>
      <c r="U98" s="152"/>
      <c r="AF98" s="10"/>
      <c r="AG98" s="10"/>
      <c r="AH98" s="10"/>
      <c r="AI98" s="10"/>
      <c r="AJ98" s="10"/>
      <c r="AK98" s="10"/>
      <c r="AL98" s="10"/>
    </row>
    <row r="99" spans="1:38" x14ac:dyDescent="0.25">
      <c r="A99" s="37">
        <f>+Données!A99</f>
        <v>5562</v>
      </c>
      <c r="B99" s="167" t="str">
        <f>+Données!B99</f>
        <v>Mauborget</v>
      </c>
      <c r="C99" s="610">
        <f>+Ecrêtage!C99</f>
        <v>4554.1072619047618</v>
      </c>
      <c r="D99" s="604"/>
      <c r="E99" s="610">
        <f>Données!AF99+Données!AG99+Données!AH99</f>
        <v>88090</v>
      </c>
      <c r="F99" s="604">
        <f t="shared" si="7"/>
        <v>36432.858095238094</v>
      </c>
      <c r="G99" s="610">
        <f t="shared" si="8"/>
        <v>51657.141904761906</v>
      </c>
      <c r="H99" s="605">
        <f t="shared" si="9"/>
        <v>-35971.026289028821</v>
      </c>
      <c r="I99" s="604"/>
      <c r="J99" s="610">
        <f>Données!AN99</f>
        <v>17140</v>
      </c>
      <c r="K99" s="611">
        <f t="shared" si="10"/>
        <v>4554.1072619047618</v>
      </c>
      <c r="L99" s="604">
        <f t="shared" si="11"/>
        <v>12585.892738095237</v>
      </c>
      <c r="M99" s="605">
        <f t="shared" si="12"/>
        <v>-8764.0829875488525</v>
      </c>
      <c r="N99" s="604"/>
      <c r="O99" s="612">
        <f t="shared" si="13"/>
        <v>-44735.10927657767</v>
      </c>
      <c r="P99" s="180"/>
      <c r="Q99" s="152"/>
      <c r="R99" s="152"/>
      <c r="S99" s="152"/>
      <c r="T99" s="152"/>
      <c r="U99" s="152"/>
      <c r="AF99" s="10"/>
      <c r="AG99" s="10"/>
      <c r="AH99" s="10"/>
      <c r="AI99" s="10"/>
      <c r="AJ99" s="10"/>
      <c r="AK99" s="10"/>
      <c r="AL99" s="10"/>
    </row>
    <row r="100" spans="1:38" x14ac:dyDescent="0.25">
      <c r="A100" s="37">
        <f>+Données!A100</f>
        <v>5563</v>
      </c>
      <c r="B100" s="167" t="str">
        <f>+Données!B100</f>
        <v>Mutrux</v>
      </c>
      <c r="C100" s="610">
        <f>+Ecrêtage!C100</f>
        <v>4029.343875</v>
      </c>
      <c r="D100" s="604"/>
      <c r="E100" s="610">
        <f>Données!AF100+Données!AG100+Données!AH100</f>
        <v>87096</v>
      </c>
      <c r="F100" s="604">
        <f t="shared" si="7"/>
        <v>32234.751</v>
      </c>
      <c r="G100" s="610">
        <f t="shared" si="8"/>
        <v>54861.248999999996</v>
      </c>
      <c r="H100" s="605">
        <f t="shared" si="9"/>
        <v>-38202.179936053355</v>
      </c>
      <c r="I100" s="604"/>
      <c r="J100" s="610">
        <f>Données!AN100</f>
        <v>35072</v>
      </c>
      <c r="K100" s="611">
        <f t="shared" si="10"/>
        <v>4029.343875</v>
      </c>
      <c r="L100" s="604">
        <f t="shared" si="11"/>
        <v>31042.656125000001</v>
      </c>
      <c r="M100" s="605">
        <f t="shared" si="12"/>
        <v>-21616.298509359109</v>
      </c>
      <c r="N100" s="604"/>
      <c r="O100" s="612">
        <f t="shared" si="13"/>
        <v>-59818.47844541246</v>
      </c>
      <c r="P100" s="180"/>
      <c r="Q100" s="152"/>
      <c r="R100" s="152"/>
      <c r="S100" s="152"/>
      <c r="T100" s="152"/>
      <c r="U100" s="152"/>
      <c r="AF100" s="10"/>
      <c r="AG100" s="10"/>
      <c r="AH100" s="10"/>
      <c r="AI100" s="10"/>
      <c r="AJ100" s="10"/>
      <c r="AK100" s="10"/>
      <c r="AL100" s="10"/>
    </row>
    <row r="101" spans="1:38" x14ac:dyDescent="0.25">
      <c r="A101" s="37">
        <f>+Données!A101</f>
        <v>5564</v>
      </c>
      <c r="B101" s="167" t="str">
        <f>+Données!B101</f>
        <v>Novalles</v>
      </c>
      <c r="C101" s="610">
        <f>+Ecrêtage!C101</f>
        <v>2464.3180592105264</v>
      </c>
      <c r="D101" s="604"/>
      <c r="E101" s="610">
        <f>Données!AF101+Données!AG101+Données!AH101</f>
        <v>29769</v>
      </c>
      <c r="F101" s="604">
        <f t="shared" si="7"/>
        <v>19714.544473684211</v>
      </c>
      <c r="G101" s="610">
        <f t="shared" si="8"/>
        <v>10054.455526315789</v>
      </c>
      <c r="H101" s="605">
        <f t="shared" si="9"/>
        <v>-7001.3374864170846</v>
      </c>
      <c r="I101" s="604"/>
      <c r="J101" s="610">
        <f>Données!AN101</f>
        <v>8673</v>
      </c>
      <c r="K101" s="611">
        <f t="shared" si="10"/>
        <v>2464.3180592105264</v>
      </c>
      <c r="L101" s="604">
        <f t="shared" si="11"/>
        <v>6208.6819407894736</v>
      </c>
      <c r="M101" s="605">
        <f t="shared" si="12"/>
        <v>-4323.3646515733617</v>
      </c>
      <c r="N101" s="604"/>
      <c r="O101" s="612">
        <f t="shared" si="13"/>
        <v>-11324.702137990447</v>
      </c>
      <c r="P101" s="180"/>
      <c r="Q101" s="152"/>
      <c r="R101" s="152"/>
      <c r="S101" s="152"/>
      <c r="T101" s="152"/>
      <c r="U101" s="152"/>
      <c r="AF101" s="10"/>
      <c r="AG101" s="10"/>
      <c r="AH101" s="10"/>
      <c r="AI101" s="10"/>
      <c r="AJ101" s="10"/>
      <c r="AK101" s="10"/>
      <c r="AL101" s="10"/>
    </row>
    <row r="102" spans="1:38" x14ac:dyDescent="0.25">
      <c r="A102" s="37">
        <f>+Données!A102</f>
        <v>5565</v>
      </c>
      <c r="B102" s="167" t="str">
        <f>+Données!B102</f>
        <v>Onnens</v>
      </c>
      <c r="C102" s="610">
        <f>+Ecrêtage!C102</f>
        <v>20188.105039370083</v>
      </c>
      <c r="D102" s="604"/>
      <c r="E102" s="610">
        <f>Données!AF102+Données!AG102+Données!AH102</f>
        <v>259244</v>
      </c>
      <c r="F102" s="604">
        <f t="shared" si="7"/>
        <v>161504.84031496066</v>
      </c>
      <c r="G102" s="610">
        <f t="shared" si="8"/>
        <v>97739.15968503934</v>
      </c>
      <c r="H102" s="605">
        <f t="shared" si="9"/>
        <v>-68059.860705805753</v>
      </c>
      <c r="I102" s="604"/>
      <c r="J102" s="610">
        <f>Données!AN102</f>
        <v>21150</v>
      </c>
      <c r="K102" s="611">
        <f t="shared" si="10"/>
        <v>20188.105039370083</v>
      </c>
      <c r="L102" s="604">
        <f t="shared" si="11"/>
        <v>961.89496062991748</v>
      </c>
      <c r="M102" s="605">
        <f t="shared" si="12"/>
        <v>-669.80765176467389</v>
      </c>
      <c r="N102" s="604"/>
      <c r="O102" s="612">
        <f t="shared" si="13"/>
        <v>-68729.668357570423</v>
      </c>
      <c r="P102" s="180"/>
      <c r="Q102" s="152"/>
      <c r="R102" s="152"/>
      <c r="S102" s="152"/>
      <c r="T102" s="152"/>
      <c r="U102" s="152"/>
      <c r="AF102" s="10"/>
      <c r="AG102" s="10"/>
      <c r="AH102" s="10"/>
      <c r="AI102" s="10"/>
      <c r="AJ102" s="10"/>
      <c r="AK102" s="10"/>
      <c r="AL102" s="10"/>
    </row>
    <row r="103" spans="1:38" x14ac:dyDescent="0.25">
      <c r="A103" s="37">
        <f>+Données!A103</f>
        <v>5566</v>
      </c>
      <c r="B103" s="167" t="str">
        <f>+Données!B103</f>
        <v>Provence</v>
      </c>
      <c r="C103" s="610">
        <f>+Ecrêtage!C103</f>
        <v>11354.81353909465</v>
      </c>
      <c r="D103" s="604"/>
      <c r="E103" s="610">
        <f>Données!AF103+Données!AG103+Données!AH103</f>
        <v>548468</v>
      </c>
      <c r="F103" s="604">
        <f t="shared" si="7"/>
        <v>90838.5083127572</v>
      </c>
      <c r="G103" s="610">
        <f t="shared" si="8"/>
        <v>457629.49168724281</v>
      </c>
      <c r="H103" s="605">
        <f t="shared" si="9"/>
        <v>-318666.53610968066</v>
      </c>
      <c r="I103" s="604"/>
      <c r="J103" s="610">
        <f>Données!AN103</f>
        <v>148361</v>
      </c>
      <c r="K103" s="611">
        <f t="shared" si="10"/>
        <v>11354.81353909465</v>
      </c>
      <c r="L103" s="604">
        <f t="shared" si="11"/>
        <v>137006.18646090536</v>
      </c>
      <c r="M103" s="605">
        <f t="shared" si="12"/>
        <v>-95403.132136710628</v>
      </c>
      <c r="N103" s="604"/>
      <c r="O103" s="612">
        <f t="shared" si="13"/>
        <v>-414069.66824639129</v>
      </c>
      <c r="P103" s="180"/>
      <c r="Q103" s="152"/>
      <c r="R103" s="152"/>
      <c r="S103" s="152"/>
      <c r="T103" s="152"/>
      <c r="U103" s="152"/>
      <c r="AF103" s="10"/>
      <c r="AG103" s="10"/>
      <c r="AH103" s="10"/>
      <c r="AI103" s="10"/>
      <c r="AJ103" s="10"/>
      <c r="AK103" s="10"/>
      <c r="AL103" s="10"/>
    </row>
    <row r="104" spans="1:38" x14ac:dyDescent="0.25">
      <c r="A104" s="37">
        <f>+Données!A104</f>
        <v>5568</v>
      </c>
      <c r="B104" s="167" t="str">
        <f>+Données!B104</f>
        <v>Sainte-Croix</v>
      </c>
      <c r="C104" s="610">
        <f>+Ecrêtage!C104</f>
        <v>114571.34028571429</v>
      </c>
      <c r="D104" s="604"/>
      <c r="E104" s="610">
        <f>Données!AF104+Données!AG104+Données!AH104</f>
        <v>3208293</v>
      </c>
      <c r="F104" s="604">
        <f t="shared" si="7"/>
        <v>916570.72228571435</v>
      </c>
      <c r="G104" s="610">
        <f t="shared" si="8"/>
        <v>2291722.2777142855</v>
      </c>
      <c r="H104" s="605">
        <f t="shared" si="9"/>
        <v>-1595821.9765777329</v>
      </c>
      <c r="I104" s="604"/>
      <c r="J104" s="610">
        <f>Données!AN104</f>
        <v>338329</v>
      </c>
      <c r="K104" s="611">
        <f t="shared" si="10"/>
        <v>114571.34028571429</v>
      </c>
      <c r="L104" s="604">
        <f t="shared" si="11"/>
        <v>223757.65971428569</v>
      </c>
      <c r="M104" s="605">
        <f t="shared" si="12"/>
        <v>-155811.80768369563</v>
      </c>
      <c r="N104" s="604"/>
      <c r="O104" s="612">
        <f t="shared" si="13"/>
        <v>-1751633.7842614285</v>
      </c>
      <c r="P104" s="180"/>
      <c r="Q104" s="152"/>
      <c r="R104" s="152"/>
      <c r="S104" s="152"/>
      <c r="T104" s="152"/>
      <c r="U104" s="152"/>
      <c r="AF104" s="10"/>
      <c r="AG104" s="10"/>
      <c r="AH104" s="10"/>
      <c r="AI104" s="10"/>
      <c r="AJ104" s="10"/>
      <c r="AK104" s="10"/>
      <c r="AL104" s="10"/>
    </row>
    <row r="105" spans="1:38" x14ac:dyDescent="0.25">
      <c r="A105" s="37">
        <f>+Données!A105</f>
        <v>5571</v>
      </c>
      <c r="B105" s="167" t="str">
        <f>+Données!B105</f>
        <v>Tévenon</v>
      </c>
      <c r="C105" s="610">
        <f>+Ecrêtage!C105</f>
        <v>26145.544382284381</v>
      </c>
      <c r="D105" s="604"/>
      <c r="E105" s="610">
        <f>Données!AF105+Données!AG105+Données!AH105</f>
        <v>361224</v>
      </c>
      <c r="F105" s="604">
        <f t="shared" si="7"/>
        <v>209164.35505827505</v>
      </c>
      <c r="G105" s="610">
        <f t="shared" si="8"/>
        <v>152059.64494172495</v>
      </c>
      <c r="H105" s="605">
        <f t="shared" si="9"/>
        <v>-105885.48425275848</v>
      </c>
      <c r="I105" s="604"/>
      <c r="J105" s="610">
        <f>Données!AN105</f>
        <v>76047</v>
      </c>
      <c r="K105" s="611">
        <f t="shared" si="10"/>
        <v>26145.544382284381</v>
      </c>
      <c r="L105" s="604">
        <f t="shared" si="11"/>
        <v>49901.455617715619</v>
      </c>
      <c r="M105" s="605">
        <f t="shared" si="12"/>
        <v>-34748.468569845223</v>
      </c>
      <c r="N105" s="604"/>
      <c r="O105" s="612">
        <f t="shared" si="13"/>
        <v>-140633.95282260369</v>
      </c>
      <c r="P105" s="180"/>
      <c r="Q105" s="152"/>
      <c r="R105" s="152"/>
      <c r="S105" s="152"/>
      <c r="T105" s="152"/>
      <c r="U105" s="152"/>
      <c r="AF105" s="10"/>
      <c r="AG105" s="10"/>
      <c r="AH105" s="10"/>
      <c r="AI105" s="10"/>
      <c r="AJ105" s="10"/>
      <c r="AK105" s="10"/>
      <c r="AL105" s="10"/>
    </row>
    <row r="106" spans="1:38" x14ac:dyDescent="0.25">
      <c r="A106" s="37">
        <f>+Données!A106</f>
        <v>5581</v>
      </c>
      <c r="B106" s="167" t="str">
        <f>+Données!B106</f>
        <v>Belmont-sur-Lausanne</v>
      </c>
      <c r="C106" s="610">
        <f>+Ecrêtage!C106</f>
        <v>246930.40333333338</v>
      </c>
      <c r="D106" s="604"/>
      <c r="E106" s="610">
        <f>Données!AF106+Données!AG106+Données!AH106</f>
        <v>3593485</v>
      </c>
      <c r="F106" s="604">
        <f t="shared" si="7"/>
        <v>1975443.226666667</v>
      </c>
      <c r="G106" s="610">
        <f t="shared" si="8"/>
        <v>1618041.773333333</v>
      </c>
      <c r="H106" s="605">
        <f t="shared" si="9"/>
        <v>-1126710.0931101814</v>
      </c>
      <c r="I106" s="604"/>
      <c r="J106" s="610">
        <f>Données!AN106</f>
        <v>19979</v>
      </c>
      <c r="K106" s="611">
        <f t="shared" si="10"/>
        <v>246930.40333333338</v>
      </c>
      <c r="L106" s="604">
        <f t="shared" si="11"/>
        <v>0</v>
      </c>
      <c r="M106" s="605">
        <f t="shared" si="12"/>
        <v>0</v>
      </c>
      <c r="N106" s="604"/>
      <c r="O106" s="612">
        <f t="shared" si="13"/>
        <v>-1126710.0931101814</v>
      </c>
      <c r="P106" s="180"/>
      <c r="Q106" s="152"/>
      <c r="R106" s="152"/>
      <c r="S106" s="152"/>
      <c r="T106" s="152"/>
      <c r="U106" s="152"/>
      <c r="AF106" s="10"/>
      <c r="AG106" s="10"/>
      <c r="AH106" s="10"/>
      <c r="AI106" s="10"/>
      <c r="AJ106" s="10"/>
      <c r="AK106" s="10"/>
      <c r="AL106" s="10"/>
    </row>
    <row r="107" spans="1:38" x14ac:dyDescent="0.25">
      <c r="A107" s="37">
        <f>+Données!A107</f>
        <v>5582</v>
      </c>
      <c r="B107" s="167" t="str">
        <f>+Données!B107</f>
        <v>Cheseaux-sur-Lausanne</v>
      </c>
      <c r="C107" s="610">
        <f>+Ecrêtage!C107</f>
        <v>179580.92342465755</v>
      </c>
      <c r="D107" s="604"/>
      <c r="E107" s="610">
        <f>Données!AF107+Données!AG107+Données!AH107</f>
        <v>2248964</v>
      </c>
      <c r="F107" s="604">
        <f t="shared" si="7"/>
        <v>1436647.3873972604</v>
      </c>
      <c r="G107" s="610">
        <f t="shared" si="8"/>
        <v>812316.61260273959</v>
      </c>
      <c r="H107" s="605">
        <f t="shared" si="9"/>
        <v>-565649.99822908163</v>
      </c>
      <c r="I107" s="604"/>
      <c r="J107" s="610">
        <f>Données!AN107</f>
        <v>65670</v>
      </c>
      <c r="K107" s="611">
        <f t="shared" si="10"/>
        <v>179580.92342465755</v>
      </c>
      <c r="L107" s="604">
        <f t="shared" si="11"/>
        <v>0</v>
      </c>
      <c r="M107" s="605">
        <f t="shared" si="12"/>
        <v>0</v>
      </c>
      <c r="N107" s="604"/>
      <c r="O107" s="612">
        <f t="shared" si="13"/>
        <v>-565649.99822908163</v>
      </c>
      <c r="P107" s="180"/>
      <c r="Q107" s="152"/>
      <c r="R107" s="152"/>
      <c r="S107" s="152"/>
      <c r="T107" s="152"/>
      <c r="U107" s="152"/>
      <c r="AF107" s="10"/>
      <c r="AG107" s="10"/>
      <c r="AH107" s="10"/>
      <c r="AI107" s="10"/>
      <c r="AJ107" s="10"/>
      <c r="AK107" s="10"/>
      <c r="AL107" s="10"/>
    </row>
    <row r="108" spans="1:38" x14ac:dyDescent="0.25">
      <c r="A108" s="37">
        <f>+Données!A108</f>
        <v>5583</v>
      </c>
      <c r="B108" s="167" t="str">
        <f>+Données!B108</f>
        <v>Crissier</v>
      </c>
      <c r="C108" s="610">
        <f>+Ecrêtage!C108</f>
        <v>456346.42330708652</v>
      </c>
      <c r="D108" s="604"/>
      <c r="E108" s="610">
        <f>Données!AF108+Données!AG108+Données!AH108</f>
        <v>8847977</v>
      </c>
      <c r="F108" s="604">
        <f t="shared" si="7"/>
        <v>3650771.3864566921</v>
      </c>
      <c r="G108" s="610">
        <f t="shared" si="8"/>
        <v>5197205.6135433074</v>
      </c>
      <c r="H108" s="605">
        <f t="shared" si="9"/>
        <v>-3619031.4225847828</v>
      </c>
      <c r="I108" s="604"/>
      <c r="J108" s="610">
        <f>Données!AN108</f>
        <v>182947</v>
      </c>
      <c r="K108" s="611">
        <f t="shared" si="10"/>
        <v>456346.42330708652</v>
      </c>
      <c r="L108" s="604">
        <f t="shared" si="11"/>
        <v>0</v>
      </c>
      <c r="M108" s="605">
        <f t="shared" si="12"/>
        <v>0</v>
      </c>
      <c r="N108" s="604"/>
      <c r="O108" s="612">
        <f t="shared" si="13"/>
        <v>-3619031.4225847828</v>
      </c>
      <c r="P108" s="180"/>
      <c r="Q108" s="152"/>
      <c r="R108" s="152"/>
      <c r="S108" s="152"/>
      <c r="T108" s="152"/>
      <c r="U108" s="152"/>
      <c r="AF108" s="10"/>
      <c r="AG108" s="10"/>
      <c r="AH108" s="10"/>
      <c r="AI108" s="10"/>
      <c r="AJ108" s="10"/>
      <c r="AK108" s="10"/>
      <c r="AL108" s="10"/>
    </row>
    <row r="109" spans="1:38" x14ac:dyDescent="0.25">
      <c r="A109" s="37">
        <f>+Données!A109</f>
        <v>5584</v>
      </c>
      <c r="B109" s="167" t="str">
        <f>+Données!B109</f>
        <v>Epalinges</v>
      </c>
      <c r="C109" s="610">
        <f>+Ecrêtage!C109</f>
        <v>527681.12604651169</v>
      </c>
      <c r="D109" s="604"/>
      <c r="E109" s="610">
        <f>Données!AF109+Données!AG109+Données!AH109</f>
        <v>10384764</v>
      </c>
      <c r="F109" s="604">
        <f t="shared" si="7"/>
        <v>4221449.0083720936</v>
      </c>
      <c r="G109" s="610">
        <f t="shared" si="8"/>
        <v>6163314.9916279064</v>
      </c>
      <c r="H109" s="605">
        <f t="shared" si="9"/>
        <v>-4291773.7493133713</v>
      </c>
      <c r="I109" s="604"/>
      <c r="J109" s="610">
        <f>Données!AN109</f>
        <v>307384</v>
      </c>
      <c r="K109" s="611">
        <f t="shared" si="10"/>
        <v>527681.12604651169</v>
      </c>
      <c r="L109" s="604">
        <f t="shared" si="11"/>
        <v>0</v>
      </c>
      <c r="M109" s="605">
        <f t="shared" si="12"/>
        <v>0</v>
      </c>
      <c r="N109" s="604"/>
      <c r="O109" s="612">
        <f t="shared" si="13"/>
        <v>-4291773.7493133713</v>
      </c>
      <c r="P109" s="180"/>
      <c r="Q109" s="152"/>
      <c r="R109" s="152"/>
      <c r="S109" s="152"/>
      <c r="T109" s="152"/>
      <c r="U109" s="152"/>
      <c r="AF109" s="10"/>
      <c r="AG109" s="10"/>
      <c r="AH109" s="10"/>
      <c r="AI109" s="10"/>
      <c r="AJ109" s="10"/>
      <c r="AK109" s="10"/>
      <c r="AL109" s="10"/>
    </row>
    <row r="110" spans="1:38" x14ac:dyDescent="0.25">
      <c r="A110" s="37">
        <f>+Données!A110</f>
        <v>5585</v>
      </c>
      <c r="B110" s="167" t="str">
        <f>+Données!B110</f>
        <v>Jouxtens-Mézery</v>
      </c>
      <c r="C110" s="610">
        <f>+Ecrêtage!C110</f>
        <v>207839.61429378533</v>
      </c>
      <c r="D110" s="604"/>
      <c r="E110" s="610">
        <f>Données!AF110+Données!AG110+Données!AH110</f>
        <v>0</v>
      </c>
      <c r="F110" s="604">
        <f t="shared" si="7"/>
        <v>1662716.9143502826</v>
      </c>
      <c r="G110" s="610">
        <f t="shared" si="8"/>
        <v>0</v>
      </c>
      <c r="H110" s="605">
        <f t="shared" si="9"/>
        <v>0</v>
      </c>
      <c r="I110" s="604"/>
      <c r="J110" s="610">
        <f>Données!AN110</f>
        <v>0</v>
      </c>
      <c r="K110" s="611">
        <f t="shared" si="10"/>
        <v>207839.61429378533</v>
      </c>
      <c r="L110" s="604">
        <f t="shared" si="11"/>
        <v>0</v>
      </c>
      <c r="M110" s="605">
        <f t="shared" si="12"/>
        <v>0</v>
      </c>
      <c r="N110" s="604"/>
      <c r="O110" s="612">
        <f t="shared" si="13"/>
        <v>0</v>
      </c>
      <c r="P110" s="180"/>
      <c r="Q110" s="152"/>
      <c r="R110" s="152"/>
      <c r="S110" s="152"/>
      <c r="T110" s="152"/>
      <c r="U110" s="152"/>
      <c r="AF110" s="10"/>
      <c r="AG110" s="10"/>
      <c r="AH110" s="10"/>
      <c r="AI110" s="10"/>
      <c r="AJ110" s="10"/>
      <c r="AK110" s="10"/>
      <c r="AL110" s="10"/>
    </row>
    <row r="111" spans="1:38" x14ac:dyDescent="0.25">
      <c r="A111" s="37">
        <f>+Données!A111</f>
        <v>5586</v>
      </c>
      <c r="B111" s="167" t="str">
        <f>+Données!B111</f>
        <v>Lausanne</v>
      </c>
      <c r="C111" s="610">
        <f>+Ecrêtage!C111</f>
        <v>7026947.2679830147</v>
      </c>
      <c r="D111" s="604"/>
      <c r="E111" s="610">
        <f>Données!AF111+Données!AG111+Données!AH111</f>
        <v>130400356</v>
      </c>
      <c r="F111" s="604">
        <f t="shared" si="7"/>
        <v>56215578.143864118</v>
      </c>
      <c r="G111" s="610">
        <f t="shared" si="8"/>
        <v>74184777.856135875</v>
      </c>
      <c r="H111" s="605">
        <f t="shared" si="9"/>
        <v>-51657960.469989464</v>
      </c>
      <c r="I111" s="604"/>
      <c r="J111" s="610">
        <f>Données!AN111</f>
        <v>1540889</v>
      </c>
      <c r="K111" s="611">
        <f t="shared" si="10"/>
        <v>7026947.2679830147</v>
      </c>
      <c r="L111" s="604">
        <f t="shared" si="11"/>
        <v>0</v>
      </c>
      <c r="M111" s="605">
        <f t="shared" si="12"/>
        <v>0</v>
      </c>
      <c r="N111" s="604"/>
      <c r="O111" s="612">
        <f t="shared" si="13"/>
        <v>-51657960.469989464</v>
      </c>
      <c r="P111" s="180"/>
      <c r="Q111" s="152"/>
      <c r="R111" s="152"/>
      <c r="S111" s="152"/>
      <c r="T111" s="152"/>
      <c r="U111" s="152"/>
      <c r="AF111" s="10"/>
      <c r="AG111" s="10"/>
      <c r="AH111" s="10"/>
      <c r="AI111" s="10"/>
      <c r="AJ111" s="10"/>
      <c r="AK111" s="10"/>
      <c r="AL111" s="10"/>
    </row>
    <row r="112" spans="1:38" x14ac:dyDescent="0.25">
      <c r="A112" s="37">
        <f>+Données!A112</f>
        <v>5587</v>
      </c>
      <c r="B112" s="167" t="str">
        <f>+Données!B112</f>
        <v>Le Mont-sur-Lausanne</v>
      </c>
      <c r="C112" s="610">
        <f>+Ecrêtage!C112</f>
        <v>515123.14148148138</v>
      </c>
      <c r="D112" s="604"/>
      <c r="E112" s="610">
        <f>Données!AF112+Données!AG112+Données!AH112</f>
        <v>7622036</v>
      </c>
      <c r="F112" s="604">
        <f t="shared" si="7"/>
        <v>4120985.131851851</v>
      </c>
      <c r="G112" s="610">
        <f t="shared" si="8"/>
        <v>3501050.868148149</v>
      </c>
      <c r="H112" s="605">
        <f t="shared" si="9"/>
        <v>-2437928.0032481835</v>
      </c>
      <c r="I112" s="604"/>
      <c r="J112" s="610">
        <f>Données!AN112</f>
        <v>154682</v>
      </c>
      <c r="K112" s="611">
        <f t="shared" si="10"/>
        <v>515123.14148148138</v>
      </c>
      <c r="L112" s="604">
        <f t="shared" si="11"/>
        <v>0</v>
      </c>
      <c r="M112" s="605">
        <f t="shared" si="12"/>
        <v>0</v>
      </c>
      <c r="N112" s="604"/>
      <c r="O112" s="612">
        <f t="shared" si="13"/>
        <v>-2437928.0032481835</v>
      </c>
      <c r="P112" s="180"/>
      <c r="Q112" s="152"/>
      <c r="R112" s="152"/>
      <c r="S112" s="152"/>
      <c r="T112" s="152"/>
      <c r="U112" s="152"/>
      <c r="AF112" s="10"/>
      <c r="AG112" s="10"/>
      <c r="AH112" s="10"/>
      <c r="AI112" s="10"/>
      <c r="AJ112" s="10"/>
      <c r="AK112" s="10"/>
      <c r="AL112" s="10"/>
    </row>
    <row r="113" spans="1:38" x14ac:dyDescent="0.25">
      <c r="A113" s="37">
        <f>+Données!A113</f>
        <v>5588</v>
      </c>
      <c r="B113" s="167" t="str">
        <f>+Données!B113</f>
        <v>Paudex</v>
      </c>
      <c r="C113" s="610">
        <f>+Ecrêtage!C113</f>
        <v>151788.7450912997</v>
      </c>
      <c r="D113" s="604"/>
      <c r="E113" s="610">
        <f>Données!AF113+Données!AG113+Données!AH113</f>
        <v>882848</v>
      </c>
      <c r="F113" s="604">
        <f t="shared" si="7"/>
        <v>1214309.9607303976</v>
      </c>
      <c r="G113" s="610">
        <f t="shared" si="8"/>
        <v>0</v>
      </c>
      <c r="H113" s="605">
        <f t="shared" si="9"/>
        <v>0</v>
      </c>
      <c r="I113" s="604"/>
      <c r="J113" s="610">
        <f>Données!AN113</f>
        <v>0</v>
      </c>
      <c r="K113" s="611">
        <f t="shared" si="10"/>
        <v>151788.7450912997</v>
      </c>
      <c r="L113" s="604">
        <f t="shared" si="11"/>
        <v>0</v>
      </c>
      <c r="M113" s="605">
        <f t="shared" si="12"/>
        <v>0</v>
      </c>
      <c r="N113" s="604"/>
      <c r="O113" s="612">
        <f t="shared" si="13"/>
        <v>0</v>
      </c>
      <c r="P113" s="180"/>
      <c r="Q113" s="152"/>
      <c r="R113" s="152"/>
      <c r="S113" s="152"/>
      <c r="T113" s="152"/>
      <c r="U113" s="152"/>
      <c r="AF113" s="10"/>
      <c r="AG113" s="10"/>
      <c r="AH113" s="10"/>
      <c r="AI113" s="10"/>
      <c r="AJ113" s="10"/>
      <c r="AK113" s="10"/>
      <c r="AL113" s="10"/>
    </row>
    <row r="114" spans="1:38" x14ac:dyDescent="0.25">
      <c r="A114" s="37">
        <f>+Données!A114</f>
        <v>5589</v>
      </c>
      <c r="B114" s="167" t="str">
        <f>+Données!B114</f>
        <v>Prilly</v>
      </c>
      <c r="C114" s="610">
        <f>+Ecrêtage!C114</f>
        <v>442584.39482228115</v>
      </c>
      <c r="D114" s="604"/>
      <c r="E114" s="610">
        <f>Données!AF114+Données!AG114+Données!AH114</f>
        <v>8895641</v>
      </c>
      <c r="F114" s="604">
        <f t="shared" si="7"/>
        <v>3540675.1585782492</v>
      </c>
      <c r="G114" s="610">
        <f t="shared" si="8"/>
        <v>5354965.8414217513</v>
      </c>
      <c r="H114" s="605">
        <f t="shared" si="9"/>
        <v>-3728886.4609227744</v>
      </c>
      <c r="I114" s="604"/>
      <c r="J114" s="610">
        <f>Données!AN114</f>
        <v>21492</v>
      </c>
      <c r="K114" s="611">
        <f t="shared" si="10"/>
        <v>442584.39482228115</v>
      </c>
      <c r="L114" s="604">
        <f t="shared" si="11"/>
        <v>0</v>
      </c>
      <c r="M114" s="605">
        <f t="shared" si="12"/>
        <v>0</v>
      </c>
      <c r="N114" s="604"/>
      <c r="O114" s="612">
        <f t="shared" si="13"/>
        <v>-3728886.4609227744</v>
      </c>
      <c r="P114" s="180"/>
      <c r="Q114" s="152"/>
      <c r="R114" s="152"/>
      <c r="S114" s="152"/>
      <c r="T114" s="152"/>
      <c r="U114" s="152"/>
      <c r="AF114" s="10"/>
      <c r="AG114" s="10"/>
      <c r="AH114" s="10"/>
      <c r="AI114" s="10"/>
      <c r="AJ114" s="10"/>
      <c r="AK114" s="10"/>
      <c r="AL114" s="10"/>
    </row>
    <row r="115" spans="1:38" x14ac:dyDescent="0.25">
      <c r="A115" s="37">
        <f>+Données!A115</f>
        <v>5590</v>
      </c>
      <c r="B115" s="167" t="str">
        <f>+Données!B115</f>
        <v>Pully</v>
      </c>
      <c r="C115" s="610">
        <f>+Ecrêtage!C115</f>
        <v>1670113.1662763469</v>
      </c>
      <c r="D115" s="604"/>
      <c r="E115" s="610">
        <f>Données!AF115+Données!AG115+Données!AH115</f>
        <v>17238589</v>
      </c>
      <c r="F115" s="604">
        <f t="shared" si="7"/>
        <v>13360905.330210775</v>
      </c>
      <c r="G115" s="610">
        <f t="shared" si="8"/>
        <v>3877683.6697892249</v>
      </c>
      <c r="H115" s="605">
        <f t="shared" si="9"/>
        <v>-2700193.1598090972</v>
      </c>
      <c r="I115" s="604"/>
      <c r="J115" s="610">
        <f>Données!AN115</f>
        <v>588814</v>
      </c>
      <c r="K115" s="611">
        <f t="shared" si="10"/>
        <v>1670113.1662763469</v>
      </c>
      <c r="L115" s="604">
        <f t="shared" si="11"/>
        <v>0</v>
      </c>
      <c r="M115" s="605">
        <f t="shared" si="12"/>
        <v>0</v>
      </c>
      <c r="N115" s="604"/>
      <c r="O115" s="612">
        <f t="shared" si="13"/>
        <v>-2700193.1598090972</v>
      </c>
      <c r="P115" s="180"/>
      <c r="Q115" s="152"/>
      <c r="R115" s="152"/>
      <c r="S115" s="152"/>
      <c r="T115" s="152"/>
      <c r="U115" s="152"/>
      <c r="AF115" s="10"/>
      <c r="AG115" s="10"/>
      <c r="AH115" s="10"/>
      <c r="AI115" s="10"/>
      <c r="AJ115" s="10"/>
      <c r="AK115" s="10"/>
      <c r="AL115" s="10"/>
    </row>
    <row r="116" spans="1:38" x14ac:dyDescent="0.25">
      <c r="A116" s="37">
        <f>+Données!A116</f>
        <v>5591</v>
      </c>
      <c r="B116" s="167" t="str">
        <f>+Données!B116</f>
        <v>Renens</v>
      </c>
      <c r="C116" s="610">
        <f>+Ecrêtage!C116</f>
        <v>627232.40092764387</v>
      </c>
      <c r="D116" s="604"/>
      <c r="E116" s="610">
        <f>Données!AF116+Données!AG116+Données!AH116</f>
        <v>15638199</v>
      </c>
      <c r="F116" s="604">
        <f t="shared" si="7"/>
        <v>5017859.207421151</v>
      </c>
      <c r="G116" s="610">
        <f t="shared" si="8"/>
        <v>10620339.79257885</v>
      </c>
      <c r="H116" s="605">
        <f t="shared" si="9"/>
        <v>-7395386.345253</v>
      </c>
      <c r="I116" s="604"/>
      <c r="J116" s="610">
        <f>Données!AN116</f>
        <v>17888</v>
      </c>
      <c r="K116" s="611">
        <f t="shared" si="10"/>
        <v>627232.40092764387</v>
      </c>
      <c r="L116" s="604">
        <f t="shared" si="11"/>
        <v>0</v>
      </c>
      <c r="M116" s="605">
        <f t="shared" si="12"/>
        <v>0</v>
      </c>
      <c r="N116" s="604"/>
      <c r="O116" s="612">
        <f t="shared" si="13"/>
        <v>-7395386.345253</v>
      </c>
      <c r="P116" s="180"/>
      <c r="Q116" s="152"/>
      <c r="R116" s="152"/>
      <c r="S116" s="152"/>
      <c r="T116" s="152"/>
      <c r="U116" s="152"/>
      <c r="AF116" s="10"/>
      <c r="AG116" s="10"/>
      <c r="AH116" s="10"/>
      <c r="AI116" s="10"/>
      <c r="AJ116" s="10"/>
      <c r="AK116" s="10"/>
      <c r="AL116" s="10"/>
    </row>
    <row r="117" spans="1:38" x14ac:dyDescent="0.25">
      <c r="A117" s="37">
        <f>+Données!A117</f>
        <v>5592</v>
      </c>
      <c r="B117" s="167" t="str">
        <f>+Données!B117</f>
        <v>Romanel-sur-Lausanne</v>
      </c>
      <c r="C117" s="610">
        <f>+Ecrêtage!C117</f>
        <v>146863.22056737586</v>
      </c>
      <c r="D117" s="604"/>
      <c r="E117" s="610">
        <f>Données!AF117+Données!AG117+Données!AH117</f>
        <v>1429586</v>
      </c>
      <c r="F117" s="604">
        <f t="shared" si="7"/>
        <v>1174905.7645390069</v>
      </c>
      <c r="G117" s="610">
        <f t="shared" si="8"/>
        <v>254680.23546099314</v>
      </c>
      <c r="H117" s="605">
        <f t="shared" si="9"/>
        <v>-177344.48920835354</v>
      </c>
      <c r="I117" s="604"/>
      <c r="J117" s="610">
        <f>Données!AN117</f>
        <v>8035</v>
      </c>
      <c r="K117" s="611">
        <f t="shared" si="10"/>
        <v>146863.22056737586</v>
      </c>
      <c r="L117" s="604">
        <f t="shared" si="11"/>
        <v>0</v>
      </c>
      <c r="M117" s="605">
        <f t="shared" si="12"/>
        <v>0</v>
      </c>
      <c r="N117" s="604"/>
      <c r="O117" s="612">
        <f t="shared" si="13"/>
        <v>-177344.48920835354</v>
      </c>
      <c r="P117" s="180"/>
      <c r="Q117" s="152"/>
      <c r="R117" s="152"/>
      <c r="S117" s="152"/>
      <c r="T117" s="152"/>
      <c r="U117" s="152"/>
      <c r="AF117" s="10"/>
      <c r="AG117" s="10"/>
      <c r="AH117" s="10"/>
      <c r="AI117" s="10"/>
      <c r="AJ117" s="10"/>
      <c r="AK117" s="10"/>
      <c r="AL117" s="10"/>
    </row>
    <row r="118" spans="1:38" x14ac:dyDescent="0.25">
      <c r="A118" s="37">
        <f>+Données!A118</f>
        <v>5601</v>
      </c>
      <c r="B118" s="167" t="str">
        <f>+Données!B118</f>
        <v>Chexbres</v>
      </c>
      <c r="C118" s="610">
        <f>+Ecrêtage!C118</f>
        <v>111006.30192592592</v>
      </c>
      <c r="D118" s="604"/>
      <c r="E118" s="610">
        <f>Données!AF118+Données!AG118+Données!AH118</f>
        <v>1313519</v>
      </c>
      <c r="F118" s="604">
        <f t="shared" si="7"/>
        <v>888050.41540740733</v>
      </c>
      <c r="G118" s="610">
        <f t="shared" si="8"/>
        <v>425468.58459259267</v>
      </c>
      <c r="H118" s="605">
        <f t="shared" si="9"/>
        <v>-296271.5527264821</v>
      </c>
      <c r="I118" s="604"/>
      <c r="J118" s="610">
        <f>Données!AN118</f>
        <v>38147</v>
      </c>
      <c r="K118" s="611">
        <f t="shared" si="10"/>
        <v>111006.30192592592</v>
      </c>
      <c r="L118" s="604">
        <f t="shared" si="11"/>
        <v>0</v>
      </c>
      <c r="M118" s="605">
        <f t="shared" si="12"/>
        <v>0</v>
      </c>
      <c r="N118" s="604"/>
      <c r="O118" s="612">
        <f t="shared" si="13"/>
        <v>-296271.5527264821</v>
      </c>
      <c r="P118" s="180"/>
      <c r="Q118" s="152"/>
      <c r="R118" s="152"/>
      <c r="S118" s="152"/>
      <c r="T118" s="152"/>
      <c r="U118" s="152"/>
      <c r="AF118" s="10"/>
      <c r="AG118" s="10"/>
      <c r="AH118" s="10"/>
      <c r="AI118" s="10"/>
      <c r="AJ118" s="10"/>
      <c r="AK118" s="10"/>
      <c r="AL118" s="10"/>
    </row>
    <row r="119" spans="1:38" x14ac:dyDescent="0.25">
      <c r="A119" s="37">
        <f>+Données!A119</f>
        <v>5604</v>
      </c>
      <c r="B119" s="167" t="str">
        <f>+Données!B119</f>
        <v>Forel (Lavaux)</v>
      </c>
      <c r="C119" s="610">
        <f>+Ecrêtage!C119</f>
        <v>74097.487681159415</v>
      </c>
      <c r="D119" s="604"/>
      <c r="E119" s="610">
        <f>Données!AF119+Données!AG119+Données!AH119</f>
        <v>1093316</v>
      </c>
      <c r="F119" s="604">
        <f t="shared" si="7"/>
        <v>592779.90144927532</v>
      </c>
      <c r="G119" s="610">
        <f t="shared" si="8"/>
        <v>500536.09855072468</v>
      </c>
      <c r="H119" s="605">
        <f t="shared" si="9"/>
        <v>-348544.19922748971</v>
      </c>
      <c r="I119" s="604"/>
      <c r="J119" s="610">
        <f>Données!AN119</f>
        <v>93588</v>
      </c>
      <c r="K119" s="611">
        <f t="shared" si="10"/>
        <v>74097.487681159415</v>
      </c>
      <c r="L119" s="604">
        <f t="shared" si="11"/>
        <v>19490.512318840585</v>
      </c>
      <c r="M119" s="605">
        <f t="shared" si="12"/>
        <v>-13572.058096056337</v>
      </c>
      <c r="N119" s="604"/>
      <c r="O119" s="612">
        <f t="shared" si="13"/>
        <v>-362116.25732354604</v>
      </c>
      <c r="P119" s="180"/>
      <c r="Q119" s="152"/>
      <c r="R119" s="152"/>
      <c r="S119" s="152"/>
      <c r="T119" s="152"/>
      <c r="U119" s="152"/>
      <c r="AF119" s="10"/>
      <c r="AG119" s="10"/>
      <c r="AH119" s="10"/>
      <c r="AI119" s="10"/>
      <c r="AJ119" s="10"/>
      <c r="AK119" s="10"/>
      <c r="AL119" s="10"/>
    </row>
    <row r="120" spans="1:38" x14ac:dyDescent="0.25">
      <c r="A120" s="37">
        <f>+Données!A120</f>
        <v>5606</v>
      </c>
      <c r="B120" s="167" t="str">
        <f>+Données!B120</f>
        <v>Lutry</v>
      </c>
      <c r="C120" s="610">
        <f>+Ecrêtage!C120</f>
        <v>967121.48857142858</v>
      </c>
      <c r="D120" s="604"/>
      <c r="E120" s="610">
        <f>Données!AF120+Données!AG120+Données!AH120</f>
        <v>10521938</v>
      </c>
      <c r="F120" s="604">
        <f t="shared" si="7"/>
        <v>7736971.9085714286</v>
      </c>
      <c r="G120" s="610">
        <f t="shared" si="8"/>
        <v>2784966.0914285714</v>
      </c>
      <c r="H120" s="605">
        <f t="shared" si="9"/>
        <v>-1939288.2531814305</v>
      </c>
      <c r="I120" s="604"/>
      <c r="J120" s="610">
        <f>Données!AN120</f>
        <v>327834</v>
      </c>
      <c r="K120" s="611">
        <f t="shared" si="10"/>
        <v>967121.48857142858</v>
      </c>
      <c r="L120" s="604">
        <f t="shared" si="11"/>
        <v>0</v>
      </c>
      <c r="M120" s="605">
        <f t="shared" si="12"/>
        <v>0</v>
      </c>
      <c r="N120" s="604"/>
      <c r="O120" s="612">
        <f t="shared" si="13"/>
        <v>-1939288.2531814305</v>
      </c>
      <c r="P120" s="180"/>
      <c r="Q120" s="152"/>
      <c r="R120" s="152"/>
      <c r="S120" s="152"/>
      <c r="T120" s="152"/>
      <c r="U120" s="152"/>
      <c r="AF120" s="10"/>
      <c r="AG120" s="10"/>
      <c r="AH120" s="10"/>
      <c r="AI120" s="10"/>
      <c r="AJ120" s="10"/>
      <c r="AK120" s="10"/>
      <c r="AL120" s="10"/>
    </row>
    <row r="121" spans="1:38" x14ac:dyDescent="0.25">
      <c r="A121" s="37">
        <f>+Données!A121</f>
        <v>5607</v>
      </c>
      <c r="B121" s="167" t="str">
        <f>+Données!B121</f>
        <v>Puidoux</v>
      </c>
      <c r="C121" s="610">
        <f>+Ecrêtage!C121</f>
        <v>136783.21297365916</v>
      </c>
      <c r="D121" s="604"/>
      <c r="E121" s="610">
        <f>Données!AF121+Données!AG121+Données!AH121</f>
        <v>2371563</v>
      </c>
      <c r="F121" s="604">
        <f t="shared" si="7"/>
        <v>1094265.7037892733</v>
      </c>
      <c r="G121" s="610">
        <f t="shared" si="8"/>
        <v>1277297.2962107267</v>
      </c>
      <c r="H121" s="605">
        <f t="shared" si="9"/>
        <v>-889435.47642665997</v>
      </c>
      <c r="I121" s="604"/>
      <c r="J121" s="610">
        <f>Données!AN121</f>
        <v>91109</v>
      </c>
      <c r="K121" s="611">
        <f t="shared" si="10"/>
        <v>136783.21297365916</v>
      </c>
      <c r="L121" s="604">
        <f t="shared" si="11"/>
        <v>0</v>
      </c>
      <c r="M121" s="605">
        <f t="shared" si="12"/>
        <v>0</v>
      </c>
      <c r="N121" s="604"/>
      <c r="O121" s="612">
        <f t="shared" si="13"/>
        <v>-889435.47642665997</v>
      </c>
      <c r="P121" s="180"/>
      <c r="Q121" s="152"/>
      <c r="R121" s="152"/>
      <c r="S121" s="152"/>
      <c r="T121" s="152"/>
      <c r="U121" s="152"/>
      <c r="AF121" s="10"/>
      <c r="AG121" s="10"/>
      <c r="AH121" s="10"/>
      <c r="AI121" s="10"/>
      <c r="AJ121" s="10"/>
      <c r="AK121" s="10"/>
      <c r="AL121" s="10"/>
    </row>
    <row r="122" spans="1:38" x14ac:dyDescent="0.25">
      <c r="A122" s="37">
        <f>+Données!A122</f>
        <v>5609</v>
      </c>
      <c r="B122" s="167" t="str">
        <f>+Données!B122</f>
        <v>Rivaz</v>
      </c>
      <c r="C122" s="610">
        <f>+Ecrêtage!C122</f>
        <v>15606.865161290323</v>
      </c>
      <c r="D122" s="604"/>
      <c r="E122" s="610">
        <f>Données!AF122+Données!AG122+Données!AH122</f>
        <v>205700</v>
      </c>
      <c r="F122" s="604">
        <f t="shared" si="7"/>
        <v>124854.92129032259</v>
      </c>
      <c r="G122" s="610">
        <f t="shared" si="8"/>
        <v>80845.078709677415</v>
      </c>
      <c r="H122" s="605">
        <f t="shared" si="9"/>
        <v>-56295.806240421043</v>
      </c>
      <c r="I122" s="604"/>
      <c r="J122" s="610">
        <f>Données!AN122</f>
        <v>22078</v>
      </c>
      <c r="K122" s="611">
        <f t="shared" si="10"/>
        <v>15606.865161290323</v>
      </c>
      <c r="L122" s="604">
        <f t="shared" si="11"/>
        <v>6471.1348387096768</v>
      </c>
      <c r="M122" s="605">
        <f t="shared" si="12"/>
        <v>-4506.1215704157712</v>
      </c>
      <c r="N122" s="604"/>
      <c r="O122" s="612">
        <f t="shared" si="13"/>
        <v>-60801.927810836816</v>
      </c>
      <c r="P122" s="180"/>
      <c r="Q122" s="152"/>
      <c r="R122" s="152"/>
      <c r="S122" s="152"/>
      <c r="T122" s="152"/>
      <c r="U122" s="152"/>
      <c r="AF122" s="10"/>
      <c r="AG122" s="10"/>
      <c r="AH122" s="10"/>
      <c r="AI122" s="10"/>
      <c r="AJ122" s="10"/>
      <c r="AK122" s="10"/>
      <c r="AL122" s="10"/>
    </row>
    <row r="123" spans="1:38" x14ac:dyDescent="0.25">
      <c r="A123" s="37">
        <f>+Données!A123</f>
        <v>5610</v>
      </c>
      <c r="B123" s="167" t="str">
        <f>+Données!B123</f>
        <v>St-Saphorin (Lavaux)</v>
      </c>
      <c r="C123" s="610">
        <f>+Ecrêtage!C123</f>
        <v>17690.752229729729</v>
      </c>
      <c r="D123" s="604"/>
      <c r="E123" s="610">
        <f>Données!AF123+Données!AG123+Données!AH123</f>
        <v>416883</v>
      </c>
      <c r="F123" s="604">
        <f t="shared" si="7"/>
        <v>141526.01783783783</v>
      </c>
      <c r="G123" s="610">
        <f t="shared" si="8"/>
        <v>275356.9821621622</v>
      </c>
      <c r="H123" s="605">
        <f t="shared" si="9"/>
        <v>-191742.57186903554</v>
      </c>
      <c r="I123" s="604"/>
      <c r="J123" s="610">
        <f>Données!AN123</f>
        <v>19902</v>
      </c>
      <c r="K123" s="611">
        <f t="shared" si="10"/>
        <v>17690.752229729729</v>
      </c>
      <c r="L123" s="604">
        <f t="shared" si="11"/>
        <v>2211.2477702702708</v>
      </c>
      <c r="M123" s="605">
        <f t="shared" si="12"/>
        <v>-1539.7842145931031</v>
      </c>
      <c r="N123" s="604"/>
      <c r="O123" s="612">
        <f t="shared" si="13"/>
        <v>-193282.35608362863</v>
      </c>
      <c r="P123" s="180"/>
      <c r="Q123" s="152"/>
      <c r="R123" s="152"/>
      <c r="S123" s="152"/>
      <c r="T123" s="152"/>
      <c r="U123" s="152"/>
      <c r="AF123" s="10"/>
      <c r="AG123" s="10"/>
      <c r="AH123" s="10"/>
      <c r="AI123" s="10"/>
      <c r="AJ123" s="10"/>
      <c r="AK123" s="10"/>
      <c r="AL123" s="10"/>
    </row>
    <row r="124" spans="1:38" x14ac:dyDescent="0.25">
      <c r="A124" s="37">
        <f>+Données!A124</f>
        <v>5611</v>
      </c>
      <c r="B124" s="167" t="str">
        <f>+Données!B124</f>
        <v>Savigny</v>
      </c>
      <c r="C124" s="610">
        <f>+Ecrêtage!C124</f>
        <v>157298.88888888891</v>
      </c>
      <c r="D124" s="604"/>
      <c r="E124" s="610">
        <f>Données!AF124+Données!AG124+Données!AH124</f>
        <v>2040033</v>
      </c>
      <c r="F124" s="604">
        <f t="shared" si="7"/>
        <v>1258391.1111111112</v>
      </c>
      <c r="G124" s="610">
        <f t="shared" si="8"/>
        <v>781641.88888888876</v>
      </c>
      <c r="H124" s="605">
        <f t="shared" si="9"/>
        <v>-544289.90643085714</v>
      </c>
      <c r="I124" s="604"/>
      <c r="J124" s="610">
        <f>Données!AN124</f>
        <v>-18949</v>
      </c>
      <c r="K124" s="611">
        <f t="shared" si="10"/>
        <v>157298.88888888891</v>
      </c>
      <c r="L124" s="604">
        <f t="shared" si="11"/>
        <v>0</v>
      </c>
      <c r="M124" s="605">
        <f t="shared" si="12"/>
        <v>0</v>
      </c>
      <c r="N124" s="604"/>
      <c r="O124" s="612">
        <f t="shared" si="13"/>
        <v>-544289.90643085714</v>
      </c>
      <c r="P124" s="180"/>
      <c r="Q124" s="152"/>
      <c r="R124" s="152"/>
      <c r="S124" s="152"/>
      <c r="T124" s="152"/>
      <c r="U124" s="152"/>
      <c r="AF124" s="10"/>
      <c r="AG124" s="10"/>
      <c r="AH124" s="10"/>
      <c r="AI124" s="10"/>
      <c r="AJ124" s="10"/>
      <c r="AK124" s="10"/>
      <c r="AL124" s="10"/>
    </row>
    <row r="125" spans="1:38" x14ac:dyDescent="0.25">
      <c r="A125" s="37">
        <f>+Données!A125</f>
        <v>5613</v>
      </c>
      <c r="B125" s="167" t="str">
        <f>+Données!B125</f>
        <v>Bourg-en-Lavaux</v>
      </c>
      <c r="C125" s="610">
        <f>+Ecrêtage!C125</f>
        <v>362275.1242133333</v>
      </c>
      <c r="D125" s="604"/>
      <c r="E125" s="610">
        <f>Données!AF125+Données!AG125+Données!AH125</f>
        <v>0</v>
      </c>
      <c r="F125" s="604">
        <f t="shared" si="7"/>
        <v>2898200.9937066664</v>
      </c>
      <c r="G125" s="610">
        <f t="shared" si="8"/>
        <v>0</v>
      </c>
      <c r="H125" s="605">
        <f t="shared" si="9"/>
        <v>0</v>
      </c>
      <c r="I125" s="604"/>
      <c r="J125" s="610">
        <f>Données!AN125</f>
        <v>0</v>
      </c>
      <c r="K125" s="611">
        <f t="shared" si="10"/>
        <v>362275.1242133333</v>
      </c>
      <c r="L125" s="604">
        <f t="shared" si="11"/>
        <v>0</v>
      </c>
      <c r="M125" s="605">
        <f t="shared" si="12"/>
        <v>0</v>
      </c>
      <c r="N125" s="604"/>
      <c r="O125" s="612">
        <f t="shared" si="13"/>
        <v>0</v>
      </c>
      <c r="P125" s="180"/>
      <c r="Q125" s="152"/>
      <c r="R125" s="152"/>
      <c r="S125" s="152"/>
      <c r="T125" s="152"/>
      <c r="U125" s="152"/>
      <c r="AF125" s="10"/>
      <c r="AG125" s="10"/>
      <c r="AH125" s="10"/>
      <c r="AI125" s="10"/>
      <c r="AJ125" s="10"/>
      <c r="AK125" s="10"/>
      <c r="AL125" s="10"/>
    </row>
    <row r="126" spans="1:38" x14ac:dyDescent="0.25">
      <c r="A126" s="37">
        <f>+Données!A126</f>
        <v>5621</v>
      </c>
      <c r="B126" s="167" t="str">
        <f>+Données!B126</f>
        <v>Aclens</v>
      </c>
      <c r="C126" s="610">
        <f>+Ecrêtage!C126</f>
        <v>31275.873303030305</v>
      </c>
      <c r="D126" s="604"/>
      <c r="E126" s="610">
        <f>Données!AF126+Données!AG126+Données!AH126</f>
        <v>380909</v>
      </c>
      <c r="F126" s="604">
        <f t="shared" si="7"/>
        <v>250206.98642424244</v>
      </c>
      <c r="G126" s="610">
        <f t="shared" si="8"/>
        <v>130702.01357575756</v>
      </c>
      <c r="H126" s="605">
        <f t="shared" si="9"/>
        <v>-91013.273150700217</v>
      </c>
      <c r="I126" s="604"/>
      <c r="J126" s="610">
        <f>Données!AN126</f>
        <v>16142</v>
      </c>
      <c r="K126" s="611">
        <f t="shared" si="10"/>
        <v>31275.873303030305</v>
      </c>
      <c r="L126" s="604">
        <f t="shared" si="11"/>
        <v>0</v>
      </c>
      <c r="M126" s="605">
        <f t="shared" si="12"/>
        <v>0</v>
      </c>
      <c r="N126" s="604"/>
      <c r="O126" s="612">
        <f t="shared" si="13"/>
        <v>-91013.273150700217</v>
      </c>
      <c r="P126" s="180"/>
      <c r="Q126" s="152"/>
      <c r="R126" s="152"/>
      <c r="S126" s="152"/>
      <c r="T126" s="152"/>
      <c r="U126" s="152"/>
      <c r="AF126" s="10"/>
      <c r="AG126" s="10"/>
      <c r="AH126" s="10"/>
      <c r="AI126" s="10"/>
      <c r="AJ126" s="10"/>
      <c r="AK126" s="10"/>
      <c r="AL126" s="10"/>
    </row>
    <row r="127" spans="1:38" x14ac:dyDescent="0.25">
      <c r="A127" s="37">
        <f>+Données!A127</f>
        <v>5622</v>
      </c>
      <c r="B127" s="167" t="str">
        <f>+Données!B127</f>
        <v>Bremblens</v>
      </c>
      <c r="C127" s="610">
        <f>+Ecrêtage!C127</f>
        <v>29645.912352941177</v>
      </c>
      <c r="D127" s="604"/>
      <c r="E127" s="610">
        <f>Données!AF127+Données!AG127+Données!AH127</f>
        <v>215669</v>
      </c>
      <c r="F127" s="604">
        <f t="shared" si="7"/>
        <v>237167.29882352942</v>
      </c>
      <c r="G127" s="610">
        <f t="shared" si="8"/>
        <v>0</v>
      </c>
      <c r="H127" s="605">
        <f t="shared" si="9"/>
        <v>0</v>
      </c>
      <c r="I127" s="604"/>
      <c r="J127" s="610">
        <f>Données!AN127</f>
        <v>16952</v>
      </c>
      <c r="K127" s="611">
        <f t="shared" si="10"/>
        <v>29645.912352941177</v>
      </c>
      <c r="L127" s="604">
        <f t="shared" si="11"/>
        <v>0</v>
      </c>
      <c r="M127" s="605">
        <f t="shared" si="12"/>
        <v>0</v>
      </c>
      <c r="N127" s="604"/>
      <c r="O127" s="612">
        <f t="shared" si="13"/>
        <v>0</v>
      </c>
      <c r="P127" s="180"/>
      <c r="Q127" s="152"/>
      <c r="R127" s="152"/>
      <c r="S127" s="152"/>
      <c r="T127" s="152"/>
      <c r="U127" s="152"/>
      <c r="AF127" s="10"/>
      <c r="AG127" s="10"/>
      <c r="AH127" s="10"/>
      <c r="AI127" s="10"/>
      <c r="AJ127" s="10"/>
      <c r="AK127" s="10"/>
      <c r="AL127" s="10"/>
    </row>
    <row r="128" spans="1:38" x14ac:dyDescent="0.25">
      <c r="A128" s="37">
        <f>+Données!A128</f>
        <v>5623</v>
      </c>
      <c r="B128" s="167" t="str">
        <f>+Données!B128</f>
        <v>Buchillon</v>
      </c>
      <c r="C128" s="610">
        <f>+Ecrêtage!C128</f>
        <v>102629.43480769232</v>
      </c>
      <c r="D128" s="604"/>
      <c r="E128" s="610">
        <f>Données!AF128+Données!AG128+Données!AH128</f>
        <v>251579</v>
      </c>
      <c r="F128" s="604">
        <f t="shared" si="7"/>
        <v>821035.47846153856</v>
      </c>
      <c r="G128" s="610">
        <f t="shared" si="8"/>
        <v>0</v>
      </c>
      <c r="H128" s="605">
        <f t="shared" si="9"/>
        <v>0</v>
      </c>
      <c r="I128" s="604"/>
      <c r="J128" s="610">
        <f>Données!AN128</f>
        <v>19587</v>
      </c>
      <c r="K128" s="611">
        <f t="shared" si="10"/>
        <v>102629.43480769232</v>
      </c>
      <c r="L128" s="604">
        <f t="shared" si="11"/>
        <v>0</v>
      </c>
      <c r="M128" s="605">
        <f t="shared" si="12"/>
        <v>0</v>
      </c>
      <c r="N128" s="604"/>
      <c r="O128" s="612">
        <f t="shared" si="13"/>
        <v>0</v>
      </c>
      <c r="P128" s="180"/>
      <c r="Q128" s="152"/>
      <c r="R128" s="152"/>
      <c r="S128" s="152"/>
      <c r="T128" s="152"/>
      <c r="U128" s="152"/>
      <c r="AF128" s="10"/>
      <c r="AG128" s="10"/>
      <c r="AH128" s="10"/>
      <c r="AI128" s="10"/>
      <c r="AJ128" s="10"/>
      <c r="AK128" s="10"/>
      <c r="AL128" s="10"/>
    </row>
    <row r="129" spans="1:38" x14ac:dyDescent="0.25">
      <c r="A129" s="37">
        <f>+Données!A129</f>
        <v>5624</v>
      </c>
      <c r="B129" s="167" t="str">
        <f>+Données!B129</f>
        <v>Bussigny</v>
      </c>
      <c r="C129" s="610">
        <f>+Ecrêtage!C129</f>
        <v>450667.46672000003</v>
      </c>
      <c r="D129" s="604"/>
      <c r="E129" s="610">
        <f>Données!AF129+Données!AG129+Données!AH129</f>
        <v>7246981</v>
      </c>
      <c r="F129" s="604">
        <f t="shared" si="7"/>
        <v>3605339.7337600002</v>
      </c>
      <c r="G129" s="610">
        <f t="shared" si="8"/>
        <v>3641641.2662399998</v>
      </c>
      <c r="H129" s="605">
        <f t="shared" si="9"/>
        <v>-2535826.9717019685</v>
      </c>
      <c r="I129" s="604"/>
      <c r="J129" s="610">
        <f>Données!AN129</f>
        <v>195528</v>
      </c>
      <c r="K129" s="611">
        <f t="shared" si="10"/>
        <v>450667.46672000003</v>
      </c>
      <c r="L129" s="604">
        <f t="shared" si="11"/>
        <v>0</v>
      </c>
      <c r="M129" s="605">
        <f t="shared" si="12"/>
        <v>0</v>
      </c>
      <c r="N129" s="604"/>
      <c r="O129" s="612">
        <f t="shared" si="13"/>
        <v>-2535826.9717019685</v>
      </c>
      <c r="P129" s="180"/>
      <c r="Q129" s="152"/>
      <c r="R129" s="152"/>
      <c r="S129" s="152"/>
      <c r="T129" s="152"/>
      <c r="U129" s="152"/>
      <c r="AF129" s="10"/>
      <c r="AG129" s="10"/>
      <c r="AH129" s="10"/>
      <c r="AI129" s="10"/>
      <c r="AJ129" s="10"/>
      <c r="AK129" s="10"/>
      <c r="AL129" s="10"/>
    </row>
    <row r="130" spans="1:38" x14ac:dyDescent="0.25">
      <c r="A130" s="37">
        <f>+Données!A130</f>
        <v>5627</v>
      </c>
      <c r="B130" s="167" t="str">
        <f>+Données!B130</f>
        <v>Chavannes-près-Renens</v>
      </c>
      <c r="C130" s="610">
        <f>+Ecrêtage!C130</f>
        <v>202046.51840860216</v>
      </c>
      <c r="D130" s="604"/>
      <c r="E130" s="610">
        <f>Données!AF130+Données!AG130+Données!AH130</f>
        <v>5623297</v>
      </c>
      <c r="F130" s="604">
        <f t="shared" si="7"/>
        <v>1616372.1472688173</v>
      </c>
      <c r="G130" s="610">
        <f t="shared" si="8"/>
        <v>4006924.8527311827</v>
      </c>
      <c r="H130" s="605">
        <f t="shared" si="9"/>
        <v>-2790189.1955518681</v>
      </c>
      <c r="I130" s="604"/>
      <c r="J130" s="610">
        <f>Données!AN130</f>
        <v>13016</v>
      </c>
      <c r="K130" s="611">
        <f t="shared" si="10"/>
        <v>202046.51840860216</v>
      </c>
      <c r="L130" s="604">
        <f t="shared" si="11"/>
        <v>0</v>
      </c>
      <c r="M130" s="605">
        <f t="shared" si="12"/>
        <v>0</v>
      </c>
      <c r="N130" s="604"/>
      <c r="O130" s="612">
        <f t="shared" si="13"/>
        <v>-2790189.1955518681</v>
      </c>
      <c r="P130" s="180"/>
      <c r="Q130" s="152"/>
      <c r="R130" s="152"/>
      <c r="S130" s="152"/>
      <c r="T130" s="152"/>
      <c r="U130" s="152"/>
      <c r="AF130" s="10"/>
      <c r="AG130" s="10"/>
      <c r="AH130" s="10"/>
      <c r="AI130" s="10"/>
      <c r="AJ130" s="10"/>
      <c r="AK130" s="10"/>
      <c r="AL130" s="10"/>
    </row>
    <row r="131" spans="1:38" x14ac:dyDescent="0.25">
      <c r="A131" s="37">
        <f>+Données!A131</f>
        <v>5628</v>
      </c>
      <c r="B131" s="167" t="str">
        <f>+Données!B131</f>
        <v>Chigny</v>
      </c>
      <c r="C131" s="610">
        <f>+Ecrêtage!C131</f>
        <v>31766.144193548385</v>
      </c>
      <c r="D131" s="604"/>
      <c r="E131" s="610">
        <f>Données!AF131+Données!AG131+Données!AH131</f>
        <v>130649</v>
      </c>
      <c r="F131" s="604">
        <f t="shared" si="7"/>
        <v>254129.15354838708</v>
      </c>
      <c r="G131" s="610">
        <f t="shared" si="8"/>
        <v>0</v>
      </c>
      <c r="H131" s="605">
        <f t="shared" si="9"/>
        <v>0</v>
      </c>
      <c r="I131" s="604"/>
      <c r="J131" s="610">
        <f>Données!AN131</f>
        <v>2959</v>
      </c>
      <c r="K131" s="611">
        <f t="shared" si="10"/>
        <v>31766.144193548385</v>
      </c>
      <c r="L131" s="604">
        <f t="shared" si="11"/>
        <v>0</v>
      </c>
      <c r="M131" s="605">
        <f t="shared" si="12"/>
        <v>0</v>
      </c>
      <c r="N131" s="604"/>
      <c r="O131" s="612">
        <f t="shared" si="13"/>
        <v>0</v>
      </c>
      <c r="P131" s="180"/>
      <c r="Q131" s="152"/>
      <c r="R131" s="152"/>
      <c r="S131" s="152"/>
      <c r="T131" s="152"/>
      <c r="U131" s="152"/>
      <c r="AF131" s="10"/>
      <c r="AG131" s="10"/>
      <c r="AH131" s="10"/>
      <c r="AI131" s="10"/>
      <c r="AJ131" s="10"/>
      <c r="AK131" s="10"/>
      <c r="AL131" s="10"/>
    </row>
    <row r="132" spans="1:38" x14ac:dyDescent="0.25">
      <c r="A132" s="37">
        <f>+Données!A132</f>
        <v>5629</v>
      </c>
      <c r="B132" s="167" t="str">
        <f>+Données!B132</f>
        <v>Clarmont</v>
      </c>
      <c r="C132" s="610">
        <f>+Ecrêtage!C132</f>
        <v>8028.6466666666693</v>
      </c>
      <c r="D132" s="604"/>
      <c r="E132" s="610">
        <f>Données!AF132+Données!AG132+Données!AH132</f>
        <v>157948</v>
      </c>
      <c r="F132" s="604">
        <f t="shared" si="7"/>
        <v>64229.173333333354</v>
      </c>
      <c r="G132" s="610">
        <f t="shared" si="8"/>
        <v>93718.826666666646</v>
      </c>
      <c r="H132" s="605">
        <f t="shared" si="9"/>
        <v>-65260.334844286808</v>
      </c>
      <c r="I132" s="604"/>
      <c r="J132" s="610">
        <f>Données!AN132</f>
        <v>640</v>
      </c>
      <c r="K132" s="611">
        <f t="shared" si="10"/>
        <v>8028.6466666666693</v>
      </c>
      <c r="L132" s="604">
        <f t="shared" si="11"/>
        <v>0</v>
      </c>
      <c r="M132" s="605">
        <f t="shared" si="12"/>
        <v>0</v>
      </c>
      <c r="N132" s="604"/>
      <c r="O132" s="612">
        <f t="shared" si="13"/>
        <v>-65260.334844286808</v>
      </c>
      <c r="P132" s="180"/>
      <c r="Q132" s="152"/>
      <c r="R132" s="152"/>
      <c r="S132" s="152"/>
      <c r="T132" s="152"/>
      <c r="U132" s="152"/>
      <c r="AF132" s="10"/>
      <c r="AG132" s="10"/>
      <c r="AH132" s="10"/>
      <c r="AI132" s="10"/>
      <c r="AJ132" s="10"/>
      <c r="AK132" s="10"/>
      <c r="AL132" s="10"/>
    </row>
    <row r="133" spans="1:38" x14ac:dyDescent="0.25">
      <c r="A133" s="37">
        <f>+Données!A133</f>
        <v>5631</v>
      </c>
      <c r="B133" s="167" t="str">
        <f>+Données!B133</f>
        <v>Denens</v>
      </c>
      <c r="C133" s="610">
        <f>+Ecrêtage!C133</f>
        <v>46857.544615384613</v>
      </c>
      <c r="D133" s="604"/>
      <c r="E133" s="610">
        <f>Données!AF133+Données!AG133+Données!AH133</f>
        <v>0</v>
      </c>
      <c r="F133" s="604">
        <f t="shared" si="7"/>
        <v>374860.35692307691</v>
      </c>
      <c r="G133" s="610">
        <f t="shared" si="8"/>
        <v>0</v>
      </c>
      <c r="H133" s="605">
        <f t="shared" si="9"/>
        <v>0</v>
      </c>
      <c r="I133" s="604"/>
      <c r="J133" s="610">
        <f>Données!AN133</f>
        <v>0</v>
      </c>
      <c r="K133" s="611">
        <f t="shared" si="10"/>
        <v>46857.544615384613</v>
      </c>
      <c r="L133" s="604">
        <f t="shared" si="11"/>
        <v>0</v>
      </c>
      <c r="M133" s="605">
        <f t="shared" si="12"/>
        <v>0</v>
      </c>
      <c r="N133" s="604"/>
      <c r="O133" s="612">
        <f t="shared" si="13"/>
        <v>0</v>
      </c>
      <c r="P133" s="180"/>
      <c r="Q133" s="152"/>
      <c r="R133" s="152"/>
      <c r="S133" s="152"/>
      <c r="T133" s="152"/>
      <c r="U133" s="152"/>
      <c r="AF133" s="10"/>
      <c r="AG133" s="10"/>
      <c r="AH133" s="10"/>
      <c r="AI133" s="10"/>
      <c r="AJ133" s="10"/>
      <c r="AK133" s="10"/>
      <c r="AL133" s="10"/>
    </row>
    <row r="134" spans="1:38" x14ac:dyDescent="0.25">
      <c r="A134" s="37">
        <f>+Données!A134</f>
        <v>5632</v>
      </c>
      <c r="B134" s="167" t="str">
        <f>+Données!B134</f>
        <v>Denges</v>
      </c>
      <c r="C134" s="610">
        <f>+Ecrêtage!C134</f>
        <v>84931.199193548397</v>
      </c>
      <c r="D134" s="604"/>
      <c r="E134" s="610">
        <f>Données!AF134+Données!AG134+Données!AH134</f>
        <v>811889</v>
      </c>
      <c r="F134" s="604">
        <f t="shared" si="7"/>
        <v>679449.59354838717</v>
      </c>
      <c r="G134" s="610">
        <f t="shared" si="8"/>
        <v>132439.40645161283</v>
      </c>
      <c r="H134" s="605">
        <f t="shared" si="9"/>
        <v>-92223.092403321309</v>
      </c>
      <c r="I134" s="604"/>
      <c r="J134" s="610">
        <f>Données!AN134</f>
        <v>4544</v>
      </c>
      <c r="K134" s="611">
        <f t="shared" si="10"/>
        <v>84931.199193548397</v>
      </c>
      <c r="L134" s="604">
        <f t="shared" si="11"/>
        <v>0</v>
      </c>
      <c r="M134" s="605">
        <f t="shared" si="12"/>
        <v>0</v>
      </c>
      <c r="N134" s="604"/>
      <c r="O134" s="612">
        <f t="shared" si="13"/>
        <v>-92223.092403321309</v>
      </c>
      <c r="P134" s="180"/>
      <c r="Q134" s="152"/>
      <c r="R134" s="152"/>
      <c r="S134" s="152"/>
      <c r="T134" s="152"/>
      <c r="U134" s="152"/>
      <c r="AF134" s="10"/>
      <c r="AG134" s="10"/>
      <c r="AH134" s="10"/>
      <c r="AI134" s="10"/>
      <c r="AJ134" s="10"/>
      <c r="AK134" s="10"/>
      <c r="AL134" s="10"/>
    </row>
    <row r="135" spans="1:38" x14ac:dyDescent="0.25">
      <c r="A135" s="37">
        <f>+Données!A135</f>
        <v>5633</v>
      </c>
      <c r="B135" s="167" t="str">
        <f>+Données!B135</f>
        <v>Echandens</v>
      </c>
      <c r="C135" s="610">
        <f>+Ecrêtage!C135</f>
        <v>152816.5752066116</v>
      </c>
      <c r="D135" s="604"/>
      <c r="E135" s="610">
        <f>Données!AF135+Données!AG135+Données!AH135</f>
        <v>2381532</v>
      </c>
      <c r="F135" s="604">
        <f t="shared" ref="F135:F198" si="14">+C135*$G$5</f>
        <v>1222532.6016528928</v>
      </c>
      <c r="G135" s="610">
        <f t="shared" ref="G135:G198" si="15">IF(E135&gt;F135,E135-F135,0)</f>
        <v>1158999.3983471072</v>
      </c>
      <c r="H135" s="605">
        <f t="shared" ref="H135:H198" si="16">-G135*H$5</f>
        <v>-807059.70732517901</v>
      </c>
      <c r="I135" s="604"/>
      <c r="J135" s="610">
        <f>Données!AN135</f>
        <v>32265</v>
      </c>
      <c r="K135" s="611">
        <f t="shared" ref="K135:K198" si="17">C135*L$5</f>
        <v>152816.5752066116</v>
      </c>
      <c r="L135" s="604">
        <f t="shared" ref="L135:L198" si="18">IF(J135&gt;K135,J135-K135,0)</f>
        <v>0</v>
      </c>
      <c r="M135" s="605">
        <f t="shared" ref="M135:M198" si="19">-L135*M$5</f>
        <v>0</v>
      </c>
      <c r="N135" s="604"/>
      <c r="O135" s="612">
        <f t="shared" ref="O135:O198" si="20">M135+H135</f>
        <v>-807059.70732517901</v>
      </c>
      <c r="P135" s="180"/>
      <c r="Q135" s="152"/>
      <c r="R135" s="152"/>
      <c r="S135" s="152"/>
      <c r="T135" s="152"/>
      <c r="U135" s="152"/>
      <c r="AF135" s="10"/>
      <c r="AG135" s="10"/>
      <c r="AH135" s="10"/>
      <c r="AI135" s="10"/>
      <c r="AJ135" s="10"/>
      <c r="AK135" s="10"/>
      <c r="AL135" s="10"/>
    </row>
    <row r="136" spans="1:38" x14ac:dyDescent="0.25">
      <c r="A136" s="37">
        <f>+Données!A136</f>
        <v>5634</v>
      </c>
      <c r="B136" s="167" t="str">
        <f>+Données!B136</f>
        <v>Echichens</v>
      </c>
      <c r="C136" s="610">
        <f>+Ecrêtage!C136</f>
        <v>172315.76318181818</v>
      </c>
      <c r="D136" s="604"/>
      <c r="E136" s="610">
        <f>Données!AF136+Données!AG136+Données!AH136</f>
        <v>1626504</v>
      </c>
      <c r="F136" s="604">
        <f t="shared" si="14"/>
        <v>1378526.1054545455</v>
      </c>
      <c r="G136" s="610">
        <f t="shared" si="15"/>
        <v>247977.89454545453</v>
      </c>
      <c r="H136" s="605">
        <f t="shared" si="16"/>
        <v>-172677.36918620131</v>
      </c>
      <c r="I136" s="604"/>
      <c r="J136" s="610">
        <f>Données!AN136</f>
        <v>32630</v>
      </c>
      <c r="K136" s="611">
        <f t="shared" si="17"/>
        <v>172315.76318181818</v>
      </c>
      <c r="L136" s="604">
        <f t="shared" si="18"/>
        <v>0</v>
      </c>
      <c r="M136" s="605">
        <f t="shared" si="19"/>
        <v>0</v>
      </c>
      <c r="N136" s="604"/>
      <c r="O136" s="612">
        <f t="shared" si="20"/>
        <v>-172677.36918620131</v>
      </c>
      <c r="P136" s="180"/>
      <c r="Q136" s="152"/>
      <c r="R136" s="152"/>
      <c r="S136" s="152"/>
      <c r="T136" s="152"/>
      <c r="U136" s="152"/>
      <c r="AF136" s="10"/>
      <c r="AG136" s="10"/>
      <c r="AH136" s="10"/>
      <c r="AI136" s="10"/>
      <c r="AJ136" s="10"/>
      <c r="AK136" s="10"/>
      <c r="AL136" s="10"/>
    </row>
    <row r="137" spans="1:38" x14ac:dyDescent="0.25">
      <c r="A137" s="37">
        <f>+Données!A137</f>
        <v>5635</v>
      </c>
      <c r="B137" s="167" t="str">
        <f>+Données!B137</f>
        <v>Ecublens</v>
      </c>
      <c r="C137" s="610">
        <f>+Ecrêtage!C137</f>
        <v>544882.47829333332</v>
      </c>
      <c r="D137" s="604"/>
      <c r="E137" s="610">
        <f>Données!AF137+Données!AG137+Données!AH137</f>
        <v>10099028</v>
      </c>
      <c r="F137" s="604">
        <f t="shared" si="14"/>
        <v>4359059.8263466666</v>
      </c>
      <c r="G137" s="610">
        <f t="shared" si="15"/>
        <v>5739968.1736533334</v>
      </c>
      <c r="H137" s="605">
        <f t="shared" si="16"/>
        <v>-3996979.6713363961</v>
      </c>
      <c r="I137" s="604"/>
      <c r="J137" s="610">
        <f>Données!AN137</f>
        <v>93712</v>
      </c>
      <c r="K137" s="611">
        <f t="shared" si="17"/>
        <v>544882.47829333332</v>
      </c>
      <c r="L137" s="604">
        <f t="shared" si="18"/>
        <v>0</v>
      </c>
      <c r="M137" s="605">
        <f t="shared" si="19"/>
        <v>0</v>
      </c>
      <c r="N137" s="604"/>
      <c r="O137" s="612">
        <f t="shared" si="20"/>
        <v>-3996979.6713363961</v>
      </c>
      <c r="P137" s="180"/>
      <c r="Q137" s="152"/>
      <c r="R137" s="152"/>
      <c r="S137" s="152"/>
      <c r="T137" s="152"/>
      <c r="U137" s="152"/>
      <c r="AF137" s="10"/>
      <c r="AG137" s="10"/>
      <c r="AH137" s="10"/>
      <c r="AI137" s="10"/>
      <c r="AJ137" s="10"/>
      <c r="AK137" s="10"/>
      <c r="AL137" s="10"/>
    </row>
    <row r="138" spans="1:38" x14ac:dyDescent="0.25">
      <c r="A138" s="37">
        <f>+Données!A138</f>
        <v>5636</v>
      </c>
      <c r="B138" s="167" t="str">
        <f>+Données!B138</f>
        <v>Etoy</v>
      </c>
      <c r="C138" s="610">
        <f>+Ecrêtage!C138</f>
        <v>214499.46883333332</v>
      </c>
      <c r="D138" s="604"/>
      <c r="E138" s="610">
        <f>Données!AF138+Données!AG138+Données!AH138</f>
        <v>1135204</v>
      </c>
      <c r="F138" s="604">
        <f t="shared" si="14"/>
        <v>1715995.7506666665</v>
      </c>
      <c r="G138" s="610">
        <f t="shared" si="15"/>
        <v>0</v>
      </c>
      <c r="H138" s="605">
        <f t="shared" si="16"/>
        <v>0</v>
      </c>
      <c r="I138" s="604"/>
      <c r="J138" s="610">
        <f>Données!AN138</f>
        <v>24092</v>
      </c>
      <c r="K138" s="611">
        <f t="shared" si="17"/>
        <v>214499.46883333332</v>
      </c>
      <c r="L138" s="604">
        <f t="shared" si="18"/>
        <v>0</v>
      </c>
      <c r="M138" s="605">
        <f t="shared" si="19"/>
        <v>0</v>
      </c>
      <c r="N138" s="604"/>
      <c r="O138" s="612">
        <f t="shared" si="20"/>
        <v>0</v>
      </c>
      <c r="P138" s="180"/>
      <c r="Q138" s="152"/>
      <c r="R138" s="152"/>
      <c r="S138" s="152"/>
      <c r="T138" s="152"/>
      <c r="U138" s="152"/>
      <c r="AF138" s="10"/>
      <c r="AG138" s="10"/>
      <c r="AH138" s="10"/>
      <c r="AI138" s="10"/>
      <c r="AJ138" s="10"/>
      <c r="AK138" s="10"/>
      <c r="AL138" s="10"/>
    </row>
    <row r="139" spans="1:38" x14ac:dyDescent="0.25">
      <c r="A139" s="37">
        <f>+Données!A139</f>
        <v>5637</v>
      </c>
      <c r="B139" s="167" t="str">
        <f>+Données!B139</f>
        <v>Lavigny</v>
      </c>
      <c r="C139" s="610">
        <f>+Ecrêtage!C139</f>
        <v>37437.327945205478</v>
      </c>
      <c r="D139" s="604"/>
      <c r="E139" s="610">
        <f>Données!AF139+Données!AG139+Données!AH139</f>
        <v>2760107</v>
      </c>
      <c r="F139" s="604">
        <f t="shared" si="14"/>
        <v>299498.62356164382</v>
      </c>
      <c r="G139" s="610">
        <f t="shared" si="15"/>
        <v>2460608.376438356</v>
      </c>
      <c r="H139" s="605">
        <f t="shared" si="16"/>
        <v>-1713424.4236557244</v>
      </c>
      <c r="I139" s="604"/>
      <c r="J139" s="610">
        <f>Données!AN139</f>
        <v>-2766</v>
      </c>
      <c r="K139" s="611">
        <f t="shared" si="17"/>
        <v>37437.327945205478</v>
      </c>
      <c r="L139" s="604">
        <f t="shared" si="18"/>
        <v>0</v>
      </c>
      <c r="M139" s="605">
        <f t="shared" si="19"/>
        <v>0</v>
      </c>
      <c r="N139" s="604"/>
      <c r="O139" s="612">
        <f t="shared" si="20"/>
        <v>-1713424.4236557244</v>
      </c>
      <c r="P139" s="180"/>
      <c r="Q139" s="152"/>
      <c r="R139" s="152"/>
      <c r="S139" s="152"/>
      <c r="T139" s="152"/>
      <c r="U139" s="152"/>
      <c r="AF139" s="10"/>
      <c r="AG139" s="10"/>
      <c r="AH139" s="10"/>
      <c r="AI139" s="10"/>
      <c r="AJ139" s="10"/>
      <c r="AK139" s="10"/>
      <c r="AL139" s="10"/>
    </row>
    <row r="140" spans="1:38" x14ac:dyDescent="0.25">
      <c r="A140" s="37">
        <f>+Données!A140</f>
        <v>5638</v>
      </c>
      <c r="B140" s="167" t="str">
        <f>+Données!B140</f>
        <v>Lonay</v>
      </c>
      <c r="C140" s="610">
        <f>+Ecrêtage!C140</f>
        <v>156370.75327272728</v>
      </c>
      <c r="D140" s="604"/>
      <c r="E140" s="610">
        <f>Données!AF140+Données!AG140+Données!AH140</f>
        <v>1909066</v>
      </c>
      <c r="F140" s="604">
        <f t="shared" si="14"/>
        <v>1250966.0261818182</v>
      </c>
      <c r="G140" s="610">
        <f t="shared" si="15"/>
        <v>658099.97381818178</v>
      </c>
      <c r="H140" s="605">
        <f t="shared" si="16"/>
        <v>-458262.50903828646</v>
      </c>
      <c r="I140" s="604"/>
      <c r="J140" s="610">
        <f>Données!AN140</f>
        <v>39330</v>
      </c>
      <c r="K140" s="611">
        <f t="shared" si="17"/>
        <v>156370.75327272728</v>
      </c>
      <c r="L140" s="604">
        <f t="shared" si="18"/>
        <v>0</v>
      </c>
      <c r="M140" s="605">
        <f t="shared" si="19"/>
        <v>0</v>
      </c>
      <c r="N140" s="604"/>
      <c r="O140" s="612">
        <f t="shared" si="20"/>
        <v>-458262.50903828646</v>
      </c>
      <c r="P140" s="180"/>
      <c r="Q140" s="152"/>
      <c r="R140" s="152"/>
      <c r="S140" s="152"/>
      <c r="T140" s="152"/>
      <c r="U140" s="152"/>
      <c r="AF140" s="10"/>
      <c r="AG140" s="10"/>
      <c r="AH140" s="10"/>
      <c r="AI140" s="10"/>
      <c r="AJ140" s="10"/>
      <c r="AK140" s="10"/>
      <c r="AL140" s="10"/>
    </row>
    <row r="141" spans="1:38" x14ac:dyDescent="0.25">
      <c r="A141" s="37">
        <f>+Données!A141</f>
        <v>5639</v>
      </c>
      <c r="B141" s="167" t="str">
        <f>+Données!B141</f>
        <v>Lully</v>
      </c>
      <c r="C141" s="610">
        <f>+Ecrêtage!C141</f>
        <v>55829.926885245906</v>
      </c>
      <c r="D141" s="604"/>
      <c r="E141" s="610">
        <f>Données!AF141+Données!AG141+Données!AH141</f>
        <v>0</v>
      </c>
      <c r="F141" s="604">
        <f t="shared" si="14"/>
        <v>446639.41508196725</v>
      </c>
      <c r="G141" s="610">
        <f t="shared" si="15"/>
        <v>0</v>
      </c>
      <c r="H141" s="605">
        <f t="shared" si="16"/>
        <v>0</v>
      </c>
      <c r="I141" s="604"/>
      <c r="J141" s="610">
        <f>Données!AN141</f>
        <v>0</v>
      </c>
      <c r="K141" s="611">
        <f t="shared" si="17"/>
        <v>55829.926885245906</v>
      </c>
      <c r="L141" s="604">
        <f t="shared" si="18"/>
        <v>0</v>
      </c>
      <c r="M141" s="605">
        <f t="shared" si="19"/>
        <v>0</v>
      </c>
      <c r="N141" s="604"/>
      <c r="O141" s="612">
        <f t="shared" si="20"/>
        <v>0</v>
      </c>
      <c r="P141" s="180"/>
      <c r="Q141" s="152"/>
      <c r="R141" s="152"/>
      <c r="S141" s="152"/>
      <c r="T141" s="152"/>
      <c r="U141" s="152"/>
      <c r="AF141" s="10"/>
      <c r="AG141" s="10"/>
      <c r="AH141" s="10"/>
      <c r="AI141" s="10"/>
      <c r="AJ141" s="10"/>
      <c r="AK141" s="10"/>
      <c r="AL141" s="10"/>
    </row>
    <row r="142" spans="1:38" x14ac:dyDescent="0.25">
      <c r="A142" s="37">
        <f>+Données!A142</f>
        <v>5640</v>
      </c>
      <c r="B142" s="167" t="str">
        <f>+Données!B142</f>
        <v>Lussy-sur-Morges</v>
      </c>
      <c r="C142" s="610">
        <f>+Ecrêtage!C142</f>
        <v>63303.13934959349</v>
      </c>
      <c r="D142" s="604"/>
      <c r="E142" s="610">
        <f>Données!AF142+Données!AG142+Données!AH142</f>
        <v>394143</v>
      </c>
      <c r="F142" s="604">
        <f t="shared" si="14"/>
        <v>506425.11479674792</v>
      </c>
      <c r="G142" s="610">
        <f t="shared" si="15"/>
        <v>0</v>
      </c>
      <c r="H142" s="605">
        <f t="shared" si="16"/>
        <v>0</v>
      </c>
      <c r="I142" s="604"/>
      <c r="J142" s="610">
        <f>Données!AN142</f>
        <v>7362</v>
      </c>
      <c r="K142" s="611">
        <f t="shared" si="17"/>
        <v>63303.13934959349</v>
      </c>
      <c r="L142" s="604">
        <f t="shared" si="18"/>
        <v>0</v>
      </c>
      <c r="M142" s="605">
        <f t="shared" si="19"/>
        <v>0</v>
      </c>
      <c r="N142" s="604"/>
      <c r="O142" s="612">
        <f t="shared" si="20"/>
        <v>0</v>
      </c>
      <c r="P142" s="180"/>
      <c r="Q142" s="152"/>
      <c r="R142" s="152"/>
      <c r="S142" s="152"/>
      <c r="T142" s="152"/>
      <c r="U142" s="152"/>
      <c r="AF142" s="10"/>
      <c r="AG142" s="10"/>
      <c r="AH142" s="10"/>
      <c r="AI142" s="10"/>
      <c r="AJ142" s="10"/>
      <c r="AK142" s="10"/>
      <c r="AL142" s="10"/>
    </row>
    <row r="143" spans="1:38" x14ac:dyDescent="0.25">
      <c r="A143" s="37">
        <f>+Données!A143</f>
        <v>5642</v>
      </c>
      <c r="B143" s="167" t="str">
        <f>+Données!B143</f>
        <v>Morges</v>
      </c>
      <c r="C143" s="610">
        <f>+Ecrêtage!C143</f>
        <v>1061989.5101492535</v>
      </c>
      <c r="D143" s="604"/>
      <c r="E143" s="610">
        <f>Données!AF143+Données!AG143+Données!AH143</f>
        <v>11187769</v>
      </c>
      <c r="F143" s="604">
        <f t="shared" si="14"/>
        <v>8495916.0811940283</v>
      </c>
      <c r="G143" s="610">
        <f t="shared" si="15"/>
        <v>2691852.9188059717</v>
      </c>
      <c r="H143" s="605">
        <f t="shared" si="16"/>
        <v>-1874449.6605539578</v>
      </c>
      <c r="I143" s="604"/>
      <c r="J143" s="610">
        <f>Données!AN143</f>
        <v>43796</v>
      </c>
      <c r="K143" s="611">
        <f t="shared" si="17"/>
        <v>1061989.5101492535</v>
      </c>
      <c r="L143" s="604">
        <f t="shared" si="18"/>
        <v>0</v>
      </c>
      <c r="M143" s="605">
        <f t="shared" si="19"/>
        <v>0</v>
      </c>
      <c r="N143" s="604"/>
      <c r="O143" s="612">
        <f t="shared" si="20"/>
        <v>-1874449.6605539578</v>
      </c>
      <c r="P143" s="180"/>
      <c r="Q143" s="152"/>
      <c r="R143" s="152"/>
      <c r="S143" s="152"/>
      <c r="T143" s="152"/>
      <c r="U143" s="152"/>
      <c r="AF143" s="10"/>
      <c r="AG143" s="10"/>
      <c r="AH143" s="10"/>
      <c r="AI143" s="10"/>
      <c r="AJ143" s="10"/>
      <c r="AK143" s="10"/>
      <c r="AL143" s="10"/>
    </row>
    <row r="144" spans="1:38" x14ac:dyDescent="0.25">
      <c r="A144" s="37">
        <f>+Données!A144</f>
        <v>5643</v>
      </c>
      <c r="B144" s="167" t="str">
        <f>+Données!B144</f>
        <v>Préverenges</v>
      </c>
      <c r="C144" s="610">
        <f>+Ecrêtage!C144</f>
        <v>254683.39384615389</v>
      </c>
      <c r="D144" s="604"/>
      <c r="E144" s="610">
        <f>Données!AF144+Données!AG144+Données!AH144</f>
        <v>1615927</v>
      </c>
      <c r="F144" s="604">
        <f t="shared" si="14"/>
        <v>2037467.1507692311</v>
      </c>
      <c r="G144" s="610">
        <f t="shared" si="15"/>
        <v>0</v>
      </c>
      <c r="H144" s="605">
        <f t="shared" si="16"/>
        <v>0</v>
      </c>
      <c r="I144" s="604"/>
      <c r="J144" s="610">
        <f>Données!AN144</f>
        <v>8416</v>
      </c>
      <c r="K144" s="611">
        <f t="shared" si="17"/>
        <v>254683.39384615389</v>
      </c>
      <c r="L144" s="604">
        <f t="shared" si="18"/>
        <v>0</v>
      </c>
      <c r="M144" s="605">
        <f t="shared" si="19"/>
        <v>0</v>
      </c>
      <c r="N144" s="604"/>
      <c r="O144" s="612">
        <f t="shared" si="20"/>
        <v>0</v>
      </c>
      <c r="P144" s="180"/>
      <c r="Q144" s="152"/>
      <c r="R144" s="152"/>
      <c r="S144" s="152"/>
      <c r="T144" s="152"/>
      <c r="U144" s="152"/>
      <c r="AF144" s="10"/>
      <c r="AG144" s="10"/>
      <c r="AH144" s="10"/>
      <c r="AI144" s="10"/>
      <c r="AJ144" s="10"/>
      <c r="AK144" s="10"/>
      <c r="AL144" s="10"/>
    </row>
    <row r="145" spans="1:38" x14ac:dyDescent="0.25">
      <c r="A145" s="37">
        <f>+Données!A145</f>
        <v>5645</v>
      </c>
      <c r="B145" s="167" t="str">
        <f>+Données!B145</f>
        <v>Romanel-sur-Morges</v>
      </c>
      <c r="C145" s="610">
        <f>+Ecrêtage!C145</f>
        <v>28308.714642857147</v>
      </c>
      <c r="D145" s="604"/>
      <c r="E145" s="610">
        <f>Données!AF145+Données!AG145+Données!AH145</f>
        <v>158821</v>
      </c>
      <c r="F145" s="604">
        <f t="shared" si="14"/>
        <v>226469.71714285717</v>
      </c>
      <c r="G145" s="610">
        <f t="shared" si="15"/>
        <v>0</v>
      </c>
      <c r="H145" s="605">
        <f t="shared" si="16"/>
        <v>0</v>
      </c>
      <c r="I145" s="604"/>
      <c r="J145" s="610">
        <f>Données!AN145</f>
        <v>5991</v>
      </c>
      <c r="K145" s="611">
        <f t="shared" si="17"/>
        <v>28308.714642857147</v>
      </c>
      <c r="L145" s="604">
        <f t="shared" si="18"/>
        <v>0</v>
      </c>
      <c r="M145" s="605">
        <f t="shared" si="19"/>
        <v>0</v>
      </c>
      <c r="N145" s="604"/>
      <c r="O145" s="612">
        <f t="shared" si="20"/>
        <v>0</v>
      </c>
      <c r="P145" s="180"/>
      <c r="Q145" s="152"/>
      <c r="R145" s="152"/>
      <c r="S145" s="152"/>
      <c r="T145" s="152"/>
      <c r="U145" s="152"/>
      <c r="AF145" s="10"/>
      <c r="AG145" s="10"/>
      <c r="AH145" s="10"/>
      <c r="AI145" s="10"/>
      <c r="AJ145" s="10"/>
      <c r="AK145" s="10"/>
      <c r="AL145" s="10"/>
    </row>
    <row r="146" spans="1:38" x14ac:dyDescent="0.25">
      <c r="A146" s="37">
        <f>+Données!A146</f>
        <v>5646</v>
      </c>
      <c r="B146" s="167" t="str">
        <f>+Données!B146</f>
        <v>Saint-Prex</v>
      </c>
      <c r="C146" s="610">
        <f>+Ecrêtage!C146</f>
        <v>465798.68426553684</v>
      </c>
      <c r="D146" s="604"/>
      <c r="E146" s="610">
        <f>Données!AF146+Données!AG146+Données!AH146</f>
        <v>0</v>
      </c>
      <c r="F146" s="604">
        <f t="shared" si="14"/>
        <v>3726389.4741242947</v>
      </c>
      <c r="G146" s="610">
        <f t="shared" si="15"/>
        <v>0</v>
      </c>
      <c r="H146" s="605">
        <f t="shared" si="16"/>
        <v>0</v>
      </c>
      <c r="I146" s="604"/>
      <c r="J146" s="610">
        <f>Données!AN146</f>
        <v>0</v>
      </c>
      <c r="K146" s="611">
        <f t="shared" si="17"/>
        <v>465798.68426553684</v>
      </c>
      <c r="L146" s="604">
        <f t="shared" si="18"/>
        <v>0</v>
      </c>
      <c r="M146" s="605">
        <f t="shared" si="19"/>
        <v>0</v>
      </c>
      <c r="N146" s="604"/>
      <c r="O146" s="612">
        <f t="shared" si="20"/>
        <v>0</v>
      </c>
      <c r="P146" s="180"/>
      <c r="Q146" s="152"/>
      <c r="R146" s="152"/>
      <c r="S146" s="152"/>
      <c r="T146" s="152"/>
      <c r="U146" s="152"/>
      <c r="AF146" s="10"/>
      <c r="AG146" s="10"/>
      <c r="AH146" s="10"/>
      <c r="AI146" s="10"/>
      <c r="AJ146" s="10"/>
      <c r="AK146" s="10"/>
      <c r="AL146" s="10"/>
    </row>
    <row r="147" spans="1:38" x14ac:dyDescent="0.25">
      <c r="A147" s="37">
        <f>+Données!A147</f>
        <v>5648</v>
      </c>
      <c r="B147" s="167" t="str">
        <f>+Données!B147</f>
        <v>Saint-Sulpice</v>
      </c>
      <c r="C147" s="610">
        <f>+Ecrêtage!C147</f>
        <v>424880.94159090909</v>
      </c>
      <c r="D147" s="604"/>
      <c r="E147" s="610">
        <f>Données!AF147+Données!AG147+Données!AH147</f>
        <v>3326450</v>
      </c>
      <c r="F147" s="604">
        <f t="shared" si="14"/>
        <v>3399047.5327272727</v>
      </c>
      <c r="G147" s="610">
        <f t="shared" si="15"/>
        <v>0</v>
      </c>
      <c r="H147" s="605">
        <f t="shared" si="16"/>
        <v>0</v>
      </c>
      <c r="I147" s="604"/>
      <c r="J147" s="610">
        <f>Données!AN147</f>
        <v>44137</v>
      </c>
      <c r="K147" s="611">
        <f t="shared" si="17"/>
        <v>424880.94159090909</v>
      </c>
      <c r="L147" s="604">
        <f t="shared" si="18"/>
        <v>0</v>
      </c>
      <c r="M147" s="605">
        <f t="shared" si="19"/>
        <v>0</v>
      </c>
      <c r="N147" s="604"/>
      <c r="O147" s="612">
        <f t="shared" si="20"/>
        <v>0</v>
      </c>
      <c r="P147" s="180"/>
      <c r="Q147" s="152"/>
      <c r="R147" s="152"/>
      <c r="S147" s="152"/>
      <c r="T147" s="152"/>
      <c r="U147" s="152"/>
      <c r="AF147" s="10"/>
      <c r="AG147" s="10"/>
      <c r="AH147" s="10"/>
      <c r="AI147" s="10"/>
      <c r="AJ147" s="10"/>
      <c r="AK147" s="10"/>
      <c r="AL147" s="10"/>
    </row>
    <row r="148" spans="1:38" x14ac:dyDescent="0.25">
      <c r="A148" s="37">
        <f>+Données!A148</f>
        <v>5649</v>
      </c>
      <c r="B148" s="167" t="str">
        <f>+Données!B148</f>
        <v>Tolochenaz</v>
      </c>
      <c r="C148" s="610">
        <f>+Ecrêtage!C148</f>
        <v>431976.43718750001</v>
      </c>
      <c r="D148" s="604"/>
      <c r="E148" s="610">
        <f>Données!AF148+Données!AG148+Données!AH148</f>
        <v>0</v>
      </c>
      <c r="F148" s="604">
        <f t="shared" si="14"/>
        <v>3455811.4975000001</v>
      </c>
      <c r="G148" s="610">
        <f t="shared" si="15"/>
        <v>0</v>
      </c>
      <c r="H148" s="605">
        <f t="shared" si="16"/>
        <v>0</v>
      </c>
      <c r="I148" s="604"/>
      <c r="J148" s="610">
        <f>Données!AN148</f>
        <v>0</v>
      </c>
      <c r="K148" s="611">
        <f t="shared" si="17"/>
        <v>431976.43718750001</v>
      </c>
      <c r="L148" s="604">
        <f t="shared" si="18"/>
        <v>0</v>
      </c>
      <c r="M148" s="605">
        <f t="shared" si="19"/>
        <v>0</v>
      </c>
      <c r="N148" s="604"/>
      <c r="O148" s="612">
        <f t="shared" si="20"/>
        <v>0</v>
      </c>
      <c r="P148" s="180"/>
      <c r="Q148" s="152"/>
      <c r="R148" s="152"/>
      <c r="S148" s="152"/>
      <c r="T148" s="152"/>
      <c r="U148" s="152"/>
      <c r="AF148" s="10"/>
      <c r="AG148" s="10"/>
      <c r="AH148" s="10"/>
      <c r="AI148" s="10"/>
      <c r="AJ148" s="10"/>
      <c r="AK148" s="10"/>
      <c r="AL148" s="10"/>
    </row>
    <row r="149" spans="1:38" x14ac:dyDescent="0.25">
      <c r="A149" s="37">
        <f>+Données!A149</f>
        <v>5650</v>
      </c>
      <c r="B149" s="167" t="str">
        <f>+Données!B149</f>
        <v>Vaux-sur-Morges</v>
      </c>
      <c r="C149" s="610">
        <f>+Ecrêtage!C149</f>
        <v>116547.05321428573</v>
      </c>
      <c r="D149" s="604"/>
      <c r="E149" s="610">
        <f>Données!AF149+Données!AG149+Données!AH149</f>
        <v>0</v>
      </c>
      <c r="F149" s="604">
        <f t="shared" si="14"/>
        <v>932376.42571428581</v>
      </c>
      <c r="G149" s="610">
        <f t="shared" si="15"/>
        <v>0</v>
      </c>
      <c r="H149" s="605">
        <f t="shared" si="16"/>
        <v>0</v>
      </c>
      <c r="I149" s="604"/>
      <c r="J149" s="610">
        <f>Données!AN149</f>
        <v>0</v>
      </c>
      <c r="K149" s="611">
        <f t="shared" si="17"/>
        <v>116547.05321428573</v>
      </c>
      <c r="L149" s="604">
        <f t="shared" si="18"/>
        <v>0</v>
      </c>
      <c r="M149" s="605">
        <f t="shared" si="19"/>
        <v>0</v>
      </c>
      <c r="N149" s="604"/>
      <c r="O149" s="612">
        <f t="shared" si="20"/>
        <v>0</v>
      </c>
      <c r="P149" s="180"/>
      <c r="Q149" s="152"/>
      <c r="R149" s="152"/>
      <c r="S149" s="152"/>
      <c r="T149" s="152"/>
      <c r="U149" s="152"/>
      <c r="AF149" s="10"/>
      <c r="AG149" s="10"/>
      <c r="AH149" s="10"/>
      <c r="AI149" s="10"/>
      <c r="AJ149" s="10"/>
      <c r="AK149" s="10"/>
      <c r="AL149" s="10"/>
    </row>
    <row r="150" spans="1:38" x14ac:dyDescent="0.25">
      <c r="A150" s="37">
        <f>+Données!A150</f>
        <v>5651</v>
      </c>
      <c r="B150" s="167" t="str">
        <f>+Données!B150</f>
        <v>Villars-Sainte-Croix</v>
      </c>
      <c r="C150" s="610">
        <f>+Ecrêtage!C150</f>
        <v>62685.817685950416</v>
      </c>
      <c r="D150" s="604"/>
      <c r="E150" s="610">
        <f>Données!AF150+Données!AG150+Données!AH150</f>
        <v>520156</v>
      </c>
      <c r="F150" s="604">
        <f t="shared" si="14"/>
        <v>501486.54148760333</v>
      </c>
      <c r="G150" s="610">
        <f t="shared" si="15"/>
        <v>18669.458512396668</v>
      </c>
      <c r="H150" s="605">
        <f t="shared" si="16"/>
        <v>-13000.324024691099</v>
      </c>
      <c r="I150" s="604"/>
      <c r="J150" s="610">
        <f>Données!AN150</f>
        <v>23892</v>
      </c>
      <c r="K150" s="611">
        <f t="shared" si="17"/>
        <v>62685.817685950416</v>
      </c>
      <c r="L150" s="604">
        <f t="shared" si="18"/>
        <v>0</v>
      </c>
      <c r="M150" s="605">
        <f t="shared" si="19"/>
        <v>0</v>
      </c>
      <c r="N150" s="604"/>
      <c r="O150" s="612">
        <f t="shared" si="20"/>
        <v>-13000.324024691099</v>
      </c>
      <c r="P150" s="180"/>
      <c r="Q150" s="152"/>
      <c r="R150" s="152"/>
      <c r="S150" s="152"/>
      <c r="T150" s="152"/>
      <c r="U150" s="152"/>
      <c r="AF150" s="10"/>
      <c r="AG150" s="10"/>
      <c r="AH150" s="10"/>
      <c r="AI150" s="10"/>
      <c r="AJ150" s="10"/>
      <c r="AK150" s="10"/>
      <c r="AL150" s="10"/>
    </row>
    <row r="151" spans="1:38" x14ac:dyDescent="0.25">
      <c r="A151" s="37">
        <f>+Données!A151</f>
        <v>5652</v>
      </c>
      <c r="B151" s="167" t="str">
        <f>+Données!B151</f>
        <v>Villars-sous-Yens</v>
      </c>
      <c r="C151" s="610">
        <f>+Ecrêtage!C151</f>
        <v>27337.435990990991</v>
      </c>
      <c r="D151" s="604"/>
      <c r="E151" s="610">
        <f>Données!AF151+Données!AG151+Données!AH151</f>
        <v>413753</v>
      </c>
      <c r="F151" s="604">
        <f t="shared" si="14"/>
        <v>218699.48792792793</v>
      </c>
      <c r="G151" s="610">
        <f t="shared" si="15"/>
        <v>195053.51207207207</v>
      </c>
      <c r="H151" s="605">
        <f t="shared" si="16"/>
        <v>-135823.91034036526</v>
      </c>
      <c r="I151" s="604"/>
      <c r="J151" s="610">
        <f>Données!AN151</f>
        <v>6737</v>
      </c>
      <c r="K151" s="611">
        <f t="shared" si="17"/>
        <v>27337.435990990991</v>
      </c>
      <c r="L151" s="604">
        <f t="shared" si="18"/>
        <v>0</v>
      </c>
      <c r="M151" s="605">
        <f t="shared" si="19"/>
        <v>0</v>
      </c>
      <c r="N151" s="604"/>
      <c r="O151" s="612">
        <f t="shared" si="20"/>
        <v>-135823.91034036526</v>
      </c>
      <c r="P151" s="180"/>
      <c r="Q151" s="152"/>
      <c r="R151" s="152"/>
      <c r="S151" s="152"/>
      <c r="T151" s="152"/>
      <c r="U151" s="152"/>
      <c r="AF151" s="10"/>
      <c r="AG151" s="10"/>
      <c r="AH151" s="10"/>
      <c r="AI151" s="10"/>
      <c r="AJ151" s="10"/>
      <c r="AK151" s="10"/>
      <c r="AL151" s="10"/>
    </row>
    <row r="152" spans="1:38" x14ac:dyDescent="0.25">
      <c r="A152" s="37">
        <f>+Données!A152</f>
        <v>5653</v>
      </c>
      <c r="B152" s="167" t="str">
        <f>+Données!B152</f>
        <v>Vufflens-le-Château</v>
      </c>
      <c r="C152" s="610">
        <f>+Ecrêtage!C152</f>
        <v>76227.69876033059</v>
      </c>
      <c r="D152" s="604"/>
      <c r="E152" s="610">
        <f>Données!AF152+Données!AG152+Données!AH152</f>
        <v>0</v>
      </c>
      <c r="F152" s="604">
        <f t="shared" si="14"/>
        <v>609821.59008264472</v>
      </c>
      <c r="G152" s="610">
        <f t="shared" si="15"/>
        <v>0</v>
      </c>
      <c r="H152" s="605">
        <f t="shared" si="16"/>
        <v>0</v>
      </c>
      <c r="I152" s="604"/>
      <c r="J152" s="610">
        <f>Données!AN152</f>
        <v>0</v>
      </c>
      <c r="K152" s="611">
        <f t="shared" si="17"/>
        <v>76227.69876033059</v>
      </c>
      <c r="L152" s="604">
        <f t="shared" si="18"/>
        <v>0</v>
      </c>
      <c r="M152" s="605">
        <f t="shared" si="19"/>
        <v>0</v>
      </c>
      <c r="N152" s="604"/>
      <c r="O152" s="612">
        <f t="shared" si="20"/>
        <v>0</v>
      </c>
      <c r="P152" s="180"/>
      <c r="Q152" s="152"/>
      <c r="R152" s="152"/>
      <c r="S152" s="152"/>
      <c r="T152" s="152"/>
      <c r="U152" s="152"/>
      <c r="AF152" s="10"/>
      <c r="AG152" s="10"/>
      <c r="AH152" s="10"/>
      <c r="AI152" s="10"/>
      <c r="AJ152" s="10"/>
      <c r="AK152" s="10"/>
      <c r="AL152" s="10"/>
    </row>
    <row r="153" spans="1:38" x14ac:dyDescent="0.25">
      <c r="A153" s="37">
        <f>+Données!A153</f>
        <v>5654</v>
      </c>
      <c r="B153" s="167" t="str">
        <f>+Données!B153</f>
        <v>Vullierens</v>
      </c>
      <c r="C153" s="610">
        <f>+Ecrêtage!C153</f>
        <v>23074.815394736848</v>
      </c>
      <c r="D153" s="604"/>
      <c r="E153" s="610">
        <f>Données!AF153+Données!AG153+Données!AH153</f>
        <v>445075</v>
      </c>
      <c r="F153" s="604">
        <f t="shared" si="14"/>
        <v>184598.52315789479</v>
      </c>
      <c r="G153" s="610">
        <f t="shared" si="15"/>
        <v>260476.47684210521</v>
      </c>
      <c r="H153" s="605">
        <f t="shared" si="16"/>
        <v>-181380.65426529641</v>
      </c>
      <c r="I153" s="604"/>
      <c r="J153" s="610">
        <f>Données!AN153</f>
        <v>20967</v>
      </c>
      <c r="K153" s="611">
        <f t="shared" si="17"/>
        <v>23074.815394736848</v>
      </c>
      <c r="L153" s="604">
        <f t="shared" si="18"/>
        <v>0</v>
      </c>
      <c r="M153" s="605">
        <f t="shared" si="19"/>
        <v>0</v>
      </c>
      <c r="N153" s="604"/>
      <c r="O153" s="612">
        <f t="shared" si="20"/>
        <v>-181380.65426529641</v>
      </c>
      <c r="P153" s="180"/>
      <c r="Q153" s="152"/>
      <c r="R153" s="152"/>
      <c r="S153" s="152"/>
      <c r="T153" s="152"/>
      <c r="U153" s="152"/>
      <c r="AF153" s="10"/>
      <c r="AG153" s="10"/>
      <c r="AH153" s="10"/>
      <c r="AI153" s="10"/>
      <c r="AJ153" s="10"/>
      <c r="AK153" s="10"/>
      <c r="AL153" s="10"/>
    </row>
    <row r="154" spans="1:38" x14ac:dyDescent="0.25">
      <c r="A154" s="37">
        <f>+Données!A154</f>
        <v>5655</v>
      </c>
      <c r="B154" s="167" t="str">
        <f>+Données!B154</f>
        <v>Yens</v>
      </c>
      <c r="C154" s="610">
        <f>+Ecrêtage!C154</f>
        <v>99930.986000000004</v>
      </c>
      <c r="D154" s="604"/>
      <c r="E154" s="610">
        <f>Données!AF154+Données!AG154+Données!AH154</f>
        <v>0</v>
      </c>
      <c r="F154" s="604">
        <f t="shared" si="14"/>
        <v>799447.88800000004</v>
      </c>
      <c r="G154" s="610">
        <f t="shared" si="15"/>
        <v>0</v>
      </c>
      <c r="H154" s="605">
        <f t="shared" si="16"/>
        <v>0</v>
      </c>
      <c r="I154" s="604"/>
      <c r="J154" s="610">
        <f>Données!AN154</f>
        <v>0</v>
      </c>
      <c r="K154" s="611">
        <f t="shared" si="17"/>
        <v>99930.986000000004</v>
      </c>
      <c r="L154" s="604">
        <f t="shared" si="18"/>
        <v>0</v>
      </c>
      <c r="M154" s="605">
        <f t="shared" si="19"/>
        <v>0</v>
      </c>
      <c r="N154" s="604"/>
      <c r="O154" s="612">
        <f t="shared" si="20"/>
        <v>0</v>
      </c>
      <c r="P154" s="180"/>
      <c r="Q154" s="152"/>
      <c r="R154" s="152"/>
      <c r="S154" s="152"/>
      <c r="T154" s="152"/>
      <c r="U154" s="152"/>
      <c r="AF154" s="10"/>
      <c r="AG154" s="10"/>
      <c r="AH154" s="10"/>
      <c r="AI154" s="10"/>
      <c r="AJ154" s="10"/>
      <c r="AK154" s="10"/>
      <c r="AL154" s="10"/>
    </row>
    <row r="155" spans="1:38" s="146" customFormat="1" x14ac:dyDescent="0.25">
      <c r="A155" s="37">
        <f>+Données!A155</f>
        <v>5656</v>
      </c>
      <c r="B155" s="167" t="str">
        <f>+Données!B155</f>
        <v>Hautemorges</v>
      </c>
      <c r="C155" s="610">
        <f>+Ecrêtage!C155</f>
        <v>173869.73802816903</v>
      </c>
      <c r="D155" s="604"/>
      <c r="E155" s="610">
        <f>Données!AF155+Données!AG155+Données!AH155</f>
        <v>3115952</v>
      </c>
      <c r="F155" s="604">
        <f t="shared" si="14"/>
        <v>1390957.9042253522</v>
      </c>
      <c r="G155" s="610">
        <f t="shared" si="15"/>
        <v>1724994.0957746478</v>
      </c>
      <c r="H155" s="605">
        <f t="shared" si="16"/>
        <v>-1201185.463995046</v>
      </c>
      <c r="I155" s="604"/>
      <c r="J155" s="610">
        <f>Données!AN155</f>
        <v>248438</v>
      </c>
      <c r="K155" s="611">
        <f t="shared" si="17"/>
        <v>173869.73802816903</v>
      </c>
      <c r="L155" s="604">
        <f t="shared" si="18"/>
        <v>74568.261971830972</v>
      </c>
      <c r="M155" s="605">
        <f t="shared" si="19"/>
        <v>-51924.996482793373</v>
      </c>
      <c r="N155" s="604"/>
      <c r="O155" s="612">
        <f t="shared" si="20"/>
        <v>-1253110.4604778395</v>
      </c>
      <c r="P155" s="180"/>
      <c r="Q155" s="152"/>
      <c r="R155" s="152"/>
      <c r="S155" s="152"/>
      <c r="T155" s="152"/>
      <c r="U155" s="152"/>
    </row>
    <row r="156" spans="1:38" x14ac:dyDescent="0.25">
      <c r="A156" s="37">
        <f>+Données!A156</f>
        <v>5661</v>
      </c>
      <c r="B156" s="167" t="str">
        <f>+Données!B156</f>
        <v>Boulens</v>
      </c>
      <c r="C156" s="610">
        <f>+Ecrêtage!C156</f>
        <v>10070.839300699299</v>
      </c>
      <c r="D156" s="604"/>
      <c r="E156" s="610">
        <f>Données!AF156+Données!AG156+Données!AH156</f>
        <v>81543</v>
      </c>
      <c r="F156" s="604">
        <f t="shared" si="14"/>
        <v>80566.714405594394</v>
      </c>
      <c r="G156" s="610">
        <f t="shared" si="15"/>
        <v>976.28559440560639</v>
      </c>
      <c r="H156" s="605">
        <f t="shared" si="16"/>
        <v>-679.82845134385798</v>
      </c>
      <c r="I156" s="604"/>
      <c r="J156" s="610">
        <f>Données!AN156</f>
        <v>24807</v>
      </c>
      <c r="K156" s="611">
        <f t="shared" si="17"/>
        <v>10070.839300699299</v>
      </c>
      <c r="L156" s="604">
        <f t="shared" si="18"/>
        <v>14736.160699300701</v>
      </c>
      <c r="M156" s="605">
        <f t="shared" si="19"/>
        <v>-10261.404413182121</v>
      </c>
      <c r="N156" s="604"/>
      <c r="O156" s="612">
        <f t="shared" si="20"/>
        <v>-10941.232864525979</v>
      </c>
      <c r="P156" s="180"/>
      <c r="Q156" s="152"/>
      <c r="R156" s="152"/>
      <c r="S156" s="152"/>
      <c r="T156" s="152"/>
      <c r="U156" s="152"/>
      <c r="AF156" s="10"/>
      <c r="AG156" s="10"/>
      <c r="AH156" s="10"/>
      <c r="AI156" s="10"/>
      <c r="AJ156" s="10"/>
      <c r="AK156" s="10"/>
      <c r="AL156" s="10"/>
    </row>
    <row r="157" spans="1:38" x14ac:dyDescent="0.25">
      <c r="A157" s="37">
        <f>+Données!A157</f>
        <v>5663</v>
      </c>
      <c r="B157" s="167" t="str">
        <f>+Données!B157</f>
        <v>Bussy-sur-Moudon</v>
      </c>
      <c r="C157" s="610">
        <f>+Ecrêtage!C157</f>
        <v>5846.5050955414026</v>
      </c>
      <c r="D157" s="604"/>
      <c r="E157" s="610">
        <f>Données!AF157+Données!AG157+Données!AH157</f>
        <v>58516</v>
      </c>
      <c r="F157" s="604">
        <f t="shared" si="14"/>
        <v>46772.040764331221</v>
      </c>
      <c r="G157" s="610">
        <f t="shared" si="15"/>
        <v>11743.959235668779</v>
      </c>
      <c r="H157" s="605">
        <f t="shared" si="16"/>
        <v>-8177.8095114585221</v>
      </c>
      <c r="I157" s="604"/>
      <c r="J157" s="610">
        <f>Données!AN157</f>
        <v>3296</v>
      </c>
      <c r="K157" s="611">
        <f t="shared" si="17"/>
        <v>5846.5050955414026</v>
      </c>
      <c r="L157" s="604">
        <f t="shared" si="18"/>
        <v>0</v>
      </c>
      <c r="M157" s="605">
        <f t="shared" si="19"/>
        <v>0</v>
      </c>
      <c r="N157" s="604"/>
      <c r="O157" s="612">
        <f t="shared" si="20"/>
        <v>-8177.8095114585221</v>
      </c>
      <c r="P157" s="180"/>
      <c r="Q157" s="152"/>
      <c r="R157" s="152"/>
      <c r="S157" s="152"/>
      <c r="T157" s="152"/>
      <c r="U157" s="152"/>
      <c r="AF157" s="10"/>
      <c r="AG157" s="10"/>
      <c r="AH157" s="10"/>
      <c r="AI157" s="10"/>
      <c r="AJ157" s="10"/>
      <c r="AK157" s="10"/>
      <c r="AL157" s="10"/>
    </row>
    <row r="158" spans="1:38" x14ac:dyDescent="0.25">
      <c r="A158" s="37">
        <f>+Données!A158</f>
        <v>5665</v>
      </c>
      <c r="B158" s="167" t="str">
        <f>+Données!B158</f>
        <v>Chavannes-sur-Moudon</v>
      </c>
      <c r="C158" s="610">
        <f>+Ecrêtage!C158</f>
        <v>6553.0082857142861</v>
      </c>
      <c r="D158" s="604"/>
      <c r="E158" s="610">
        <f>Données!AF158+Données!AG158+Données!AH158</f>
        <v>39214</v>
      </c>
      <c r="F158" s="604">
        <f t="shared" si="14"/>
        <v>52424.066285714289</v>
      </c>
      <c r="G158" s="610">
        <f t="shared" si="15"/>
        <v>0</v>
      </c>
      <c r="H158" s="605">
        <f t="shared" si="16"/>
        <v>0</v>
      </c>
      <c r="I158" s="604"/>
      <c r="J158" s="610">
        <f>Données!AN158</f>
        <v>28639</v>
      </c>
      <c r="K158" s="611">
        <f t="shared" si="17"/>
        <v>6553.0082857142861</v>
      </c>
      <c r="L158" s="604">
        <f t="shared" si="18"/>
        <v>22085.991714285716</v>
      </c>
      <c r="M158" s="605">
        <f t="shared" si="19"/>
        <v>-15379.398845537155</v>
      </c>
      <c r="N158" s="604"/>
      <c r="O158" s="612">
        <f t="shared" si="20"/>
        <v>-15379.398845537155</v>
      </c>
      <c r="P158" s="180"/>
      <c r="Q158" s="152"/>
      <c r="R158" s="152"/>
      <c r="S158" s="152"/>
      <c r="T158" s="152"/>
      <c r="U158" s="152"/>
      <c r="AF158" s="10"/>
      <c r="AG158" s="10"/>
      <c r="AH158" s="10"/>
      <c r="AI158" s="10"/>
      <c r="AJ158" s="10"/>
      <c r="AK158" s="10"/>
      <c r="AL158" s="10"/>
    </row>
    <row r="159" spans="1:38" x14ac:dyDescent="0.25">
      <c r="A159" s="37">
        <f>+Données!A159</f>
        <v>5669</v>
      </c>
      <c r="B159" s="167" t="str">
        <f>+Données!B159</f>
        <v>Curtilles</v>
      </c>
      <c r="C159" s="610">
        <f>+Ecrêtage!C159</f>
        <v>9589.3382191780838</v>
      </c>
      <c r="D159" s="604"/>
      <c r="E159" s="610">
        <f>Données!AF159+Données!AG159+Données!AH159</f>
        <v>95186</v>
      </c>
      <c r="F159" s="604">
        <f t="shared" si="14"/>
        <v>76714.705753424671</v>
      </c>
      <c r="G159" s="610">
        <f t="shared" si="15"/>
        <v>18471.294246575329</v>
      </c>
      <c r="H159" s="605">
        <f t="shared" si="16"/>
        <v>-12862.333966539074</v>
      </c>
      <c r="I159" s="604"/>
      <c r="J159" s="610">
        <f>Données!AN159</f>
        <v>1214</v>
      </c>
      <c r="K159" s="611">
        <f t="shared" si="17"/>
        <v>9589.3382191780838</v>
      </c>
      <c r="L159" s="604">
        <f t="shared" si="18"/>
        <v>0</v>
      </c>
      <c r="M159" s="605">
        <f t="shared" si="19"/>
        <v>0</v>
      </c>
      <c r="N159" s="604"/>
      <c r="O159" s="612">
        <f t="shared" si="20"/>
        <v>-12862.333966539074</v>
      </c>
      <c r="P159" s="180"/>
      <c r="Q159" s="152"/>
      <c r="R159" s="152"/>
      <c r="S159" s="152"/>
      <c r="T159" s="152"/>
      <c r="U159" s="152"/>
      <c r="AF159" s="10"/>
      <c r="AG159" s="10"/>
      <c r="AH159" s="10"/>
      <c r="AI159" s="10"/>
      <c r="AJ159" s="10"/>
      <c r="AK159" s="10"/>
      <c r="AL159" s="10"/>
    </row>
    <row r="160" spans="1:38" x14ac:dyDescent="0.25">
      <c r="A160" s="37">
        <f>+Données!A160</f>
        <v>5671</v>
      </c>
      <c r="B160" s="167" t="str">
        <f>+Données!B160</f>
        <v>Dompierre</v>
      </c>
      <c r="C160" s="610">
        <f>+Ecrêtage!C160</f>
        <v>6077.1303846153842</v>
      </c>
      <c r="D160" s="604"/>
      <c r="E160" s="610">
        <f>Données!AF160+Données!AG160+Données!AH160</f>
        <v>74185</v>
      </c>
      <c r="F160" s="604">
        <f t="shared" si="14"/>
        <v>48617.043076923073</v>
      </c>
      <c r="G160" s="610">
        <f t="shared" si="15"/>
        <v>25567.956923076927</v>
      </c>
      <c r="H160" s="605">
        <f t="shared" si="16"/>
        <v>-17804.036706722552</v>
      </c>
      <c r="I160" s="604"/>
      <c r="J160" s="610">
        <f>Données!AN160</f>
        <v>9666</v>
      </c>
      <c r="K160" s="611">
        <f t="shared" si="17"/>
        <v>6077.1303846153842</v>
      </c>
      <c r="L160" s="604">
        <f t="shared" si="18"/>
        <v>3588.8696153846158</v>
      </c>
      <c r="M160" s="605">
        <f t="shared" si="19"/>
        <v>-2499.0798662633015</v>
      </c>
      <c r="N160" s="604"/>
      <c r="O160" s="612">
        <f t="shared" si="20"/>
        <v>-20303.116572985855</v>
      </c>
      <c r="P160" s="180"/>
      <c r="Q160" s="152"/>
      <c r="R160" s="152"/>
      <c r="S160" s="152"/>
      <c r="T160" s="152"/>
      <c r="U160" s="152"/>
      <c r="AF160" s="10"/>
      <c r="AG160" s="10"/>
      <c r="AH160" s="10"/>
      <c r="AI160" s="10"/>
      <c r="AJ160" s="10"/>
      <c r="AK160" s="10"/>
      <c r="AL160" s="10"/>
    </row>
    <row r="161" spans="1:38" x14ac:dyDescent="0.25">
      <c r="A161" s="37">
        <f>+Données!A161</f>
        <v>5673</v>
      </c>
      <c r="B161" s="167" t="str">
        <f>+Données!B161</f>
        <v>Hermenches</v>
      </c>
      <c r="C161" s="610">
        <f>+Ecrêtage!C161</f>
        <v>10021.842448979593</v>
      </c>
      <c r="D161" s="604"/>
      <c r="E161" s="610">
        <f>Données!AF161+Données!AG161+Données!AH161</f>
        <v>946579</v>
      </c>
      <c r="F161" s="604">
        <f t="shared" si="14"/>
        <v>80174.73959183674</v>
      </c>
      <c r="G161" s="610">
        <f t="shared" si="15"/>
        <v>866404.2604081633</v>
      </c>
      <c r="H161" s="605">
        <f t="shared" si="16"/>
        <v>-603313.4873301168</v>
      </c>
      <c r="I161" s="604"/>
      <c r="J161" s="610">
        <f>Données!AN161</f>
        <v>48115</v>
      </c>
      <c r="K161" s="611">
        <f t="shared" si="17"/>
        <v>10021.842448979593</v>
      </c>
      <c r="L161" s="604">
        <f t="shared" si="18"/>
        <v>38093.157551020406</v>
      </c>
      <c r="M161" s="605">
        <f t="shared" si="19"/>
        <v>-26525.857242085596</v>
      </c>
      <c r="N161" s="604"/>
      <c r="O161" s="612">
        <f t="shared" si="20"/>
        <v>-629839.34457220242</v>
      </c>
      <c r="P161" s="180"/>
      <c r="Q161" s="152"/>
      <c r="R161" s="152"/>
      <c r="S161" s="152"/>
      <c r="T161" s="152"/>
      <c r="U161" s="152"/>
      <c r="AF161" s="10"/>
      <c r="AG161" s="10"/>
      <c r="AH161" s="10"/>
      <c r="AI161" s="10"/>
      <c r="AJ161" s="10"/>
      <c r="AK161" s="10"/>
      <c r="AL161" s="10"/>
    </row>
    <row r="162" spans="1:38" x14ac:dyDescent="0.25">
      <c r="A162" s="37">
        <f>+Données!A162</f>
        <v>5674</v>
      </c>
      <c r="B162" s="167" t="str">
        <f>+Données!B162</f>
        <v>Lovatens</v>
      </c>
      <c r="C162" s="610">
        <f>+Ecrêtage!C162</f>
        <v>4190.698742857142</v>
      </c>
      <c r="D162" s="604"/>
      <c r="E162" s="610">
        <f>Données!AF162+Données!AG162+Données!AH162</f>
        <v>52543</v>
      </c>
      <c r="F162" s="604">
        <f t="shared" si="14"/>
        <v>33525.589942857136</v>
      </c>
      <c r="G162" s="610">
        <f t="shared" si="15"/>
        <v>19017.410057142864</v>
      </c>
      <c r="H162" s="605">
        <f t="shared" si="16"/>
        <v>-13242.61722369249</v>
      </c>
      <c r="I162" s="604"/>
      <c r="J162" s="610">
        <f>Données!AN162</f>
        <v>1218</v>
      </c>
      <c r="K162" s="611">
        <f t="shared" si="17"/>
        <v>4190.698742857142</v>
      </c>
      <c r="L162" s="604">
        <f t="shared" si="18"/>
        <v>0</v>
      </c>
      <c r="M162" s="605">
        <f t="shared" si="19"/>
        <v>0</v>
      </c>
      <c r="N162" s="604"/>
      <c r="O162" s="612">
        <f t="shared" si="20"/>
        <v>-13242.61722369249</v>
      </c>
      <c r="P162" s="180"/>
      <c r="Q162" s="152"/>
      <c r="R162" s="152"/>
      <c r="S162" s="152"/>
      <c r="T162" s="152"/>
      <c r="U162" s="152"/>
      <c r="AF162" s="10"/>
      <c r="AG162" s="10"/>
      <c r="AH162" s="10"/>
      <c r="AI162" s="10"/>
      <c r="AJ162" s="10"/>
      <c r="AK162" s="10"/>
      <c r="AL162" s="10"/>
    </row>
    <row r="163" spans="1:38" x14ac:dyDescent="0.25">
      <c r="A163" s="37">
        <f>+Données!A163</f>
        <v>5675</v>
      </c>
      <c r="B163" s="167" t="str">
        <f>+Données!B163</f>
        <v>Lucens</v>
      </c>
      <c r="C163" s="610">
        <f>+Ecrêtage!C163</f>
        <v>96219.295291039889</v>
      </c>
      <c r="D163" s="604"/>
      <c r="E163" s="610">
        <f>Données!AF163+Données!AG163+Données!AH163</f>
        <v>1587978</v>
      </c>
      <c r="F163" s="604">
        <f t="shared" si="14"/>
        <v>769754.36232831911</v>
      </c>
      <c r="G163" s="610">
        <f t="shared" si="15"/>
        <v>818223.63767168089</v>
      </c>
      <c r="H163" s="605">
        <f t="shared" si="16"/>
        <v>-569763.30659671419</v>
      </c>
      <c r="I163" s="604"/>
      <c r="J163" s="610">
        <f>Données!AN163</f>
        <v>29550</v>
      </c>
      <c r="K163" s="611">
        <f t="shared" si="17"/>
        <v>96219.295291039889</v>
      </c>
      <c r="L163" s="604">
        <f t="shared" si="18"/>
        <v>0</v>
      </c>
      <c r="M163" s="605">
        <f t="shared" si="19"/>
        <v>0</v>
      </c>
      <c r="N163" s="604"/>
      <c r="O163" s="612">
        <f t="shared" si="20"/>
        <v>-569763.30659671419</v>
      </c>
      <c r="P163" s="180"/>
      <c r="Q163" s="152"/>
      <c r="R163" s="152"/>
      <c r="S163" s="152"/>
      <c r="T163" s="152"/>
      <c r="U163" s="152"/>
      <c r="AF163" s="10"/>
      <c r="AG163" s="10"/>
      <c r="AH163" s="10"/>
      <c r="AI163" s="10"/>
      <c r="AJ163" s="10"/>
      <c r="AK163" s="10"/>
      <c r="AL163" s="10"/>
    </row>
    <row r="164" spans="1:38" x14ac:dyDescent="0.25">
      <c r="A164" s="37">
        <f>+Données!A164</f>
        <v>5678</v>
      </c>
      <c r="B164" s="167" t="str">
        <f>+Données!B164</f>
        <v>Moudon</v>
      </c>
      <c r="C164" s="610">
        <f>+Ecrêtage!C164</f>
        <v>144507.28937931036</v>
      </c>
      <c r="D164" s="604"/>
      <c r="E164" s="610">
        <f>Données!AF164+Données!AG164+Données!AH164</f>
        <v>2927018</v>
      </c>
      <c r="F164" s="604">
        <f t="shared" si="14"/>
        <v>1156058.3150344829</v>
      </c>
      <c r="G164" s="610">
        <f t="shared" si="15"/>
        <v>1770959.6849655171</v>
      </c>
      <c r="H164" s="605">
        <f t="shared" si="16"/>
        <v>-1233193.2243203039</v>
      </c>
      <c r="I164" s="604"/>
      <c r="J164" s="610">
        <f>Données!AN164</f>
        <v>93743</v>
      </c>
      <c r="K164" s="611">
        <f t="shared" si="17"/>
        <v>144507.28937931036</v>
      </c>
      <c r="L164" s="604">
        <f t="shared" si="18"/>
        <v>0</v>
      </c>
      <c r="M164" s="605">
        <f t="shared" si="19"/>
        <v>0</v>
      </c>
      <c r="N164" s="604"/>
      <c r="O164" s="612">
        <f t="shared" si="20"/>
        <v>-1233193.2243203039</v>
      </c>
      <c r="P164" s="180"/>
      <c r="Q164" s="152"/>
      <c r="R164" s="152"/>
      <c r="S164" s="152"/>
      <c r="T164" s="152"/>
      <c r="U164" s="152"/>
      <c r="AF164" s="10"/>
      <c r="AG164" s="10"/>
      <c r="AH164" s="10"/>
      <c r="AI164" s="10"/>
      <c r="AJ164" s="10"/>
      <c r="AK164" s="10"/>
      <c r="AL164" s="10"/>
    </row>
    <row r="165" spans="1:38" x14ac:dyDescent="0.25">
      <c r="A165" s="37">
        <f>+Données!A165</f>
        <v>5680</v>
      </c>
      <c r="B165" s="167" t="str">
        <f>+Données!B165</f>
        <v>Ogens</v>
      </c>
      <c r="C165" s="610">
        <f>+Ecrêtage!C165</f>
        <v>9088.9604700854707</v>
      </c>
      <c r="D165" s="604"/>
      <c r="E165" s="610">
        <f>Données!AF165+Données!AG165+Données!AH165</f>
        <v>108286</v>
      </c>
      <c r="F165" s="604">
        <f t="shared" si="14"/>
        <v>72711.683760683765</v>
      </c>
      <c r="G165" s="610">
        <f t="shared" si="15"/>
        <v>35574.316239316235</v>
      </c>
      <c r="H165" s="605">
        <f t="shared" si="16"/>
        <v>-24771.88279246839</v>
      </c>
      <c r="I165" s="604"/>
      <c r="J165" s="610">
        <f>Données!AN165</f>
        <v>27555</v>
      </c>
      <c r="K165" s="611">
        <f t="shared" si="17"/>
        <v>9088.9604700854707</v>
      </c>
      <c r="L165" s="604">
        <f t="shared" si="18"/>
        <v>18466.039529914531</v>
      </c>
      <c r="M165" s="605">
        <f t="shared" si="19"/>
        <v>-12858.674887771313</v>
      </c>
      <c r="N165" s="604"/>
      <c r="O165" s="612">
        <f t="shared" si="20"/>
        <v>-37630.557680239704</v>
      </c>
      <c r="P165" s="180"/>
      <c r="Q165" s="152"/>
      <c r="R165" s="152"/>
      <c r="S165" s="152"/>
      <c r="T165" s="152"/>
      <c r="U165" s="152"/>
      <c r="AF165" s="10"/>
      <c r="AG165" s="10"/>
      <c r="AH165" s="10"/>
      <c r="AI165" s="10"/>
      <c r="AJ165" s="10"/>
      <c r="AK165" s="10"/>
      <c r="AL165" s="10"/>
    </row>
    <row r="166" spans="1:38" x14ac:dyDescent="0.25">
      <c r="A166" s="37">
        <f>+Données!A166</f>
        <v>5683</v>
      </c>
      <c r="B166" s="167" t="str">
        <f>+Données!B166</f>
        <v>Prévonloup</v>
      </c>
      <c r="C166" s="610">
        <f>+Ecrêtage!C166</f>
        <v>3390.948689655173</v>
      </c>
      <c r="D166" s="604"/>
      <c r="E166" s="610">
        <f>Données!AF166+Données!AG166+Données!AH166</f>
        <v>54940</v>
      </c>
      <c r="F166" s="604">
        <f t="shared" si="14"/>
        <v>27127.589517241384</v>
      </c>
      <c r="G166" s="610">
        <f t="shared" si="15"/>
        <v>27812.410482758616</v>
      </c>
      <c r="H166" s="605">
        <f t="shared" si="16"/>
        <v>-19366.943499914141</v>
      </c>
      <c r="I166" s="604"/>
      <c r="J166" s="610">
        <f>Données!AN166</f>
        <v>-841</v>
      </c>
      <c r="K166" s="611">
        <f t="shared" si="17"/>
        <v>3390.948689655173</v>
      </c>
      <c r="L166" s="604">
        <f t="shared" si="18"/>
        <v>0</v>
      </c>
      <c r="M166" s="605">
        <f t="shared" si="19"/>
        <v>0</v>
      </c>
      <c r="N166" s="604"/>
      <c r="O166" s="612">
        <f t="shared" si="20"/>
        <v>-19366.943499914141</v>
      </c>
      <c r="P166" s="180"/>
      <c r="Q166" s="152"/>
      <c r="R166" s="152"/>
      <c r="S166" s="152"/>
      <c r="T166" s="152"/>
      <c r="U166" s="152"/>
      <c r="AF166" s="10"/>
      <c r="AG166" s="10"/>
      <c r="AH166" s="10"/>
      <c r="AI166" s="10"/>
      <c r="AJ166" s="10"/>
      <c r="AK166" s="10"/>
      <c r="AL166" s="10"/>
    </row>
    <row r="167" spans="1:38" x14ac:dyDescent="0.25">
      <c r="A167" s="37">
        <f>+Données!A167</f>
        <v>5684</v>
      </c>
      <c r="B167" s="167" t="str">
        <f>+Données!B167</f>
        <v>Rossenges</v>
      </c>
      <c r="C167" s="610">
        <f>+Ecrêtage!C167</f>
        <v>10097.406384615384</v>
      </c>
      <c r="D167" s="604"/>
      <c r="E167" s="610">
        <f>Données!AF167+Données!AG167+Données!AH167</f>
        <v>9537</v>
      </c>
      <c r="F167" s="604">
        <f t="shared" si="14"/>
        <v>80779.251076923072</v>
      </c>
      <c r="G167" s="610">
        <f t="shared" si="15"/>
        <v>0</v>
      </c>
      <c r="H167" s="605">
        <f t="shared" si="16"/>
        <v>0</v>
      </c>
      <c r="I167" s="604"/>
      <c r="J167" s="610">
        <f>Données!AN167</f>
        <v>160</v>
      </c>
      <c r="K167" s="611">
        <f t="shared" si="17"/>
        <v>10097.406384615384</v>
      </c>
      <c r="L167" s="604">
        <f t="shared" si="18"/>
        <v>0</v>
      </c>
      <c r="M167" s="605">
        <f t="shared" si="19"/>
        <v>0</v>
      </c>
      <c r="N167" s="604"/>
      <c r="O167" s="612">
        <f t="shared" si="20"/>
        <v>0</v>
      </c>
      <c r="P167" s="180"/>
      <c r="Q167" s="152"/>
      <c r="R167" s="152"/>
      <c r="S167" s="152"/>
      <c r="T167" s="152"/>
      <c r="U167" s="152"/>
      <c r="AF167" s="10"/>
      <c r="AG167" s="10"/>
      <c r="AH167" s="10"/>
      <c r="AI167" s="10"/>
      <c r="AJ167" s="10"/>
      <c r="AK167" s="10"/>
      <c r="AL167" s="10"/>
    </row>
    <row r="168" spans="1:38" x14ac:dyDescent="0.25">
      <c r="A168" s="37">
        <f>+Données!A168</f>
        <v>5688</v>
      </c>
      <c r="B168" s="167" t="str">
        <f>+Données!B168</f>
        <v>Syens</v>
      </c>
      <c r="C168" s="610">
        <f>+Ecrêtage!C168</f>
        <v>5159.2410769230773</v>
      </c>
      <c r="D168" s="604"/>
      <c r="E168" s="610">
        <f>Données!AF168+Données!AG168+Données!AH168</f>
        <v>71389</v>
      </c>
      <c r="F168" s="604">
        <f t="shared" si="14"/>
        <v>41273.928615384619</v>
      </c>
      <c r="G168" s="610">
        <f t="shared" si="15"/>
        <v>30115.071384615381</v>
      </c>
      <c r="H168" s="605">
        <f t="shared" si="16"/>
        <v>-20970.382497528779</v>
      </c>
      <c r="I168" s="604"/>
      <c r="J168" s="610">
        <f>Données!AN168</f>
        <v>-1722</v>
      </c>
      <c r="K168" s="611">
        <f t="shared" si="17"/>
        <v>5159.2410769230773</v>
      </c>
      <c r="L168" s="604">
        <f t="shared" si="18"/>
        <v>0</v>
      </c>
      <c r="M168" s="605">
        <f t="shared" si="19"/>
        <v>0</v>
      </c>
      <c r="N168" s="604"/>
      <c r="O168" s="612">
        <f t="shared" si="20"/>
        <v>-20970.382497528779</v>
      </c>
      <c r="P168" s="180"/>
      <c r="Q168" s="152"/>
      <c r="R168" s="152"/>
      <c r="S168" s="152"/>
      <c r="T168" s="152"/>
      <c r="U168" s="152"/>
      <c r="AF168" s="10"/>
      <c r="AG168" s="10"/>
      <c r="AH168" s="10"/>
      <c r="AI168" s="10"/>
      <c r="AJ168" s="10"/>
      <c r="AK168" s="10"/>
      <c r="AL168" s="10"/>
    </row>
    <row r="169" spans="1:38" x14ac:dyDescent="0.25">
      <c r="A169" s="37">
        <f>+Données!A169</f>
        <v>5690</v>
      </c>
      <c r="B169" s="167" t="str">
        <f>+Données!B169</f>
        <v>Villars-le-Comte</v>
      </c>
      <c r="C169" s="610">
        <f>+Ecrêtage!C169</f>
        <v>4239.3419117647063</v>
      </c>
      <c r="D169" s="604"/>
      <c r="E169" s="610">
        <f>Données!AF169+Données!AG169+Données!AH169</f>
        <v>0</v>
      </c>
      <c r="F169" s="604">
        <f t="shared" si="14"/>
        <v>33914.73529411765</v>
      </c>
      <c r="G169" s="610">
        <f t="shared" si="15"/>
        <v>0</v>
      </c>
      <c r="H169" s="605">
        <f t="shared" si="16"/>
        <v>0</v>
      </c>
      <c r="I169" s="604"/>
      <c r="J169" s="610">
        <f>Données!AN169</f>
        <v>0</v>
      </c>
      <c r="K169" s="611">
        <f t="shared" si="17"/>
        <v>4239.3419117647063</v>
      </c>
      <c r="L169" s="604">
        <f t="shared" si="18"/>
        <v>0</v>
      </c>
      <c r="M169" s="605">
        <f t="shared" si="19"/>
        <v>0</v>
      </c>
      <c r="N169" s="604"/>
      <c r="O169" s="612">
        <f t="shared" si="20"/>
        <v>0</v>
      </c>
      <c r="P169" s="180"/>
      <c r="Q169" s="152"/>
      <c r="R169" s="152"/>
      <c r="S169" s="152"/>
      <c r="T169" s="152"/>
      <c r="U169" s="152"/>
      <c r="AF169" s="10"/>
      <c r="AG169" s="10"/>
      <c r="AH169" s="10"/>
      <c r="AI169" s="10"/>
      <c r="AJ169" s="10"/>
      <c r="AK169" s="10"/>
      <c r="AL169" s="10"/>
    </row>
    <row r="170" spans="1:38" x14ac:dyDescent="0.25">
      <c r="A170" s="37">
        <f>+Données!A170</f>
        <v>5692</v>
      </c>
      <c r="B170" s="167" t="str">
        <f>+Données!B170</f>
        <v>Vucherens</v>
      </c>
      <c r="C170" s="610">
        <f>+Ecrêtage!C170</f>
        <v>19521.023866666663</v>
      </c>
      <c r="D170" s="604"/>
      <c r="E170" s="610">
        <f>Données!AF170+Données!AG170+Données!AH170</f>
        <v>263069</v>
      </c>
      <c r="F170" s="604">
        <f t="shared" si="14"/>
        <v>156168.1909333333</v>
      </c>
      <c r="G170" s="610">
        <f t="shared" si="15"/>
        <v>106900.8090666667</v>
      </c>
      <c r="H170" s="605">
        <f t="shared" si="16"/>
        <v>-74439.499969723343</v>
      </c>
      <c r="I170" s="604"/>
      <c r="J170" s="610">
        <f>Données!AN170</f>
        <v>12975</v>
      </c>
      <c r="K170" s="611">
        <f t="shared" si="17"/>
        <v>19521.023866666663</v>
      </c>
      <c r="L170" s="604">
        <f t="shared" si="18"/>
        <v>0</v>
      </c>
      <c r="M170" s="605">
        <f t="shared" si="19"/>
        <v>0</v>
      </c>
      <c r="N170" s="604"/>
      <c r="O170" s="612">
        <f t="shared" si="20"/>
        <v>-74439.499969723343</v>
      </c>
      <c r="P170" s="180"/>
      <c r="Q170" s="152"/>
      <c r="R170" s="152"/>
      <c r="S170" s="152"/>
      <c r="T170" s="152"/>
      <c r="U170" s="152"/>
      <c r="AF170" s="10"/>
      <c r="AG170" s="10"/>
      <c r="AH170" s="10"/>
      <c r="AI170" s="10"/>
      <c r="AJ170" s="10"/>
      <c r="AK170" s="10"/>
      <c r="AL170" s="10"/>
    </row>
    <row r="171" spans="1:38" x14ac:dyDescent="0.25">
      <c r="A171" s="37">
        <f>+Données!A171</f>
        <v>5693</v>
      </c>
      <c r="B171" s="167" t="str">
        <f>+Données!B171</f>
        <v>Montanaire</v>
      </c>
      <c r="C171" s="610">
        <f>+Ecrêtage!C171</f>
        <v>77215.400857142857</v>
      </c>
      <c r="D171" s="604"/>
      <c r="E171" s="610">
        <f>Données!AF171+Données!AG171+Données!AH171</f>
        <v>1359526</v>
      </c>
      <c r="F171" s="604">
        <f t="shared" si="14"/>
        <v>617723.20685714285</v>
      </c>
      <c r="G171" s="610">
        <f t="shared" si="15"/>
        <v>741802.79314285715</v>
      </c>
      <c r="H171" s="605">
        <f t="shared" si="16"/>
        <v>-516548.27947337466</v>
      </c>
      <c r="I171" s="604"/>
      <c r="J171" s="610">
        <f>Données!AN171</f>
        <v>171125</v>
      </c>
      <c r="K171" s="611">
        <f t="shared" si="17"/>
        <v>77215.400857142857</v>
      </c>
      <c r="L171" s="604">
        <f t="shared" si="18"/>
        <v>93909.599142857143</v>
      </c>
      <c r="M171" s="605">
        <f t="shared" si="19"/>
        <v>-65393.177690469107</v>
      </c>
      <c r="N171" s="604"/>
      <c r="O171" s="612">
        <f t="shared" si="20"/>
        <v>-581941.45716384379</v>
      </c>
      <c r="P171" s="180"/>
      <c r="Q171" s="152"/>
      <c r="R171" s="152"/>
      <c r="S171" s="152"/>
      <c r="T171" s="152"/>
      <c r="U171" s="152"/>
      <c r="AF171" s="10"/>
      <c r="AG171" s="10"/>
      <c r="AH171" s="10"/>
      <c r="AI171" s="10"/>
      <c r="AJ171" s="10"/>
      <c r="AK171" s="10"/>
      <c r="AL171" s="10"/>
    </row>
    <row r="172" spans="1:38" x14ac:dyDescent="0.25">
      <c r="A172" s="37">
        <f>+Données!A172</f>
        <v>5701</v>
      </c>
      <c r="B172" s="167" t="str">
        <f>+Données!B172</f>
        <v>Arnex-sur-Nyon</v>
      </c>
      <c r="C172" s="610">
        <f>+Ecrêtage!C172</f>
        <v>22528.026764705879</v>
      </c>
      <c r="D172" s="604"/>
      <c r="E172" s="610">
        <f>Données!AF172+Données!AG172+Données!AH172</f>
        <v>0</v>
      </c>
      <c r="F172" s="604">
        <f t="shared" si="14"/>
        <v>180224.21411764703</v>
      </c>
      <c r="G172" s="610">
        <f t="shared" si="15"/>
        <v>0</v>
      </c>
      <c r="H172" s="605">
        <f t="shared" si="16"/>
        <v>0</v>
      </c>
      <c r="I172" s="604"/>
      <c r="J172" s="610">
        <f>Données!AN172</f>
        <v>0</v>
      </c>
      <c r="K172" s="611">
        <f t="shared" si="17"/>
        <v>22528.026764705879</v>
      </c>
      <c r="L172" s="604">
        <f t="shared" si="18"/>
        <v>0</v>
      </c>
      <c r="M172" s="605">
        <f t="shared" si="19"/>
        <v>0</v>
      </c>
      <c r="N172" s="604"/>
      <c r="O172" s="612">
        <f t="shared" si="20"/>
        <v>0</v>
      </c>
      <c r="P172" s="180"/>
      <c r="Q172" s="152"/>
      <c r="R172" s="152"/>
      <c r="S172" s="152"/>
      <c r="T172" s="152"/>
      <c r="U172" s="152"/>
      <c r="AF172" s="10"/>
      <c r="AG172" s="10"/>
      <c r="AH172" s="10"/>
      <c r="AI172" s="10"/>
      <c r="AJ172" s="10"/>
      <c r="AK172" s="10"/>
      <c r="AL172" s="10"/>
    </row>
    <row r="173" spans="1:38" x14ac:dyDescent="0.25">
      <c r="A173" s="37">
        <f>+Données!A173</f>
        <v>5702</v>
      </c>
      <c r="B173" s="167" t="str">
        <f>+Données!B173</f>
        <v>Arzier-Le Muids</v>
      </c>
      <c r="C173" s="610">
        <f>+Ecrêtage!C173</f>
        <v>189129.79401041669</v>
      </c>
      <c r="D173" s="604"/>
      <c r="E173" s="610">
        <f>Données!AF173+Données!AG173+Données!AH173</f>
        <v>836816</v>
      </c>
      <c r="F173" s="604">
        <f t="shared" si="14"/>
        <v>1513038.3520833335</v>
      </c>
      <c r="G173" s="610">
        <f t="shared" si="15"/>
        <v>0</v>
      </c>
      <c r="H173" s="605">
        <f t="shared" si="16"/>
        <v>0</v>
      </c>
      <c r="I173" s="604"/>
      <c r="J173" s="610">
        <f>Données!AN173</f>
        <v>721463</v>
      </c>
      <c r="K173" s="611">
        <f t="shared" si="17"/>
        <v>189129.79401041669</v>
      </c>
      <c r="L173" s="604">
        <f t="shared" si="18"/>
        <v>532333.20598958328</v>
      </c>
      <c r="M173" s="605">
        <f t="shared" si="19"/>
        <v>-370685.8537097873</v>
      </c>
      <c r="N173" s="604"/>
      <c r="O173" s="612">
        <f t="shared" si="20"/>
        <v>-370685.8537097873</v>
      </c>
      <c r="P173" s="180"/>
      <c r="Q173" s="152"/>
      <c r="R173" s="152"/>
      <c r="S173" s="152"/>
      <c r="T173" s="152"/>
      <c r="U173" s="152"/>
      <c r="AF173" s="10"/>
      <c r="AG173" s="10"/>
      <c r="AH173" s="10"/>
      <c r="AI173" s="10"/>
      <c r="AJ173" s="10"/>
      <c r="AK173" s="10"/>
      <c r="AL173" s="10"/>
    </row>
    <row r="174" spans="1:38" x14ac:dyDescent="0.25">
      <c r="A174" s="37">
        <f>+Données!A174</f>
        <v>5703</v>
      </c>
      <c r="B174" s="167" t="str">
        <f>+Données!B174</f>
        <v>Bassins</v>
      </c>
      <c r="C174" s="610">
        <f>+Ecrêtage!C174</f>
        <v>69884.65087684727</v>
      </c>
      <c r="D174" s="604"/>
      <c r="E174" s="610">
        <f>Données!AF174+Données!AG174+Données!AH174</f>
        <v>0</v>
      </c>
      <c r="F174" s="604">
        <f t="shared" si="14"/>
        <v>559077.20701477816</v>
      </c>
      <c r="G174" s="610">
        <f t="shared" si="15"/>
        <v>0</v>
      </c>
      <c r="H174" s="605">
        <f t="shared" si="16"/>
        <v>0</v>
      </c>
      <c r="I174" s="604"/>
      <c r="J174" s="610">
        <f>Données!AN174</f>
        <v>0</v>
      </c>
      <c r="K174" s="611">
        <f t="shared" si="17"/>
        <v>69884.65087684727</v>
      </c>
      <c r="L174" s="604">
        <f t="shared" si="18"/>
        <v>0</v>
      </c>
      <c r="M174" s="605">
        <f t="shared" si="19"/>
        <v>0</v>
      </c>
      <c r="N174" s="604"/>
      <c r="O174" s="612">
        <f t="shared" si="20"/>
        <v>0</v>
      </c>
      <c r="P174" s="180"/>
      <c r="Q174" s="152"/>
      <c r="R174" s="152"/>
      <c r="S174" s="152"/>
      <c r="T174" s="152"/>
      <c r="U174" s="152"/>
      <c r="AF174" s="10"/>
      <c r="AG174" s="10"/>
      <c r="AH174" s="10"/>
      <c r="AI174" s="10"/>
      <c r="AJ174" s="10"/>
      <c r="AK174" s="10"/>
      <c r="AL174" s="10"/>
    </row>
    <row r="175" spans="1:38" x14ac:dyDescent="0.25">
      <c r="A175" s="37">
        <f>+Données!A175</f>
        <v>5704</v>
      </c>
      <c r="B175" s="167" t="str">
        <f>+Données!B175</f>
        <v>Begnins</v>
      </c>
      <c r="C175" s="610">
        <f>+Ecrêtage!C175</f>
        <v>151723.65322666671</v>
      </c>
      <c r="D175" s="604"/>
      <c r="E175" s="610">
        <f>Données!AF175+Données!AG175+Données!AH175</f>
        <v>820794</v>
      </c>
      <c r="F175" s="604">
        <f t="shared" si="14"/>
        <v>1213789.2258133336</v>
      </c>
      <c r="G175" s="610">
        <f t="shared" si="15"/>
        <v>0</v>
      </c>
      <c r="H175" s="605">
        <f t="shared" si="16"/>
        <v>0</v>
      </c>
      <c r="I175" s="604"/>
      <c r="J175" s="610">
        <f>Données!AN175</f>
        <v>33968</v>
      </c>
      <c r="K175" s="611">
        <f t="shared" si="17"/>
        <v>151723.65322666671</v>
      </c>
      <c r="L175" s="604">
        <f t="shared" si="18"/>
        <v>0</v>
      </c>
      <c r="M175" s="605">
        <f t="shared" si="19"/>
        <v>0</v>
      </c>
      <c r="N175" s="604"/>
      <c r="O175" s="612">
        <f t="shared" si="20"/>
        <v>0</v>
      </c>
      <c r="P175" s="180"/>
      <c r="Q175" s="152"/>
      <c r="R175" s="152"/>
      <c r="S175" s="152"/>
      <c r="T175" s="152"/>
      <c r="U175" s="152"/>
      <c r="AF175" s="10"/>
      <c r="AG175" s="10"/>
      <c r="AH175" s="10"/>
      <c r="AI175" s="10"/>
      <c r="AJ175" s="10"/>
      <c r="AK175" s="10"/>
      <c r="AL175" s="10"/>
    </row>
    <row r="176" spans="1:38" x14ac:dyDescent="0.25">
      <c r="A176" s="37">
        <f>+Données!A176</f>
        <v>5705</v>
      </c>
      <c r="B176" s="167" t="str">
        <f>+Données!B176</f>
        <v>Bogis-Bossey</v>
      </c>
      <c r="C176" s="610">
        <f>+Ecrêtage!C176</f>
        <v>60210.898873239443</v>
      </c>
      <c r="D176" s="604"/>
      <c r="E176" s="610">
        <f>Données!AF176+Données!AG176+Données!AH176</f>
        <v>0</v>
      </c>
      <c r="F176" s="604">
        <f t="shared" si="14"/>
        <v>481687.19098591554</v>
      </c>
      <c r="G176" s="610">
        <f t="shared" si="15"/>
        <v>0</v>
      </c>
      <c r="H176" s="605">
        <f t="shared" si="16"/>
        <v>0</v>
      </c>
      <c r="I176" s="604"/>
      <c r="J176" s="610">
        <f>Données!AN176</f>
        <v>0</v>
      </c>
      <c r="K176" s="611">
        <f t="shared" si="17"/>
        <v>60210.898873239443</v>
      </c>
      <c r="L176" s="604">
        <f t="shared" si="18"/>
        <v>0</v>
      </c>
      <c r="M176" s="605">
        <f t="shared" si="19"/>
        <v>0</v>
      </c>
      <c r="N176" s="604"/>
      <c r="O176" s="612">
        <f t="shared" si="20"/>
        <v>0</v>
      </c>
      <c r="P176" s="180"/>
      <c r="Q176" s="152"/>
      <c r="R176" s="152"/>
      <c r="S176" s="152"/>
      <c r="T176" s="152"/>
      <c r="U176" s="152"/>
      <c r="AF176" s="10"/>
      <c r="AG176" s="10"/>
      <c r="AH176" s="10"/>
      <c r="AI176" s="10"/>
      <c r="AJ176" s="10"/>
      <c r="AK176" s="10"/>
      <c r="AL176" s="10"/>
    </row>
    <row r="177" spans="1:38" x14ac:dyDescent="0.25">
      <c r="A177" s="37">
        <f>+Données!A177</f>
        <v>5706</v>
      </c>
      <c r="B177" s="167" t="str">
        <f>+Données!B177</f>
        <v>Borex</v>
      </c>
      <c r="C177" s="610">
        <f>+Ecrêtage!C177</f>
        <v>69165.019824561401</v>
      </c>
      <c r="D177" s="604"/>
      <c r="E177" s="610">
        <f>Données!AF177+Données!AG177+Données!AH177</f>
        <v>0</v>
      </c>
      <c r="F177" s="604">
        <f t="shared" si="14"/>
        <v>553320.15859649121</v>
      </c>
      <c r="G177" s="610">
        <f t="shared" si="15"/>
        <v>0</v>
      </c>
      <c r="H177" s="605">
        <f t="shared" si="16"/>
        <v>0</v>
      </c>
      <c r="I177" s="604"/>
      <c r="J177" s="610">
        <f>Données!AN177</f>
        <v>0</v>
      </c>
      <c r="K177" s="611">
        <f t="shared" si="17"/>
        <v>69165.019824561401</v>
      </c>
      <c r="L177" s="604">
        <f t="shared" si="18"/>
        <v>0</v>
      </c>
      <c r="M177" s="605">
        <f t="shared" si="19"/>
        <v>0</v>
      </c>
      <c r="N177" s="604"/>
      <c r="O177" s="612">
        <f t="shared" si="20"/>
        <v>0</v>
      </c>
      <c r="P177" s="180"/>
      <c r="Q177" s="152"/>
      <c r="R177" s="152"/>
      <c r="S177" s="152"/>
      <c r="T177" s="152"/>
      <c r="U177" s="152"/>
      <c r="AF177" s="10"/>
      <c r="AG177" s="10"/>
      <c r="AH177" s="10"/>
      <c r="AI177" s="10"/>
      <c r="AJ177" s="10"/>
      <c r="AK177" s="10"/>
      <c r="AL177" s="10"/>
    </row>
    <row r="178" spans="1:38" x14ac:dyDescent="0.25">
      <c r="A178" s="37">
        <f>+Données!A178</f>
        <v>5707</v>
      </c>
      <c r="B178" s="167" t="str">
        <f>+Données!B178</f>
        <v>Chavannes-de-Bogis</v>
      </c>
      <c r="C178" s="610">
        <f>+Ecrêtage!C178</f>
        <v>100327.22695402298</v>
      </c>
      <c r="D178" s="604"/>
      <c r="E178" s="610">
        <f>Données!AF178+Données!AG178+Données!AH178</f>
        <v>0</v>
      </c>
      <c r="F178" s="604">
        <f t="shared" si="14"/>
        <v>802617.8156321838</v>
      </c>
      <c r="G178" s="610">
        <f t="shared" si="15"/>
        <v>0</v>
      </c>
      <c r="H178" s="605">
        <f t="shared" si="16"/>
        <v>0</v>
      </c>
      <c r="I178" s="604"/>
      <c r="J178" s="610">
        <f>Données!AN178</f>
        <v>0</v>
      </c>
      <c r="K178" s="611">
        <f t="shared" si="17"/>
        <v>100327.22695402298</v>
      </c>
      <c r="L178" s="604">
        <f t="shared" si="18"/>
        <v>0</v>
      </c>
      <c r="M178" s="605">
        <f t="shared" si="19"/>
        <v>0</v>
      </c>
      <c r="N178" s="604"/>
      <c r="O178" s="612">
        <f t="shared" si="20"/>
        <v>0</v>
      </c>
      <c r="P178" s="180"/>
      <c r="Q178" s="152"/>
      <c r="R178" s="152"/>
      <c r="S178" s="152"/>
      <c r="T178" s="152"/>
      <c r="U178" s="152"/>
      <c r="AF178" s="10"/>
      <c r="AG178" s="10"/>
      <c r="AH178" s="10"/>
      <c r="AI178" s="10"/>
      <c r="AJ178" s="10"/>
      <c r="AK178" s="10"/>
      <c r="AL178" s="10"/>
    </row>
    <row r="179" spans="1:38" x14ac:dyDescent="0.25">
      <c r="A179" s="37">
        <f>+Données!A179</f>
        <v>5708</v>
      </c>
      <c r="B179" s="167" t="str">
        <f>+Données!B179</f>
        <v>Chavannes-des-Bois</v>
      </c>
      <c r="C179" s="610">
        <f>+Ecrêtage!C179</f>
        <v>70377.065294117638</v>
      </c>
      <c r="D179" s="604"/>
      <c r="E179" s="610">
        <f>Données!AF179+Données!AG179+Données!AH179</f>
        <v>0</v>
      </c>
      <c r="F179" s="604">
        <f t="shared" si="14"/>
        <v>563016.5223529411</v>
      </c>
      <c r="G179" s="610">
        <f t="shared" si="15"/>
        <v>0</v>
      </c>
      <c r="H179" s="605">
        <f t="shared" si="16"/>
        <v>0</v>
      </c>
      <c r="I179" s="604"/>
      <c r="J179" s="610">
        <f>Données!AN179</f>
        <v>0</v>
      </c>
      <c r="K179" s="611">
        <f t="shared" si="17"/>
        <v>70377.065294117638</v>
      </c>
      <c r="L179" s="604">
        <f t="shared" si="18"/>
        <v>0</v>
      </c>
      <c r="M179" s="605">
        <f t="shared" si="19"/>
        <v>0</v>
      </c>
      <c r="N179" s="604"/>
      <c r="O179" s="612">
        <f t="shared" si="20"/>
        <v>0</v>
      </c>
      <c r="P179" s="180"/>
      <c r="Q179" s="152"/>
      <c r="R179" s="152"/>
      <c r="S179" s="152"/>
      <c r="T179" s="152"/>
      <c r="U179" s="152"/>
      <c r="AF179" s="10"/>
      <c r="AG179" s="10"/>
      <c r="AH179" s="10"/>
      <c r="AI179" s="10"/>
      <c r="AJ179" s="10"/>
      <c r="AK179" s="10"/>
      <c r="AL179" s="10"/>
    </row>
    <row r="180" spans="1:38" x14ac:dyDescent="0.25">
      <c r="A180" s="37">
        <f>+Données!A180</f>
        <v>5709</v>
      </c>
      <c r="B180" s="167" t="str">
        <f>+Données!B180</f>
        <v>Chéserex</v>
      </c>
      <c r="C180" s="610">
        <f>+Ecrêtage!C180</f>
        <v>110900.39440677965</v>
      </c>
      <c r="D180" s="604"/>
      <c r="E180" s="610">
        <f>Données!AF180+Données!AG180+Données!AH180</f>
        <v>484140</v>
      </c>
      <c r="F180" s="604">
        <f t="shared" si="14"/>
        <v>887203.15525423724</v>
      </c>
      <c r="G180" s="610">
        <f t="shared" si="15"/>
        <v>0</v>
      </c>
      <c r="H180" s="605">
        <f t="shared" si="16"/>
        <v>0</v>
      </c>
      <c r="I180" s="604"/>
      <c r="J180" s="610">
        <f>Données!AN180</f>
        <v>101945</v>
      </c>
      <c r="K180" s="611">
        <f t="shared" si="17"/>
        <v>110900.39440677965</v>
      </c>
      <c r="L180" s="604">
        <f t="shared" si="18"/>
        <v>0</v>
      </c>
      <c r="M180" s="605">
        <f t="shared" si="19"/>
        <v>0</v>
      </c>
      <c r="N180" s="604"/>
      <c r="O180" s="612">
        <f t="shared" si="20"/>
        <v>0</v>
      </c>
      <c r="P180" s="180"/>
      <c r="Q180" s="152"/>
      <c r="R180" s="152"/>
      <c r="S180" s="152"/>
      <c r="T180" s="152"/>
      <c r="U180" s="152"/>
      <c r="AF180" s="10"/>
      <c r="AG180" s="10"/>
      <c r="AH180" s="10"/>
      <c r="AI180" s="10"/>
      <c r="AJ180" s="10"/>
      <c r="AK180" s="10"/>
      <c r="AL180" s="10"/>
    </row>
    <row r="181" spans="1:38" x14ac:dyDescent="0.25">
      <c r="A181" s="37">
        <f>+Données!A181</f>
        <v>5710</v>
      </c>
      <c r="B181" s="167" t="str">
        <f>+Données!B181</f>
        <v>Coinsins</v>
      </c>
      <c r="C181" s="610">
        <f>+Ecrêtage!C181</f>
        <v>25704.31551020408</v>
      </c>
      <c r="D181" s="604"/>
      <c r="E181" s="610">
        <f>Données!AF181+Données!AG181+Données!AH181</f>
        <v>172781</v>
      </c>
      <c r="F181" s="604">
        <f t="shared" si="14"/>
        <v>205634.52408163264</v>
      </c>
      <c r="G181" s="610">
        <f t="shared" si="15"/>
        <v>0</v>
      </c>
      <c r="H181" s="605">
        <f t="shared" si="16"/>
        <v>0</v>
      </c>
      <c r="I181" s="604"/>
      <c r="J181" s="610">
        <f>Données!AN181</f>
        <v>2110</v>
      </c>
      <c r="K181" s="611">
        <f t="shared" si="17"/>
        <v>25704.31551020408</v>
      </c>
      <c r="L181" s="604">
        <f t="shared" si="18"/>
        <v>0</v>
      </c>
      <c r="M181" s="605">
        <f t="shared" si="19"/>
        <v>0</v>
      </c>
      <c r="N181" s="604"/>
      <c r="O181" s="612">
        <f t="shared" si="20"/>
        <v>0</v>
      </c>
      <c r="P181" s="180"/>
      <c r="Q181" s="152"/>
      <c r="R181" s="152"/>
      <c r="S181" s="152"/>
      <c r="T181" s="152"/>
      <c r="U181" s="152"/>
      <c r="AF181" s="10"/>
      <c r="AG181" s="10"/>
      <c r="AH181" s="10"/>
      <c r="AI181" s="10"/>
      <c r="AJ181" s="10"/>
      <c r="AK181" s="10"/>
      <c r="AL181" s="10"/>
    </row>
    <row r="182" spans="1:38" x14ac:dyDescent="0.25">
      <c r="A182" s="37">
        <f>+Données!A182</f>
        <v>5711</v>
      </c>
      <c r="B182" s="167" t="str">
        <f>+Données!B182</f>
        <v>Commugny</v>
      </c>
      <c r="C182" s="610">
        <f>+Ecrêtage!C182</f>
        <v>294735.07522267208</v>
      </c>
      <c r="D182" s="604"/>
      <c r="E182" s="610">
        <f>Données!AF182+Données!AG182+Données!AH182</f>
        <v>0</v>
      </c>
      <c r="F182" s="604">
        <f t="shared" si="14"/>
        <v>2357880.6017813766</v>
      </c>
      <c r="G182" s="610">
        <f t="shared" si="15"/>
        <v>0</v>
      </c>
      <c r="H182" s="605">
        <f t="shared" si="16"/>
        <v>0</v>
      </c>
      <c r="I182" s="604"/>
      <c r="J182" s="610">
        <f>Données!AN182</f>
        <v>0</v>
      </c>
      <c r="K182" s="611">
        <f t="shared" si="17"/>
        <v>294735.07522267208</v>
      </c>
      <c r="L182" s="604">
        <f t="shared" si="18"/>
        <v>0</v>
      </c>
      <c r="M182" s="605">
        <f t="shared" si="19"/>
        <v>0</v>
      </c>
      <c r="N182" s="604"/>
      <c r="O182" s="612">
        <f t="shared" si="20"/>
        <v>0</v>
      </c>
      <c r="P182" s="180"/>
      <c r="Q182" s="152"/>
      <c r="R182" s="152"/>
      <c r="S182" s="152"/>
      <c r="T182" s="152"/>
      <c r="U182" s="152"/>
      <c r="AF182" s="10"/>
      <c r="AG182" s="10"/>
      <c r="AH182" s="10"/>
      <c r="AI182" s="10"/>
      <c r="AJ182" s="10"/>
      <c r="AK182" s="10"/>
      <c r="AL182" s="10"/>
    </row>
    <row r="183" spans="1:38" x14ac:dyDescent="0.25">
      <c r="A183" s="37">
        <f>+Données!A183</f>
        <v>5712</v>
      </c>
      <c r="B183" s="167" t="str">
        <f>+Données!B183</f>
        <v>Coppet</v>
      </c>
      <c r="C183" s="610">
        <f>+Ecrêtage!C183</f>
        <v>457797.09461988311</v>
      </c>
      <c r="D183" s="604"/>
      <c r="E183" s="610">
        <f>Données!AF183+Données!AG183+Données!AH183</f>
        <v>1459555</v>
      </c>
      <c r="F183" s="604">
        <f t="shared" si="14"/>
        <v>3662376.7569590649</v>
      </c>
      <c r="G183" s="610">
        <f t="shared" si="15"/>
        <v>0</v>
      </c>
      <c r="H183" s="605">
        <f t="shared" si="16"/>
        <v>0</v>
      </c>
      <c r="I183" s="604"/>
      <c r="J183" s="610">
        <f>Données!AN183</f>
        <v>0</v>
      </c>
      <c r="K183" s="611">
        <f t="shared" si="17"/>
        <v>457797.09461988311</v>
      </c>
      <c r="L183" s="604">
        <f t="shared" si="18"/>
        <v>0</v>
      </c>
      <c r="M183" s="605">
        <f t="shared" si="19"/>
        <v>0</v>
      </c>
      <c r="N183" s="604"/>
      <c r="O183" s="612">
        <f t="shared" si="20"/>
        <v>0</v>
      </c>
      <c r="P183" s="180"/>
      <c r="Q183" s="152"/>
      <c r="R183" s="152"/>
      <c r="S183" s="152"/>
      <c r="T183" s="152"/>
      <c r="U183" s="152"/>
      <c r="AF183" s="10"/>
      <c r="AG183" s="10"/>
      <c r="AH183" s="10"/>
      <c r="AI183" s="10"/>
      <c r="AJ183" s="10"/>
      <c r="AK183" s="10"/>
      <c r="AL183" s="10"/>
    </row>
    <row r="184" spans="1:38" x14ac:dyDescent="0.25">
      <c r="A184" s="37">
        <f>+Données!A184</f>
        <v>5713</v>
      </c>
      <c r="B184" s="167" t="str">
        <f>+Données!B184</f>
        <v>Crans</v>
      </c>
      <c r="C184" s="610">
        <f>+Ecrêtage!C184</f>
        <v>285226.41440677963</v>
      </c>
      <c r="D184" s="604"/>
      <c r="E184" s="610">
        <f>Données!AF184+Données!AG184+Données!AH184</f>
        <v>0</v>
      </c>
      <c r="F184" s="604">
        <f t="shared" si="14"/>
        <v>2281811.315254237</v>
      </c>
      <c r="G184" s="610">
        <f t="shared" si="15"/>
        <v>0</v>
      </c>
      <c r="H184" s="605">
        <f t="shared" si="16"/>
        <v>0</v>
      </c>
      <c r="I184" s="604"/>
      <c r="J184" s="610">
        <f>Données!AN184</f>
        <v>0</v>
      </c>
      <c r="K184" s="611">
        <f t="shared" si="17"/>
        <v>285226.41440677963</v>
      </c>
      <c r="L184" s="604">
        <f t="shared" si="18"/>
        <v>0</v>
      </c>
      <c r="M184" s="605">
        <f t="shared" si="19"/>
        <v>0</v>
      </c>
      <c r="N184" s="604"/>
      <c r="O184" s="612">
        <f t="shared" si="20"/>
        <v>0</v>
      </c>
      <c r="P184" s="180"/>
      <c r="Q184" s="152"/>
      <c r="R184" s="152"/>
      <c r="S184" s="152"/>
      <c r="T184" s="152"/>
      <c r="U184" s="152"/>
      <c r="AF184" s="10"/>
      <c r="AG184" s="10"/>
      <c r="AH184" s="10"/>
      <c r="AI184" s="10"/>
      <c r="AJ184" s="10"/>
      <c r="AK184" s="10"/>
      <c r="AL184" s="10"/>
    </row>
    <row r="185" spans="1:38" x14ac:dyDescent="0.25">
      <c r="A185" s="37">
        <f>+Données!A185</f>
        <v>5714</v>
      </c>
      <c r="B185" s="167" t="str">
        <f>+Données!B185</f>
        <v>Crassier</v>
      </c>
      <c r="C185" s="610">
        <f>+Ecrêtage!C185</f>
        <v>67017.221203007502</v>
      </c>
      <c r="D185" s="604"/>
      <c r="E185" s="610">
        <f>Données!AF185+Données!AG185+Données!AH185</f>
        <v>0</v>
      </c>
      <c r="F185" s="604">
        <f t="shared" si="14"/>
        <v>536137.76962406002</v>
      </c>
      <c r="G185" s="610">
        <f t="shared" si="15"/>
        <v>0</v>
      </c>
      <c r="H185" s="605">
        <f t="shared" si="16"/>
        <v>0</v>
      </c>
      <c r="I185" s="604"/>
      <c r="J185" s="610">
        <f>Données!AN185</f>
        <v>0</v>
      </c>
      <c r="K185" s="611">
        <f t="shared" si="17"/>
        <v>67017.221203007502</v>
      </c>
      <c r="L185" s="604">
        <f t="shared" si="18"/>
        <v>0</v>
      </c>
      <c r="M185" s="605">
        <f t="shared" si="19"/>
        <v>0</v>
      </c>
      <c r="N185" s="604"/>
      <c r="O185" s="612">
        <f t="shared" si="20"/>
        <v>0</v>
      </c>
      <c r="P185" s="180"/>
      <c r="Q185" s="152"/>
      <c r="R185" s="152"/>
      <c r="S185" s="152"/>
      <c r="T185" s="152"/>
      <c r="U185" s="152"/>
      <c r="AF185" s="10"/>
      <c r="AG185" s="10"/>
      <c r="AH185" s="10"/>
      <c r="AI185" s="10"/>
      <c r="AJ185" s="10"/>
      <c r="AK185" s="10"/>
      <c r="AL185" s="10"/>
    </row>
    <row r="186" spans="1:38" x14ac:dyDescent="0.25">
      <c r="A186" s="37">
        <f>+Données!A186</f>
        <v>5715</v>
      </c>
      <c r="B186" s="167" t="str">
        <f>+Données!B186</f>
        <v>Duillier</v>
      </c>
      <c r="C186" s="610">
        <f>+Ecrêtage!C186</f>
        <v>58499.436969696966</v>
      </c>
      <c r="D186" s="604"/>
      <c r="E186" s="610">
        <f>Données!AF186+Données!AG186+Données!AH186</f>
        <v>0</v>
      </c>
      <c r="F186" s="604">
        <f t="shared" si="14"/>
        <v>467995.49575757573</v>
      </c>
      <c r="G186" s="610">
        <f t="shared" si="15"/>
        <v>0</v>
      </c>
      <c r="H186" s="605">
        <f t="shared" si="16"/>
        <v>0</v>
      </c>
      <c r="I186" s="604"/>
      <c r="J186" s="610">
        <f>Données!AN186</f>
        <v>0</v>
      </c>
      <c r="K186" s="611">
        <f t="shared" si="17"/>
        <v>58499.436969696966</v>
      </c>
      <c r="L186" s="604">
        <f t="shared" si="18"/>
        <v>0</v>
      </c>
      <c r="M186" s="605">
        <f t="shared" si="19"/>
        <v>0</v>
      </c>
      <c r="N186" s="604"/>
      <c r="O186" s="612">
        <f t="shared" si="20"/>
        <v>0</v>
      </c>
      <c r="P186" s="180"/>
      <c r="Q186" s="152"/>
      <c r="R186" s="152"/>
      <c r="S186" s="152"/>
      <c r="T186" s="152"/>
      <c r="U186" s="152"/>
      <c r="AF186" s="10"/>
      <c r="AG186" s="10"/>
      <c r="AH186" s="10"/>
      <c r="AI186" s="10"/>
      <c r="AJ186" s="10"/>
      <c r="AK186" s="10"/>
      <c r="AL186" s="10"/>
    </row>
    <row r="187" spans="1:38" x14ac:dyDescent="0.25">
      <c r="A187" s="37">
        <f>+Données!A187</f>
        <v>5716</v>
      </c>
      <c r="B187" s="167" t="str">
        <f>+Données!B187</f>
        <v>Eysins</v>
      </c>
      <c r="C187" s="610">
        <f>+Ecrêtage!C187</f>
        <v>387894.76554621849</v>
      </c>
      <c r="D187" s="604"/>
      <c r="E187" s="610">
        <f>Données!AF187+Données!AG187+Données!AH187</f>
        <v>0</v>
      </c>
      <c r="F187" s="604">
        <f t="shared" si="14"/>
        <v>3103158.1243697479</v>
      </c>
      <c r="G187" s="610">
        <f t="shared" si="15"/>
        <v>0</v>
      </c>
      <c r="H187" s="605">
        <f t="shared" si="16"/>
        <v>0</v>
      </c>
      <c r="I187" s="604"/>
      <c r="J187" s="610">
        <f>Données!AN187</f>
        <v>0</v>
      </c>
      <c r="K187" s="611">
        <f t="shared" si="17"/>
        <v>387894.76554621849</v>
      </c>
      <c r="L187" s="604">
        <f t="shared" si="18"/>
        <v>0</v>
      </c>
      <c r="M187" s="605">
        <f t="shared" si="19"/>
        <v>0</v>
      </c>
      <c r="N187" s="604"/>
      <c r="O187" s="612">
        <f t="shared" si="20"/>
        <v>0</v>
      </c>
      <c r="P187" s="180"/>
      <c r="Q187" s="152"/>
      <c r="R187" s="152"/>
      <c r="S187" s="152"/>
      <c r="T187" s="152"/>
      <c r="U187" s="152"/>
      <c r="AF187" s="10"/>
      <c r="AG187" s="10"/>
      <c r="AH187" s="10"/>
      <c r="AI187" s="10"/>
      <c r="AJ187" s="10"/>
      <c r="AK187" s="10"/>
      <c r="AL187" s="10"/>
    </row>
    <row r="188" spans="1:38" x14ac:dyDescent="0.25">
      <c r="A188" s="37">
        <f>+Données!A188</f>
        <v>5717</v>
      </c>
      <c r="B188" s="167" t="str">
        <f>+Données!B188</f>
        <v>Founex</v>
      </c>
      <c r="C188" s="610">
        <f>+Ecrêtage!C188</f>
        <v>389506.02859649126</v>
      </c>
      <c r="D188" s="604"/>
      <c r="E188" s="610">
        <f>Données!AF188+Données!AG188+Données!AH188</f>
        <v>0</v>
      </c>
      <c r="F188" s="604">
        <f t="shared" si="14"/>
        <v>3116048.2287719301</v>
      </c>
      <c r="G188" s="610">
        <f t="shared" si="15"/>
        <v>0</v>
      </c>
      <c r="H188" s="605">
        <f t="shared" si="16"/>
        <v>0</v>
      </c>
      <c r="I188" s="604"/>
      <c r="J188" s="610">
        <f>Données!AN188</f>
        <v>0</v>
      </c>
      <c r="K188" s="611">
        <f t="shared" si="17"/>
        <v>389506.02859649126</v>
      </c>
      <c r="L188" s="604">
        <f t="shared" si="18"/>
        <v>0</v>
      </c>
      <c r="M188" s="605">
        <f t="shared" si="19"/>
        <v>0</v>
      </c>
      <c r="N188" s="604"/>
      <c r="O188" s="612">
        <f t="shared" si="20"/>
        <v>0</v>
      </c>
      <c r="P188" s="180"/>
      <c r="Q188" s="152"/>
      <c r="R188" s="152"/>
      <c r="S188" s="152"/>
      <c r="T188" s="152"/>
      <c r="U188" s="152"/>
      <c r="AF188" s="10"/>
      <c r="AG188" s="10"/>
      <c r="AH188" s="10"/>
      <c r="AI188" s="10"/>
      <c r="AJ188" s="10"/>
      <c r="AK188" s="10"/>
      <c r="AL188" s="10"/>
    </row>
    <row r="189" spans="1:38" s="117" customFormat="1" x14ac:dyDescent="0.25">
      <c r="A189" s="37">
        <f>+Données!A189</f>
        <v>5718</v>
      </c>
      <c r="B189" s="167" t="str">
        <f>+Données!B189</f>
        <v>Genolier</v>
      </c>
      <c r="C189" s="610">
        <f>+Ecrêtage!C189</f>
        <v>239613.31826923083</v>
      </c>
      <c r="D189" s="604"/>
      <c r="E189" s="610">
        <f>Données!AF189+Données!AG189+Données!AH189</f>
        <v>0</v>
      </c>
      <c r="F189" s="604">
        <f t="shared" si="14"/>
        <v>1916906.5461538467</v>
      </c>
      <c r="G189" s="610">
        <f t="shared" si="15"/>
        <v>0</v>
      </c>
      <c r="H189" s="605">
        <f t="shared" si="16"/>
        <v>0</v>
      </c>
      <c r="I189" s="604"/>
      <c r="J189" s="610">
        <f>Données!AN189</f>
        <v>0</v>
      </c>
      <c r="K189" s="613">
        <f t="shared" si="17"/>
        <v>239613.31826923083</v>
      </c>
      <c r="L189" s="614">
        <f t="shared" si="18"/>
        <v>0</v>
      </c>
      <c r="M189" s="605">
        <f t="shared" si="19"/>
        <v>0</v>
      </c>
      <c r="N189" s="604"/>
      <c r="O189" s="612">
        <f t="shared" si="20"/>
        <v>0</v>
      </c>
      <c r="P189" s="180"/>
      <c r="Q189" s="152"/>
      <c r="R189" s="152"/>
      <c r="S189" s="152"/>
      <c r="T189" s="152"/>
      <c r="U189" s="152"/>
      <c r="V189" s="146"/>
      <c r="W189" s="146"/>
      <c r="X189" s="146"/>
      <c r="Y189" s="146"/>
      <c r="Z189" s="146"/>
      <c r="AA189" s="146"/>
      <c r="AB189" s="146"/>
      <c r="AC189" s="146"/>
      <c r="AD189" s="146"/>
      <c r="AE189" s="146"/>
    </row>
    <row r="190" spans="1:38" x14ac:dyDescent="0.25">
      <c r="A190" s="37">
        <f>+Données!A190</f>
        <v>5719</v>
      </c>
      <c r="B190" s="167" t="str">
        <f>+Données!B190</f>
        <v>Gingins</v>
      </c>
      <c r="C190" s="610">
        <f>+Ecrêtage!C190</f>
        <v>173273.6891111111</v>
      </c>
      <c r="D190" s="604"/>
      <c r="E190" s="610">
        <f>Données!AF190+Données!AG190+Données!AH190</f>
        <v>0</v>
      </c>
      <c r="F190" s="604">
        <f t="shared" si="14"/>
        <v>1386189.5128888888</v>
      </c>
      <c r="G190" s="610">
        <f t="shared" si="15"/>
        <v>0</v>
      </c>
      <c r="H190" s="605">
        <f t="shared" si="16"/>
        <v>0</v>
      </c>
      <c r="I190" s="604"/>
      <c r="J190" s="610">
        <f>Données!AN190</f>
        <v>0</v>
      </c>
      <c r="K190" s="611">
        <f t="shared" si="17"/>
        <v>173273.6891111111</v>
      </c>
      <c r="L190" s="604">
        <f t="shared" si="18"/>
        <v>0</v>
      </c>
      <c r="M190" s="605">
        <f t="shared" si="19"/>
        <v>0</v>
      </c>
      <c r="N190" s="604"/>
      <c r="O190" s="612">
        <f t="shared" si="20"/>
        <v>0</v>
      </c>
      <c r="P190" s="180"/>
      <c r="Q190" s="152"/>
      <c r="R190" s="152"/>
      <c r="S190" s="152"/>
      <c r="T190" s="152"/>
      <c r="U190" s="152"/>
      <c r="AF190" s="10"/>
      <c r="AG190" s="10"/>
      <c r="AH190" s="10"/>
      <c r="AI190" s="10"/>
      <c r="AJ190" s="10"/>
      <c r="AK190" s="10"/>
      <c r="AL190" s="10"/>
    </row>
    <row r="191" spans="1:38" x14ac:dyDescent="0.25">
      <c r="A191" s="37">
        <f>+Données!A191</f>
        <v>5720</v>
      </c>
      <c r="B191" s="167" t="str">
        <f>+Données!B191</f>
        <v>Givrins</v>
      </c>
      <c r="C191" s="610">
        <f>+Ecrêtage!C191</f>
        <v>77350.1792703151</v>
      </c>
      <c r="D191" s="604"/>
      <c r="E191" s="610">
        <f>Données!AF191+Données!AG191+Données!AH191</f>
        <v>425130</v>
      </c>
      <c r="F191" s="604">
        <f t="shared" si="14"/>
        <v>618801.4341625208</v>
      </c>
      <c r="G191" s="610">
        <f t="shared" si="15"/>
        <v>0</v>
      </c>
      <c r="H191" s="605">
        <f t="shared" si="16"/>
        <v>0</v>
      </c>
      <c r="I191" s="604"/>
      <c r="J191" s="610">
        <f>Données!AN191</f>
        <v>115250</v>
      </c>
      <c r="K191" s="611">
        <f t="shared" si="17"/>
        <v>77350.1792703151</v>
      </c>
      <c r="L191" s="604">
        <f t="shared" si="18"/>
        <v>37899.8207296849</v>
      </c>
      <c r="M191" s="605">
        <f t="shared" si="19"/>
        <v>-26391.228735233271</v>
      </c>
      <c r="N191" s="604"/>
      <c r="O191" s="612">
        <f t="shared" si="20"/>
        <v>-26391.228735233271</v>
      </c>
      <c r="P191" s="180"/>
      <c r="Q191" s="152"/>
      <c r="R191" s="152"/>
      <c r="S191" s="152"/>
      <c r="T191" s="152"/>
      <c r="U191" s="152"/>
      <c r="AF191" s="10"/>
      <c r="AG191" s="10"/>
      <c r="AH191" s="10"/>
      <c r="AI191" s="10"/>
      <c r="AJ191" s="10"/>
      <c r="AK191" s="10"/>
      <c r="AL191" s="10"/>
    </row>
    <row r="192" spans="1:38" x14ac:dyDescent="0.25">
      <c r="A192" s="37">
        <f>+Données!A192</f>
        <v>5721</v>
      </c>
      <c r="B192" s="167" t="str">
        <f>+Données!B192</f>
        <v>Gland</v>
      </c>
      <c r="C192" s="610">
        <f>+Ecrêtage!C192</f>
        <v>727883.96163934411</v>
      </c>
      <c r="D192" s="604"/>
      <c r="E192" s="610">
        <f>Données!AF192+Données!AG192+Données!AH192</f>
        <v>5515546</v>
      </c>
      <c r="F192" s="604">
        <f t="shared" si="14"/>
        <v>5823071.6931147529</v>
      </c>
      <c r="G192" s="610">
        <f t="shared" si="15"/>
        <v>0</v>
      </c>
      <c r="H192" s="605">
        <f t="shared" si="16"/>
        <v>0</v>
      </c>
      <c r="I192" s="604"/>
      <c r="J192" s="610">
        <f>Données!AN192</f>
        <v>44434</v>
      </c>
      <c r="K192" s="611">
        <f t="shared" si="17"/>
        <v>727883.96163934411</v>
      </c>
      <c r="L192" s="604">
        <f t="shared" si="18"/>
        <v>0</v>
      </c>
      <c r="M192" s="605">
        <f t="shared" si="19"/>
        <v>0</v>
      </c>
      <c r="N192" s="604"/>
      <c r="O192" s="612">
        <f t="shared" si="20"/>
        <v>0</v>
      </c>
      <c r="P192" s="180"/>
      <c r="Q192" s="152"/>
      <c r="R192" s="152"/>
      <c r="S192" s="152"/>
      <c r="T192" s="152"/>
      <c r="U192" s="152"/>
      <c r="AF192" s="10"/>
      <c r="AG192" s="10"/>
      <c r="AH192" s="10"/>
      <c r="AI192" s="10"/>
      <c r="AJ192" s="10"/>
      <c r="AK192" s="10"/>
      <c r="AL192" s="10"/>
    </row>
    <row r="193" spans="1:38" x14ac:dyDescent="0.25">
      <c r="A193" s="37">
        <f>+Données!A193</f>
        <v>5722</v>
      </c>
      <c r="B193" s="167" t="str">
        <f>+Données!B193</f>
        <v>Grens</v>
      </c>
      <c r="C193" s="610">
        <f>+Ecrêtage!C193</f>
        <v>33694.831129032267</v>
      </c>
      <c r="D193" s="604"/>
      <c r="E193" s="610">
        <f>Données!AF193+Données!AG193+Données!AH193</f>
        <v>0</v>
      </c>
      <c r="F193" s="604">
        <f t="shared" si="14"/>
        <v>269558.64903225814</v>
      </c>
      <c r="G193" s="610">
        <f t="shared" si="15"/>
        <v>0</v>
      </c>
      <c r="H193" s="605">
        <f t="shared" si="16"/>
        <v>0</v>
      </c>
      <c r="I193" s="604"/>
      <c r="J193" s="610">
        <f>Données!AN193</f>
        <v>0</v>
      </c>
      <c r="K193" s="611">
        <f t="shared" si="17"/>
        <v>33694.831129032267</v>
      </c>
      <c r="L193" s="604">
        <f t="shared" si="18"/>
        <v>0</v>
      </c>
      <c r="M193" s="605">
        <f t="shared" si="19"/>
        <v>0</v>
      </c>
      <c r="N193" s="604"/>
      <c r="O193" s="612">
        <f t="shared" si="20"/>
        <v>0</v>
      </c>
      <c r="P193" s="180"/>
      <c r="Q193" s="152"/>
      <c r="R193" s="152"/>
      <c r="S193" s="152"/>
      <c r="T193" s="152"/>
      <c r="U193" s="152"/>
      <c r="AF193" s="10"/>
      <c r="AG193" s="10"/>
      <c r="AH193" s="10"/>
      <c r="AI193" s="10"/>
      <c r="AJ193" s="10"/>
      <c r="AK193" s="10"/>
      <c r="AL193" s="10"/>
    </row>
    <row r="194" spans="1:38" x14ac:dyDescent="0.25">
      <c r="A194" s="37">
        <f>+Données!A194</f>
        <v>5723</v>
      </c>
      <c r="B194" s="167" t="str">
        <f>+Données!B194</f>
        <v>Mies</v>
      </c>
      <c r="C194" s="610">
        <f>+Ecrêtage!C194</f>
        <v>272663.2930188679</v>
      </c>
      <c r="D194" s="604"/>
      <c r="E194" s="610">
        <f>Données!AF194+Données!AG194+Données!AH194</f>
        <v>0</v>
      </c>
      <c r="F194" s="604">
        <f t="shared" si="14"/>
        <v>2181306.3441509432</v>
      </c>
      <c r="G194" s="610">
        <f t="shared" si="15"/>
        <v>0</v>
      </c>
      <c r="H194" s="605">
        <f t="shared" si="16"/>
        <v>0</v>
      </c>
      <c r="I194" s="604"/>
      <c r="J194" s="610">
        <f>Données!AN194</f>
        <v>0</v>
      </c>
      <c r="K194" s="611">
        <f t="shared" si="17"/>
        <v>272663.2930188679</v>
      </c>
      <c r="L194" s="604">
        <f t="shared" si="18"/>
        <v>0</v>
      </c>
      <c r="M194" s="605">
        <f t="shared" si="19"/>
        <v>0</v>
      </c>
      <c r="N194" s="604"/>
      <c r="O194" s="612">
        <f t="shared" si="20"/>
        <v>0</v>
      </c>
      <c r="P194" s="180"/>
      <c r="Q194" s="152"/>
      <c r="R194" s="152"/>
      <c r="S194" s="152"/>
      <c r="T194" s="152"/>
      <c r="U194" s="152"/>
      <c r="AF194" s="10"/>
      <c r="AG194" s="10"/>
      <c r="AH194" s="10"/>
      <c r="AI194" s="10"/>
      <c r="AJ194" s="10"/>
      <c r="AK194" s="10"/>
      <c r="AL194" s="10"/>
    </row>
    <row r="195" spans="1:38" x14ac:dyDescent="0.25">
      <c r="A195" s="37">
        <f>+Données!A195</f>
        <v>5724</v>
      </c>
      <c r="B195" s="167" t="str">
        <f>+Données!B195</f>
        <v>Nyon</v>
      </c>
      <c r="C195" s="610">
        <f>+Ecrêtage!C195</f>
        <v>1639938.8194535521</v>
      </c>
      <c r="D195" s="604"/>
      <c r="E195" s="610">
        <f>Données!AF195+Données!AG195+Données!AH195</f>
        <v>14530392</v>
      </c>
      <c r="F195" s="604">
        <f t="shared" si="14"/>
        <v>13119510.555628417</v>
      </c>
      <c r="G195" s="610">
        <f t="shared" si="15"/>
        <v>1410881.4443715829</v>
      </c>
      <c r="H195" s="605">
        <f t="shared" si="16"/>
        <v>-982455.70031265717</v>
      </c>
      <c r="I195" s="604"/>
      <c r="J195" s="610">
        <f>Données!AN195</f>
        <v>692952</v>
      </c>
      <c r="K195" s="611">
        <f t="shared" si="17"/>
        <v>1639938.8194535521</v>
      </c>
      <c r="L195" s="604">
        <f t="shared" si="18"/>
        <v>0</v>
      </c>
      <c r="M195" s="605">
        <f t="shared" si="19"/>
        <v>0</v>
      </c>
      <c r="N195" s="604"/>
      <c r="O195" s="612">
        <f t="shared" si="20"/>
        <v>-982455.70031265717</v>
      </c>
      <c r="P195" s="180"/>
      <c r="Q195" s="152"/>
      <c r="R195" s="152"/>
      <c r="S195" s="152"/>
      <c r="T195" s="152"/>
      <c r="U195" s="152"/>
      <c r="AF195" s="10"/>
      <c r="AG195" s="10"/>
      <c r="AH195" s="10"/>
      <c r="AI195" s="10"/>
      <c r="AJ195" s="10"/>
      <c r="AK195" s="10"/>
      <c r="AL195" s="10"/>
    </row>
    <row r="196" spans="1:38" x14ac:dyDescent="0.25">
      <c r="A196" s="37">
        <f>+Données!A196</f>
        <v>5725</v>
      </c>
      <c r="B196" s="167" t="str">
        <f>+Données!B196</f>
        <v>Prangins</v>
      </c>
      <c r="C196" s="610">
        <f>+Ecrêtage!C196</f>
        <v>367942.11179220775</v>
      </c>
      <c r="D196" s="604"/>
      <c r="E196" s="610">
        <f>Données!AF196+Données!AG196+Données!AH196</f>
        <v>0</v>
      </c>
      <c r="F196" s="604">
        <f t="shared" si="14"/>
        <v>2943536.894337662</v>
      </c>
      <c r="G196" s="610">
        <f t="shared" si="15"/>
        <v>0</v>
      </c>
      <c r="H196" s="605">
        <f t="shared" si="16"/>
        <v>0</v>
      </c>
      <c r="I196" s="604"/>
      <c r="J196" s="610">
        <f>Données!AN196</f>
        <v>0</v>
      </c>
      <c r="K196" s="611">
        <f t="shared" si="17"/>
        <v>367942.11179220775</v>
      </c>
      <c r="L196" s="604">
        <f t="shared" si="18"/>
        <v>0</v>
      </c>
      <c r="M196" s="605">
        <f t="shared" si="19"/>
        <v>0</v>
      </c>
      <c r="N196" s="604"/>
      <c r="O196" s="612">
        <f t="shared" si="20"/>
        <v>0</v>
      </c>
      <c r="P196" s="180"/>
      <c r="Q196" s="152"/>
      <c r="R196" s="152"/>
      <c r="S196" s="152"/>
      <c r="T196" s="152"/>
      <c r="U196" s="152"/>
      <c r="AF196" s="10"/>
      <c r="AG196" s="10"/>
      <c r="AH196" s="10"/>
      <c r="AI196" s="10"/>
      <c r="AJ196" s="10"/>
      <c r="AK196" s="10"/>
      <c r="AL196" s="10"/>
    </row>
    <row r="197" spans="1:38" x14ac:dyDescent="0.25">
      <c r="A197" s="37">
        <f>+Données!A197</f>
        <v>5726</v>
      </c>
      <c r="B197" s="167" t="str">
        <f>+Données!B197</f>
        <v>La Rippe</v>
      </c>
      <c r="C197" s="610">
        <f>+Ecrêtage!C197</f>
        <v>73377.861102362207</v>
      </c>
      <c r="D197" s="604"/>
      <c r="E197" s="610">
        <f>Données!AF197+Données!AG197+Données!AH197</f>
        <v>0</v>
      </c>
      <c r="F197" s="604">
        <f t="shared" si="14"/>
        <v>587022.88881889766</v>
      </c>
      <c r="G197" s="610">
        <f t="shared" si="15"/>
        <v>0</v>
      </c>
      <c r="H197" s="605">
        <f t="shared" si="16"/>
        <v>0</v>
      </c>
      <c r="I197" s="604"/>
      <c r="J197" s="610">
        <f>Données!AN197</f>
        <v>0</v>
      </c>
      <c r="K197" s="611">
        <f t="shared" si="17"/>
        <v>73377.861102362207</v>
      </c>
      <c r="L197" s="604">
        <f t="shared" si="18"/>
        <v>0</v>
      </c>
      <c r="M197" s="605">
        <f t="shared" si="19"/>
        <v>0</v>
      </c>
      <c r="N197" s="604"/>
      <c r="O197" s="612">
        <f t="shared" si="20"/>
        <v>0</v>
      </c>
      <c r="P197" s="180"/>
      <c r="Q197" s="152"/>
      <c r="R197" s="152"/>
      <c r="S197" s="152"/>
      <c r="T197" s="152"/>
      <c r="U197" s="152"/>
      <c r="AF197" s="10"/>
      <c r="AG197" s="10"/>
      <c r="AH197" s="10"/>
      <c r="AI197" s="10"/>
      <c r="AJ197" s="10"/>
      <c r="AK197" s="10"/>
      <c r="AL197" s="10"/>
    </row>
    <row r="198" spans="1:38" x14ac:dyDescent="0.25">
      <c r="A198" s="37">
        <f>+Données!A198</f>
        <v>5727</v>
      </c>
      <c r="B198" s="167" t="str">
        <f>+Données!B198</f>
        <v>Saint-Cergue</v>
      </c>
      <c r="C198" s="610">
        <f>+Ecrêtage!C198</f>
        <v>111772.64025252526</v>
      </c>
      <c r="D198" s="604"/>
      <c r="E198" s="610">
        <f>Données!AF198+Données!AG198+Données!AH198</f>
        <v>1402706</v>
      </c>
      <c r="F198" s="604">
        <f t="shared" si="14"/>
        <v>894181.12202020211</v>
      </c>
      <c r="G198" s="610">
        <f t="shared" si="15"/>
        <v>508524.87797979789</v>
      </c>
      <c r="H198" s="605">
        <f t="shared" si="16"/>
        <v>-354107.12013763696</v>
      </c>
      <c r="I198" s="604"/>
      <c r="J198" s="610">
        <f>Données!AN198</f>
        <v>265538</v>
      </c>
      <c r="K198" s="611">
        <f t="shared" si="17"/>
        <v>111772.64025252526</v>
      </c>
      <c r="L198" s="604">
        <f t="shared" si="18"/>
        <v>153765.35974747472</v>
      </c>
      <c r="M198" s="605">
        <f t="shared" si="19"/>
        <v>-107073.24474156622</v>
      </c>
      <c r="N198" s="604"/>
      <c r="O198" s="612">
        <f t="shared" si="20"/>
        <v>-461180.36487920315</v>
      </c>
      <c r="P198" s="180"/>
      <c r="Q198" s="152"/>
      <c r="R198" s="152"/>
      <c r="S198" s="152"/>
      <c r="T198" s="152"/>
      <c r="U198" s="152"/>
      <c r="AF198" s="10"/>
      <c r="AG198" s="10"/>
      <c r="AH198" s="10"/>
      <c r="AI198" s="10"/>
      <c r="AJ198" s="10"/>
      <c r="AK198" s="10"/>
      <c r="AL198" s="10"/>
    </row>
    <row r="199" spans="1:38" x14ac:dyDescent="0.25">
      <c r="A199" s="37">
        <f>+Données!A199</f>
        <v>5728</v>
      </c>
      <c r="B199" s="167" t="str">
        <f>+Données!B199</f>
        <v>Signy-Avenex</v>
      </c>
      <c r="C199" s="610">
        <f>+Ecrêtage!C199</f>
        <v>44453.550862068965</v>
      </c>
      <c r="D199" s="604"/>
      <c r="E199" s="610">
        <f>Données!AF199+Données!AG199+Données!AH199</f>
        <v>0</v>
      </c>
      <c r="F199" s="604">
        <f t="shared" ref="F199:F262" si="21">+C199*$G$5</f>
        <v>355628.40689655172</v>
      </c>
      <c r="G199" s="610">
        <f t="shared" ref="G199:G262" si="22">IF(E199&gt;F199,E199-F199,0)</f>
        <v>0</v>
      </c>
      <c r="H199" s="605">
        <f t="shared" ref="H199:H262" si="23">-G199*H$5</f>
        <v>0</v>
      </c>
      <c r="I199" s="604"/>
      <c r="J199" s="610">
        <f>Données!AN199</f>
        <v>0</v>
      </c>
      <c r="K199" s="611">
        <f t="shared" ref="K199:K262" si="24">C199*L$5</f>
        <v>44453.550862068965</v>
      </c>
      <c r="L199" s="604">
        <f t="shared" ref="L199:L262" si="25">IF(J199&gt;K199,J199-K199,0)</f>
        <v>0</v>
      </c>
      <c r="M199" s="605">
        <f t="shared" ref="M199:M262" si="26">-L199*M$5</f>
        <v>0</v>
      </c>
      <c r="N199" s="604"/>
      <c r="O199" s="612">
        <f t="shared" ref="O199:O262" si="27">M199+H199</f>
        <v>0</v>
      </c>
      <c r="P199" s="180"/>
      <c r="Q199" s="152"/>
      <c r="R199" s="152"/>
      <c r="S199" s="152"/>
      <c r="T199" s="152"/>
      <c r="U199" s="152"/>
      <c r="AF199" s="10"/>
      <c r="AG199" s="10"/>
      <c r="AH199" s="10"/>
      <c r="AI199" s="10"/>
      <c r="AJ199" s="10"/>
      <c r="AK199" s="10"/>
      <c r="AL199" s="10"/>
    </row>
    <row r="200" spans="1:38" x14ac:dyDescent="0.25">
      <c r="A200" s="37">
        <f>+Données!A200</f>
        <v>5729</v>
      </c>
      <c r="B200" s="167" t="str">
        <f>+Données!B200</f>
        <v>Tannay</v>
      </c>
      <c r="C200" s="610">
        <f>+Ecrêtage!C200</f>
        <v>189691.13223140492</v>
      </c>
      <c r="D200" s="604"/>
      <c r="E200" s="610">
        <f>Données!AF200+Données!AG200+Données!AH200</f>
        <v>0</v>
      </c>
      <c r="F200" s="604">
        <f t="shared" si="21"/>
        <v>1517529.0578512393</v>
      </c>
      <c r="G200" s="610">
        <f t="shared" si="22"/>
        <v>0</v>
      </c>
      <c r="H200" s="605">
        <f t="shared" si="23"/>
        <v>0</v>
      </c>
      <c r="I200" s="604"/>
      <c r="J200" s="610">
        <f>Données!AN200</f>
        <v>0</v>
      </c>
      <c r="K200" s="611">
        <f t="shared" si="24"/>
        <v>189691.13223140492</v>
      </c>
      <c r="L200" s="604">
        <f t="shared" si="25"/>
        <v>0</v>
      </c>
      <c r="M200" s="605">
        <f t="shared" si="26"/>
        <v>0</v>
      </c>
      <c r="N200" s="604"/>
      <c r="O200" s="612">
        <f t="shared" si="27"/>
        <v>0</v>
      </c>
      <c r="P200" s="180"/>
      <c r="Q200" s="152"/>
      <c r="R200" s="152"/>
      <c r="S200" s="152"/>
      <c r="T200" s="152"/>
      <c r="U200" s="152"/>
      <c r="AF200" s="10"/>
      <c r="AG200" s="10"/>
      <c r="AH200" s="10"/>
      <c r="AI200" s="10"/>
      <c r="AJ200" s="10"/>
      <c r="AK200" s="10"/>
      <c r="AL200" s="10"/>
    </row>
    <row r="201" spans="1:38" x14ac:dyDescent="0.25">
      <c r="A201" s="37">
        <f>+Données!A201</f>
        <v>5730</v>
      </c>
      <c r="B201" s="167" t="str">
        <f>+Données!B201</f>
        <v>Trélex</v>
      </c>
      <c r="C201" s="610">
        <f>+Ecrêtage!C201</f>
        <v>170256.05113113116</v>
      </c>
      <c r="D201" s="604"/>
      <c r="E201" s="610">
        <f>Données!AF201+Données!AG201+Données!AH201</f>
        <v>0</v>
      </c>
      <c r="F201" s="604">
        <f t="shared" si="21"/>
        <v>1362048.4090490493</v>
      </c>
      <c r="G201" s="610">
        <f t="shared" si="22"/>
        <v>0</v>
      </c>
      <c r="H201" s="605">
        <f t="shared" si="23"/>
        <v>0</v>
      </c>
      <c r="I201" s="604"/>
      <c r="J201" s="610">
        <f>Données!AN201</f>
        <v>0</v>
      </c>
      <c r="K201" s="611">
        <f t="shared" si="24"/>
        <v>170256.05113113116</v>
      </c>
      <c r="L201" s="604">
        <f t="shared" si="25"/>
        <v>0</v>
      </c>
      <c r="M201" s="605">
        <f t="shared" si="26"/>
        <v>0</v>
      </c>
      <c r="N201" s="604"/>
      <c r="O201" s="612">
        <f t="shared" si="27"/>
        <v>0</v>
      </c>
      <c r="P201" s="180"/>
      <c r="Q201" s="152"/>
      <c r="R201" s="152"/>
      <c r="S201" s="152"/>
      <c r="T201" s="152"/>
      <c r="U201" s="152"/>
      <c r="AF201" s="10"/>
      <c r="AG201" s="10"/>
      <c r="AH201" s="10"/>
      <c r="AI201" s="10"/>
      <c r="AJ201" s="10"/>
      <c r="AK201" s="10"/>
      <c r="AL201" s="10"/>
    </row>
    <row r="202" spans="1:38" x14ac:dyDescent="0.25">
      <c r="A202" s="37">
        <f>+Données!A202</f>
        <v>5731</v>
      </c>
      <c r="B202" s="167" t="str">
        <f>+Données!B202</f>
        <v>Le Vaud</v>
      </c>
      <c r="C202" s="610">
        <f>+Ecrêtage!C202</f>
        <v>75089.173286384976</v>
      </c>
      <c r="D202" s="604"/>
      <c r="E202" s="610">
        <f>Données!AF202+Données!AG202+Données!AH202</f>
        <v>550236</v>
      </c>
      <c r="F202" s="604">
        <f t="shared" si="21"/>
        <v>600713.38629107981</v>
      </c>
      <c r="G202" s="610">
        <f t="shared" si="22"/>
        <v>0</v>
      </c>
      <c r="H202" s="605">
        <f t="shared" si="23"/>
        <v>0</v>
      </c>
      <c r="I202" s="604"/>
      <c r="J202" s="610">
        <f>Données!AN202</f>
        <v>-17733</v>
      </c>
      <c r="K202" s="611">
        <f t="shared" si="24"/>
        <v>75089.173286384976</v>
      </c>
      <c r="L202" s="604">
        <f t="shared" si="25"/>
        <v>0</v>
      </c>
      <c r="M202" s="605">
        <f t="shared" si="26"/>
        <v>0</v>
      </c>
      <c r="N202" s="604"/>
      <c r="O202" s="612">
        <f t="shared" si="27"/>
        <v>0</v>
      </c>
      <c r="P202" s="180"/>
      <c r="Q202" s="152"/>
      <c r="R202" s="152"/>
      <c r="S202" s="152"/>
      <c r="T202" s="152"/>
      <c r="U202" s="152"/>
      <c r="AF202" s="10"/>
      <c r="AG202" s="10"/>
      <c r="AH202" s="10"/>
      <c r="AI202" s="10"/>
      <c r="AJ202" s="10"/>
      <c r="AK202" s="10"/>
      <c r="AL202" s="10"/>
    </row>
    <row r="203" spans="1:38" x14ac:dyDescent="0.25">
      <c r="A203" s="37">
        <f>+Données!A203</f>
        <v>5732</v>
      </c>
      <c r="B203" s="167" t="str">
        <f>+Données!B203</f>
        <v>Vich</v>
      </c>
      <c r="C203" s="610">
        <f>+Ecrêtage!C203</f>
        <v>83929.487936507925</v>
      </c>
      <c r="D203" s="604"/>
      <c r="E203" s="610">
        <f>Données!AF203+Données!AG203+Données!AH203</f>
        <v>0</v>
      </c>
      <c r="F203" s="604">
        <f t="shared" si="21"/>
        <v>671435.9034920634</v>
      </c>
      <c r="G203" s="610">
        <f t="shared" si="22"/>
        <v>0</v>
      </c>
      <c r="H203" s="605">
        <f t="shared" si="23"/>
        <v>0</v>
      </c>
      <c r="I203" s="604"/>
      <c r="J203" s="610">
        <f>Données!AN203</f>
        <v>0</v>
      </c>
      <c r="K203" s="611">
        <f t="shared" si="24"/>
        <v>83929.487936507925</v>
      </c>
      <c r="L203" s="604">
        <f t="shared" si="25"/>
        <v>0</v>
      </c>
      <c r="M203" s="605">
        <f t="shared" si="26"/>
        <v>0</v>
      </c>
      <c r="N203" s="604"/>
      <c r="O203" s="612">
        <f t="shared" si="27"/>
        <v>0</v>
      </c>
      <c r="P203" s="180"/>
      <c r="Q203" s="152"/>
      <c r="R203" s="152"/>
      <c r="S203" s="152"/>
      <c r="T203" s="152"/>
      <c r="U203" s="152"/>
      <c r="AF203" s="10"/>
      <c r="AG203" s="10"/>
      <c r="AH203" s="10"/>
      <c r="AI203" s="10"/>
      <c r="AJ203" s="10"/>
      <c r="AK203" s="10"/>
      <c r="AL203" s="10"/>
    </row>
    <row r="204" spans="1:38" x14ac:dyDescent="0.25">
      <c r="A204" s="37">
        <f>+Données!A204</f>
        <v>5741</v>
      </c>
      <c r="B204" s="167" t="str">
        <f>+Données!B204</f>
        <v>L'Abergement</v>
      </c>
      <c r="C204" s="610">
        <f>+Ecrêtage!C204</f>
        <v>8081.107937499999</v>
      </c>
      <c r="D204" s="604"/>
      <c r="E204" s="610">
        <f>Données!AF204+Données!AG204+Données!AH204</f>
        <v>178653</v>
      </c>
      <c r="F204" s="604">
        <f t="shared" si="21"/>
        <v>64648.863499999992</v>
      </c>
      <c r="G204" s="610">
        <f t="shared" si="22"/>
        <v>114004.13650000001</v>
      </c>
      <c r="H204" s="605">
        <f t="shared" si="23"/>
        <v>-79385.843658561047</v>
      </c>
      <c r="I204" s="604"/>
      <c r="J204" s="610">
        <f>Données!AN204</f>
        <v>31081</v>
      </c>
      <c r="K204" s="611">
        <f t="shared" si="24"/>
        <v>8081.107937499999</v>
      </c>
      <c r="L204" s="604">
        <f t="shared" si="25"/>
        <v>22999.892062500003</v>
      </c>
      <c r="M204" s="605">
        <f t="shared" si="26"/>
        <v>-16015.78584332687</v>
      </c>
      <c r="N204" s="604"/>
      <c r="O204" s="612">
        <f t="shared" si="27"/>
        <v>-95401.629501887917</v>
      </c>
      <c r="P204" s="180"/>
      <c r="Q204" s="152"/>
      <c r="R204" s="152"/>
      <c r="S204" s="152"/>
      <c r="T204" s="152"/>
      <c r="U204" s="152"/>
      <c r="AF204" s="10"/>
      <c r="AG204" s="10"/>
      <c r="AH204" s="10"/>
      <c r="AI204" s="10"/>
      <c r="AJ204" s="10"/>
      <c r="AK204" s="10"/>
      <c r="AL204" s="10"/>
    </row>
    <row r="205" spans="1:38" x14ac:dyDescent="0.25">
      <c r="A205" s="37">
        <f>+Données!A205</f>
        <v>5742</v>
      </c>
      <c r="B205" s="167" t="str">
        <f>+Données!B205</f>
        <v>Agiez</v>
      </c>
      <c r="C205" s="610">
        <f>+Ecrêtage!C205</f>
        <v>9603.6136842105243</v>
      </c>
      <c r="D205" s="604"/>
      <c r="E205" s="610">
        <f>Données!AF205+Données!AG205+Données!AH205</f>
        <v>128575</v>
      </c>
      <c r="F205" s="604">
        <f t="shared" si="21"/>
        <v>76828.909473684194</v>
      </c>
      <c r="G205" s="610">
        <f t="shared" si="22"/>
        <v>51746.090526315806</v>
      </c>
      <c r="H205" s="605">
        <f t="shared" si="23"/>
        <v>-36032.964930740498</v>
      </c>
      <c r="I205" s="604"/>
      <c r="J205" s="610">
        <f>Données!AN205</f>
        <v>-6615</v>
      </c>
      <c r="K205" s="611">
        <f t="shared" si="24"/>
        <v>9603.6136842105243</v>
      </c>
      <c r="L205" s="604">
        <f t="shared" si="25"/>
        <v>0</v>
      </c>
      <c r="M205" s="605">
        <f t="shared" si="26"/>
        <v>0</v>
      </c>
      <c r="N205" s="604"/>
      <c r="O205" s="612">
        <f t="shared" si="27"/>
        <v>-36032.964930740498</v>
      </c>
      <c r="P205" s="180"/>
      <c r="Q205" s="152"/>
      <c r="R205" s="152"/>
      <c r="S205" s="152"/>
      <c r="T205" s="152"/>
      <c r="U205" s="152"/>
      <c r="AF205" s="10"/>
      <c r="AG205" s="10"/>
      <c r="AH205" s="10"/>
      <c r="AI205" s="10"/>
      <c r="AJ205" s="10"/>
      <c r="AK205" s="10"/>
      <c r="AL205" s="10"/>
    </row>
    <row r="206" spans="1:38" x14ac:dyDescent="0.25">
      <c r="A206" s="37">
        <f>+Données!A206</f>
        <v>5743</v>
      </c>
      <c r="B206" s="167" t="str">
        <f>+Données!B206</f>
        <v>Arnex-sur-Orbe</v>
      </c>
      <c r="C206" s="610">
        <f>+Ecrêtage!C206</f>
        <v>19616.934718309862</v>
      </c>
      <c r="D206" s="604"/>
      <c r="E206" s="610">
        <f>Données!AF206+Données!AG206+Données!AH206</f>
        <v>279532</v>
      </c>
      <c r="F206" s="604">
        <f t="shared" si="21"/>
        <v>156935.47774647889</v>
      </c>
      <c r="G206" s="610">
        <f t="shared" si="22"/>
        <v>122596.52225352111</v>
      </c>
      <c r="H206" s="605">
        <f t="shared" si="23"/>
        <v>-85369.080872792067</v>
      </c>
      <c r="I206" s="604"/>
      <c r="J206" s="610">
        <f>Données!AN206</f>
        <v>15462</v>
      </c>
      <c r="K206" s="611">
        <f t="shared" si="24"/>
        <v>19616.934718309862</v>
      </c>
      <c r="L206" s="604">
        <f t="shared" si="25"/>
        <v>0</v>
      </c>
      <c r="M206" s="605">
        <f t="shared" si="26"/>
        <v>0</v>
      </c>
      <c r="N206" s="604"/>
      <c r="O206" s="612">
        <f t="shared" si="27"/>
        <v>-85369.080872792067</v>
      </c>
      <c r="P206" s="180"/>
      <c r="Q206" s="152"/>
      <c r="R206" s="152"/>
      <c r="S206" s="152"/>
      <c r="T206" s="152"/>
      <c r="U206" s="152"/>
      <c r="AF206" s="10"/>
      <c r="AG206" s="10"/>
      <c r="AH206" s="10"/>
      <c r="AI206" s="10"/>
      <c r="AJ206" s="10"/>
      <c r="AK206" s="10"/>
      <c r="AL206" s="10"/>
    </row>
    <row r="207" spans="1:38" x14ac:dyDescent="0.25">
      <c r="A207" s="37">
        <f>+Données!A207</f>
        <v>5744</v>
      </c>
      <c r="B207" s="167" t="str">
        <f>+Données!B207</f>
        <v>Ballaigues</v>
      </c>
      <c r="C207" s="610">
        <f>+Ecrêtage!C207</f>
        <v>81085.11846153847</v>
      </c>
      <c r="D207" s="604"/>
      <c r="E207" s="610">
        <f>Données!AF207+Données!AG207+Données!AH207</f>
        <v>914783</v>
      </c>
      <c r="F207" s="604">
        <f t="shared" si="21"/>
        <v>648680.94769230776</v>
      </c>
      <c r="G207" s="610">
        <f t="shared" si="22"/>
        <v>266102.05230769224</v>
      </c>
      <c r="H207" s="605">
        <f t="shared" si="23"/>
        <v>-185297.97751435702</v>
      </c>
      <c r="I207" s="604"/>
      <c r="J207" s="610">
        <f>Données!AN207</f>
        <v>91816</v>
      </c>
      <c r="K207" s="611">
        <f t="shared" si="24"/>
        <v>81085.11846153847</v>
      </c>
      <c r="L207" s="604">
        <f t="shared" si="25"/>
        <v>10730.88153846153</v>
      </c>
      <c r="M207" s="605">
        <f t="shared" si="26"/>
        <v>-7472.3611816562989</v>
      </c>
      <c r="N207" s="604"/>
      <c r="O207" s="612">
        <f t="shared" si="27"/>
        <v>-192770.33869601332</v>
      </c>
      <c r="P207" s="180"/>
      <c r="Q207" s="152"/>
      <c r="R207" s="152"/>
      <c r="S207" s="152"/>
      <c r="T207" s="152"/>
      <c r="U207" s="152"/>
      <c r="AF207" s="10"/>
      <c r="AG207" s="10"/>
      <c r="AH207" s="10"/>
      <c r="AI207" s="10"/>
      <c r="AJ207" s="10"/>
      <c r="AK207" s="10"/>
      <c r="AL207" s="10"/>
    </row>
    <row r="208" spans="1:38" x14ac:dyDescent="0.25">
      <c r="A208" s="37">
        <f>+Données!A208</f>
        <v>5745</v>
      </c>
      <c r="B208" s="167" t="str">
        <f>+Données!B208</f>
        <v>Baulmes</v>
      </c>
      <c r="C208" s="610">
        <f>+Ecrêtage!C208</f>
        <v>29568.283921568625</v>
      </c>
      <c r="D208" s="604"/>
      <c r="E208" s="610">
        <f>Données!AF208+Données!AG208+Données!AH208</f>
        <v>593175</v>
      </c>
      <c r="F208" s="604">
        <f t="shared" si="21"/>
        <v>236546.271372549</v>
      </c>
      <c r="G208" s="610">
        <f t="shared" si="22"/>
        <v>356628.728627451</v>
      </c>
      <c r="H208" s="605">
        <f t="shared" si="23"/>
        <v>-248335.48469506818</v>
      </c>
      <c r="I208" s="604"/>
      <c r="J208" s="610">
        <f>Données!AN208</f>
        <v>201273</v>
      </c>
      <c r="K208" s="611">
        <f t="shared" si="24"/>
        <v>29568.283921568625</v>
      </c>
      <c r="L208" s="604">
        <f t="shared" si="25"/>
        <v>171704.71607843137</v>
      </c>
      <c r="M208" s="605">
        <f t="shared" si="26"/>
        <v>-119565.16811159712</v>
      </c>
      <c r="N208" s="604"/>
      <c r="O208" s="612">
        <f t="shared" si="27"/>
        <v>-367900.65280666528</v>
      </c>
      <c r="P208" s="180"/>
      <c r="Q208" s="152"/>
      <c r="R208" s="152"/>
      <c r="S208" s="152"/>
      <c r="T208" s="152"/>
      <c r="U208" s="152"/>
      <c r="AF208" s="10"/>
      <c r="AG208" s="10"/>
      <c r="AH208" s="10"/>
      <c r="AI208" s="10"/>
      <c r="AJ208" s="10"/>
      <c r="AK208" s="10"/>
      <c r="AL208" s="10"/>
    </row>
    <row r="209" spans="1:38" x14ac:dyDescent="0.25">
      <c r="A209" s="37">
        <f>+Données!A209</f>
        <v>5746</v>
      </c>
      <c r="B209" s="167" t="str">
        <f>+Données!B209</f>
        <v>Bavois</v>
      </c>
      <c r="C209" s="610">
        <f>+Ecrêtage!C209</f>
        <v>37130.012939814806</v>
      </c>
      <c r="D209" s="604"/>
      <c r="E209" s="610">
        <f>Données!AF209+Données!AG209+Données!AH209</f>
        <v>565993</v>
      </c>
      <c r="F209" s="604">
        <f t="shared" si="21"/>
        <v>297040.10351851844</v>
      </c>
      <c r="G209" s="610">
        <f t="shared" si="22"/>
        <v>268952.89648148156</v>
      </c>
      <c r="H209" s="605">
        <f t="shared" si="23"/>
        <v>-187283.13942885789</v>
      </c>
      <c r="I209" s="604"/>
      <c r="J209" s="610">
        <f>Données!AN209</f>
        <v>52621</v>
      </c>
      <c r="K209" s="611">
        <f t="shared" si="24"/>
        <v>37130.012939814806</v>
      </c>
      <c r="L209" s="604">
        <f t="shared" si="25"/>
        <v>15490.987060185194</v>
      </c>
      <c r="M209" s="605">
        <f t="shared" si="26"/>
        <v>-10787.021547035303</v>
      </c>
      <c r="N209" s="604"/>
      <c r="O209" s="612">
        <f t="shared" si="27"/>
        <v>-198070.1609758932</v>
      </c>
      <c r="P209" s="180"/>
      <c r="Q209" s="152"/>
      <c r="R209" s="152"/>
      <c r="S209" s="152"/>
      <c r="T209" s="152"/>
      <c r="U209" s="152"/>
      <c r="AF209" s="10"/>
      <c r="AG209" s="10"/>
      <c r="AH209" s="10"/>
      <c r="AI209" s="10"/>
      <c r="AJ209" s="10"/>
      <c r="AK209" s="10"/>
      <c r="AL209" s="10"/>
    </row>
    <row r="210" spans="1:38" x14ac:dyDescent="0.25">
      <c r="A210" s="37">
        <f>+Données!A210</f>
        <v>5747</v>
      </c>
      <c r="B210" s="167" t="str">
        <f>+Données!B210</f>
        <v>Bofflens</v>
      </c>
      <c r="C210" s="610">
        <f>+Ecrêtage!C210</f>
        <v>7511.2471014492739</v>
      </c>
      <c r="D210" s="604"/>
      <c r="E210" s="610">
        <f>Données!AF210+Données!AG210+Données!AH210</f>
        <v>103217</v>
      </c>
      <c r="F210" s="604">
        <f t="shared" si="21"/>
        <v>60089.976811594192</v>
      </c>
      <c r="G210" s="610">
        <f t="shared" si="22"/>
        <v>43127.023188405808</v>
      </c>
      <c r="H210" s="605">
        <f t="shared" si="23"/>
        <v>-30031.148214467816</v>
      </c>
      <c r="I210" s="604"/>
      <c r="J210" s="610">
        <f>Données!AN210</f>
        <v>2917</v>
      </c>
      <c r="K210" s="611">
        <f t="shared" si="24"/>
        <v>7511.2471014492739</v>
      </c>
      <c r="L210" s="604">
        <f t="shared" si="25"/>
        <v>0</v>
      </c>
      <c r="M210" s="605">
        <f t="shared" si="26"/>
        <v>0</v>
      </c>
      <c r="N210" s="604"/>
      <c r="O210" s="612">
        <f t="shared" si="27"/>
        <v>-30031.148214467816</v>
      </c>
      <c r="P210" s="180"/>
      <c r="Q210" s="152"/>
      <c r="R210" s="152"/>
      <c r="S210" s="152"/>
      <c r="T210" s="152"/>
      <c r="U210" s="152"/>
      <c r="AF210" s="10"/>
      <c r="AG210" s="10"/>
      <c r="AH210" s="10"/>
      <c r="AI210" s="10"/>
      <c r="AJ210" s="10"/>
      <c r="AK210" s="10"/>
      <c r="AL210" s="10"/>
    </row>
    <row r="211" spans="1:38" x14ac:dyDescent="0.25">
      <c r="A211" s="37">
        <f>+Données!A211</f>
        <v>5748</v>
      </c>
      <c r="B211" s="167" t="str">
        <f>+Données!B211</f>
        <v>Bretonnières</v>
      </c>
      <c r="C211" s="610">
        <f>+Ecrêtage!C211</f>
        <v>6883.0895035460999</v>
      </c>
      <c r="D211" s="604"/>
      <c r="E211" s="610">
        <f>Données!AF211+Données!AG211+Données!AH211</f>
        <v>136517</v>
      </c>
      <c r="F211" s="604">
        <f t="shared" si="21"/>
        <v>55064.716028368799</v>
      </c>
      <c r="G211" s="610">
        <f t="shared" si="22"/>
        <v>81452.283971631201</v>
      </c>
      <c r="H211" s="605">
        <f t="shared" si="23"/>
        <v>-56718.628635063884</v>
      </c>
      <c r="I211" s="604"/>
      <c r="J211" s="610">
        <f>Données!AN211</f>
        <v>41853</v>
      </c>
      <c r="K211" s="611">
        <f t="shared" si="24"/>
        <v>6883.0895035460999</v>
      </c>
      <c r="L211" s="604">
        <f t="shared" si="25"/>
        <v>34969.9104964539</v>
      </c>
      <c r="M211" s="605">
        <f t="shared" si="26"/>
        <v>-24351.009819940715</v>
      </c>
      <c r="N211" s="604"/>
      <c r="O211" s="612">
        <f t="shared" si="27"/>
        <v>-81069.638455004606</v>
      </c>
      <c r="P211" s="180"/>
      <c r="Q211" s="152"/>
      <c r="R211" s="152"/>
      <c r="S211" s="152"/>
      <c r="T211" s="152"/>
      <c r="U211" s="152"/>
      <c r="AF211" s="10"/>
      <c r="AG211" s="10"/>
      <c r="AH211" s="10"/>
      <c r="AI211" s="10"/>
      <c r="AJ211" s="10"/>
      <c r="AK211" s="10"/>
      <c r="AL211" s="10"/>
    </row>
    <row r="212" spans="1:38" x14ac:dyDescent="0.25">
      <c r="A212" s="37">
        <f>+Données!A212</f>
        <v>5749</v>
      </c>
      <c r="B212" s="167" t="str">
        <f>+Données!B212</f>
        <v>Chavornay</v>
      </c>
      <c r="C212" s="610">
        <f>+Ecrêtage!C212</f>
        <v>155929.24482269504</v>
      </c>
      <c r="D212" s="604"/>
      <c r="E212" s="610">
        <f>Données!AF212+Données!AG212+Données!AH212</f>
        <v>2428586</v>
      </c>
      <c r="F212" s="604">
        <f t="shared" si="21"/>
        <v>1247433.9585815603</v>
      </c>
      <c r="G212" s="610">
        <f t="shared" si="22"/>
        <v>1181152.0414184397</v>
      </c>
      <c r="H212" s="605">
        <f t="shared" si="23"/>
        <v>-822485.51829550904</v>
      </c>
      <c r="I212" s="604"/>
      <c r="J212" s="610">
        <f>Données!AN212</f>
        <v>108669</v>
      </c>
      <c r="K212" s="611">
        <f t="shared" si="24"/>
        <v>155929.24482269504</v>
      </c>
      <c r="L212" s="604">
        <f t="shared" si="25"/>
        <v>0</v>
      </c>
      <c r="M212" s="605">
        <f t="shared" si="26"/>
        <v>0</v>
      </c>
      <c r="N212" s="604"/>
      <c r="O212" s="612">
        <f t="shared" si="27"/>
        <v>-822485.51829550904</v>
      </c>
      <c r="P212" s="180"/>
      <c r="Q212" s="152"/>
      <c r="R212" s="152"/>
      <c r="S212" s="152"/>
      <c r="T212" s="152"/>
      <c r="U212" s="152"/>
      <c r="AF212" s="10"/>
      <c r="AG212" s="10"/>
      <c r="AH212" s="10"/>
      <c r="AI212" s="10"/>
      <c r="AJ212" s="10"/>
      <c r="AK212" s="10"/>
      <c r="AL212" s="10"/>
    </row>
    <row r="213" spans="1:38" x14ac:dyDescent="0.25">
      <c r="A213" s="37">
        <f>+Données!A213</f>
        <v>5750</v>
      </c>
      <c r="B213" s="167" t="str">
        <f>+Données!B213</f>
        <v>Les Clées</v>
      </c>
      <c r="C213" s="610">
        <f>+Ecrêtage!C213</f>
        <v>6153.1082500000002</v>
      </c>
      <c r="D213" s="604"/>
      <c r="E213" s="610">
        <f>Données!AF213+Données!AG213+Données!AH213</f>
        <v>101276</v>
      </c>
      <c r="F213" s="604">
        <f t="shared" si="21"/>
        <v>49224.866000000002</v>
      </c>
      <c r="G213" s="610">
        <f t="shared" si="22"/>
        <v>52051.133999999998</v>
      </c>
      <c r="H213" s="605">
        <f t="shared" si="23"/>
        <v>-36245.379447041472</v>
      </c>
      <c r="I213" s="604"/>
      <c r="J213" s="610">
        <f>Données!AN213</f>
        <v>63634</v>
      </c>
      <c r="K213" s="611">
        <f t="shared" si="24"/>
        <v>6153.1082500000002</v>
      </c>
      <c r="L213" s="604">
        <f t="shared" si="25"/>
        <v>57480.891750000003</v>
      </c>
      <c r="M213" s="605">
        <f t="shared" si="26"/>
        <v>-40026.346638923678</v>
      </c>
      <c r="N213" s="604"/>
      <c r="O213" s="612">
        <f t="shared" si="27"/>
        <v>-76271.726085965143</v>
      </c>
      <c r="P213" s="180"/>
      <c r="Q213" s="152"/>
      <c r="R213" s="152"/>
      <c r="S213" s="152"/>
      <c r="T213" s="152"/>
      <c r="U213" s="152"/>
      <c r="AF213" s="10"/>
      <c r="AG213" s="10"/>
      <c r="AH213" s="10"/>
      <c r="AI213" s="10"/>
      <c r="AJ213" s="10"/>
      <c r="AK213" s="10"/>
      <c r="AL213" s="10"/>
    </row>
    <row r="214" spans="1:38" x14ac:dyDescent="0.25">
      <c r="A214" s="37">
        <f>+Données!A214</f>
        <v>5752</v>
      </c>
      <c r="B214" s="167" t="str">
        <f>+Données!B214</f>
        <v>Croy</v>
      </c>
      <c r="C214" s="610">
        <f>+Ecrêtage!C214</f>
        <v>10564.904768339768</v>
      </c>
      <c r="D214" s="604"/>
      <c r="E214" s="610">
        <f>Données!AF214+Données!AG214+Données!AH214</f>
        <v>149596</v>
      </c>
      <c r="F214" s="604">
        <f t="shared" si="21"/>
        <v>84519.23814671814</v>
      </c>
      <c r="G214" s="610">
        <f t="shared" si="22"/>
        <v>65076.76185328186</v>
      </c>
      <c r="H214" s="605">
        <f t="shared" si="23"/>
        <v>-45315.668368665225</v>
      </c>
      <c r="I214" s="604"/>
      <c r="J214" s="610">
        <f>Données!AN214</f>
        <v>-4565</v>
      </c>
      <c r="K214" s="611">
        <f t="shared" si="24"/>
        <v>10564.904768339768</v>
      </c>
      <c r="L214" s="604">
        <f t="shared" si="25"/>
        <v>0</v>
      </c>
      <c r="M214" s="605">
        <f t="shared" si="26"/>
        <v>0</v>
      </c>
      <c r="N214" s="604"/>
      <c r="O214" s="612">
        <f t="shared" si="27"/>
        <v>-45315.668368665225</v>
      </c>
      <c r="P214" s="180"/>
      <c r="Q214" s="152"/>
      <c r="R214" s="152"/>
      <c r="S214" s="152"/>
      <c r="T214" s="152"/>
      <c r="U214" s="152"/>
      <c r="AF214" s="10"/>
      <c r="AG214" s="10"/>
      <c r="AH214" s="10"/>
      <c r="AI214" s="10"/>
      <c r="AJ214" s="10"/>
      <c r="AK214" s="10"/>
      <c r="AL214" s="10"/>
    </row>
    <row r="215" spans="1:38" x14ac:dyDescent="0.25">
      <c r="A215" s="37">
        <f>+Données!A215</f>
        <v>5754</v>
      </c>
      <c r="B215" s="167" t="str">
        <f>+Données!B215</f>
        <v>Juriens</v>
      </c>
      <c r="C215" s="610">
        <f>+Ecrêtage!C215</f>
        <v>8959.0606329113925</v>
      </c>
      <c r="D215" s="604"/>
      <c r="E215" s="610">
        <f>Données!AF215+Données!AG215+Données!AH215</f>
        <v>150046</v>
      </c>
      <c r="F215" s="604">
        <f t="shared" si="21"/>
        <v>71672.48506329114</v>
      </c>
      <c r="G215" s="610">
        <f t="shared" si="22"/>
        <v>78373.51493670886</v>
      </c>
      <c r="H215" s="605">
        <f t="shared" si="23"/>
        <v>-54574.753116414053</v>
      </c>
      <c r="I215" s="604"/>
      <c r="J215" s="610">
        <f>Données!AN215</f>
        <v>38200</v>
      </c>
      <c r="K215" s="611">
        <f t="shared" si="24"/>
        <v>8959.0606329113925</v>
      </c>
      <c r="L215" s="604">
        <f t="shared" si="25"/>
        <v>29240.939367088606</v>
      </c>
      <c r="M215" s="605">
        <f t="shared" si="26"/>
        <v>-20361.687850029535</v>
      </c>
      <c r="N215" s="604"/>
      <c r="O215" s="612">
        <f t="shared" si="27"/>
        <v>-74936.440966443595</v>
      </c>
      <c r="P215" s="180"/>
      <c r="Q215" s="152"/>
      <c r="R215" s="152"/>
      <c r="S215" s="152"/>
      <c r="T215" s="152"/>
      <c r="U215" s="152"/>
      <c r="AF215" s="10"/>
      <c r="AG215" s="10"/>
      <c r="AH215" s="10"/>
      <c r="AI215" s="10"/>
      <c r="AJ215" s="10"/>
      <c r="AK215" s="10"/>
      <c r="AL215" s="10"/>
    </row>
    <row r="216" spans="1:38" x14ac:dyDescent="0.25">
      <c r="A216" s="37">
        <f>+Données!A216</f>
        <v>5755</v>
      </c>
      <c r="B216" s="167" t="str">
        <f>+Données!B216</f>
        <v>Lignerolle</v>
      </c>
      <c r="C216" s="610">
        <f>+Ecrêtage!C216</f>
        <v>10387.208371246586</v>
      </c>
      <c r="D216" s="604"/>
      <c r="E216" s="610">
        <f>Données!AF216+Données!AG216+Données!AH216</f>
        <v>864704</v>
      </c>
      <c r="F216" s="604">
        <f t="shared" si="21"/>
        <v>83097.666969972692</v>
      </c>
      <c r="G216" s="610">
        <f t="shared" si="22"/>
        <v>781606.33303002734</v>
      </c>
      <c r="H216" s="605">
        <f t="shared" si="23"/>
        <v>-544265.14740070805</v>
      </c>
      <c r="I216" s="604"/>
      <c r="J216" s="610">
        <f>Données!AN216</f>
        <v>69516</v>
      </c>
      <c r="K216" s="611">
        <f t="shared" si="24"/>
        <v>10387.208371246586</v>
      </c>
      <c r="L216" s="604">
        <f t="shared" si="25"/>
        <v>59128.791628753417</v>
      </c>
      <c r="M216" s="605">
        <f t="shared" si="26"/>
        <v>-41173.84817839352</v>
      </c>
      <c r="N216" s="604"/>
      <c r="O216" s="612">
        <f t="shared" si="27"/>
        <v>-585438.99557910161</v>
      </c>
      <c r="P216" s="180"/>
      <c r="Q216" s="152"/>
      <c r="R216" s="152"/>
      <c r="S216" s="152"/>
      <c r="T216" s="152"/>
      <c r="U216" s="152"/>
      <c r="AF216" s="10"/>
      <c r="AG216" s="10"/>
      <c r="AH216" s="10"/>
      <c r="AI216" s="10"/>
      <c r="AJ216" s="10"/>
      <c r="AK216" s="10"/>
      <c r="AL216" s="10"/>
    </row>
    <row r="217" spans="1:38" x14ac:dyDescent="0.25">
      <c r="A217" s="37">
        <f>+Données!A217</f>
        <v>5756</v>
      </c>
      <c r="B217" s="167" t="str">
        <f>+Données!B217</f>
        <v>Montcherand</v>
      </c>
      <c r="C217" s="610">
        <f>+Ecrêtage!C217</f>
        <v>21540.691249999996</v>
      </c>
      <c r="D217" s="604"/>
      <c r="E217" s="610">
        <f>Données!AF217+Données!AG217+Données!AH217</f>
        <v>198448</v>
      </c>
      <c r="F217" s="604">
        <f t="shared" si="21"/>
        <v>172325.52999999997</v>
      </c>
      <c r="G217" s="610">
        <f t="shared" si="22"/>
        <v>26122.47000000003</v>
      </c>
      <c r="H217" s="605">
        <f t="shared" si="23"/>
        <v>-18190.167331300767</v>
      </c>
      <c r="I217" s="604"/>
      <c r="J217" s="610">
        <f>Données!AN217</f>
        <v>15211</v>
      </c>
      <c r="K217" s="611">
        <f t="shared" si="24"/>
        <v>21540.691249999996</v>
      </c>
      <c r="L217" s="604">
        <f t="shared" si="25"/>
        <v>0</v>
      </c>
      <c r="M217" s="605">
        <f t="shared" si="26"/>
        <v>0</v>
      </c>
      <c r="N217" s="604"/>
      <c r="O217" s="612">
        <f t="shared" si="27"/>
        <v>-18190.167331300767</v>
      </c>
      <c r="P217" s="180"/>
      <c r="Q217" s="152"/>
      <c r="R217" s="152"/>
      <c r="S217" s="152"/>
      <c r="T217" s="152"/>
      <c r="U217" s="152"/>
      <c r="AF217" s="10"/>
      <c r="AG217" s="10"/>
      <c r="AH217" s="10"/>
      <c r="AI217" s="10"/>
      <c r="AJ217" s="10"/>
      <c r="AK217" s="10"/>
      <c r="AL217" s="10"/>
    </row>
    <row r="218" spans="1:38" x14ac:dyDescent="0.25">
      <c r="A218" s="37">
        <f>+Données!A218</f>
        <v>5757</v>
      </c>
      <c r="B218" s="167" t="str">
        <f>+Données!B218</f>
        <v>Orbe</v>
      </c>
      <c r="C218" s="610">
        <f>+Ecrêtage!C218</f>
        <v>256549.05814569537</v>
      </c>
      <c r="D218" s="604"/>
      <c r="E218" s="610">
        <f>Données!AF218+Données!AG218+Données!AH218</f>
        <v>5758224</v>
      </c>
      <c r="F218" s="604">
        <f t="shared" si="21"/>
        <v>2052392.4651655629</v>
      </c>
      <c r="G218" s="610">
        <f t="shared" si="22"/>
        <v>3705831.5348344371</v>
      </c>
      <c r="H218" s="605">
        <f t="shared" si="23"/>
        <v>-2580525.3377743177</v>
      </c>
      <c r="I218" s="604"/>
      <c r="J218" s="610">
        <f>Données!AN218</f>
        <v>107455</v>
      </c>
      <c r="K218" s="611">
        <f t="shared" si="24"/>
        <v>256549.05814569537</v>
      </c>
      <c r="L218" s="604">
        <f t="shared" si="25"/>
        <v>0</v>
      </c>
      <c r="M218" s="605">
        <f t="shared" si="26"/>
        <v>0</v>
      </c>
      <c r="N218" s="604"/>
      <c r="O218" s="612">
        <f t="shared" si="27"/>
        <v>-2580525.3377743177</v>
      </c>
      <c r="P218" s="180"/>
      <c r="Q218" s="152"/>
      <c r="R218" s="152"/>
      <c r="S218" s="152"/>
      <c r="T218" s="152"/>
      <c r="U218" s="152"/>
      <c r="AF218" s="10"/>
      <c r="AG218" s="10"/>
      <c r="AH218" s="10"/>
      <c r="AI218" s="10"/>
      <c r="AJ218" s="10"/>
      <c r="AK218" s="10"/>
      <c r="AL218" s="10"/>
    </row>
    <row r="219" spans="1:38" x14ac:dyDescent="0.25">
      <c r="A219" s="37">
        <f>+Données!A219</f>
        <v>5758</v>
      </c>
      <c r="B219" s="167" t="str">
        <f>+Données!B219</f>
        <v>La Praz</v>
      </c>
      <c r="C219" s="610">
        <f>+Ecrêtage!C219</f>
        <v>5899.0938554216882</v>
      </c>
      <c r="D219" s="604"/>
      <c r="E219" s="610">
        <f>Données!AF219+Données!AG219+Données!AH219</f>
        <v>407903</v>
      </c>
      <c r="F219" s="604">
        <f t="shared" si="21"/>
        <v>47192.750843373506</v>
      </c>
      <c r="G219" s="610">
        <f t="shared" si="22"/>
        <v>360710.24915662652</v>
      </c>
      <c r="H219" s="605">
        <f t="shared" si="23"/>
        <v>-251177.61797694553</v>
      </c>
      <c r="I219" s="604"/>
      <c r="J219" s="610">
        <f>Données!AN219</f>
        <v>6269</v>
      </c>
      <c r="K219" s="611">
        <f t="shared" si="24"/>
        <v>5899.0938554216882</v>
      </c>
      <c r="L219" s="604">
        <f t="shared" si="25"/>
        <v>369.9061445783118</v>
      </c>
      <c r="M219" s="605">
        <f t="shared" si="26"/>
        <v>-257.58110418945137</v>
      </c>
      <c r="N219" s="604"/>
      <c r="O219" s="612">
        <f t="shared" si="27"/>
        <v>-251435.19908113498</v>
      </c>
      <c r="P219" s="180"/>
      <c r="Q219" s="152"/>
      <c r="R219" s="152"/>
      <c r="S219" s="152"/>
      <c r="T219" s="152"/>
      <c r="U219" s="152"/>
      <c r="AF219" s="10"/>
      <c r="AG219" s="10"/>
      <c r="AH219" s="10"/>
      <c r="AI219" s="10"/>
      <c r="AJ219" s="10"/>
      <c r="AK219" s="10"/>
      <c r="AL219" s="10"/>
    </row>
    <row r="220" spans="1:38" x14ac:dyDescent="0.25">
      <c r="A220" s="37">
        <f>+Données!A220</f>
        <v>5759</v>
      </c>
      <c r="B220" s="167" t="str">
        <f>+Données!B220</f>
        <v>Premier</v>
      </c>
      <c r="C220" s="610">
        <f>+Ecrêtage!C220</f>
        <v>5179.7449056603764</v>
      </c>
      <c r="D220" s="604"/>
      <c r="E220" s="610">
        <f>Données!AF220+Données!AG220+Données!AH220</f>
        <v>141276</v>
      </c>
      <c r="F220" s="604">
        <f t="shared" si="21"/>
        <v>41437.959245283011</v>
      </c>
      <c r="G220" s="610">
        <f t="shared" si="22"/>
        <v>99838.040754716989</v>
      </c>
      <c r="H220" s="605">
        <f t="shared" si="23"/>
        <v>-69521.399291779278</v>
      </c>
      <c r="I220" s="604"/>
      <c r="J220" s="610">
        <f>Données!AN220</f>
        <v>39851</v>
      </c>
      <c r="K220" s="611">
        <f t="shared" si="24"/>
        <v>5179.7449056603764</v>
      </c>
      <c r="L220" s="604">
        <f t="shared" si="25"/>
        <v>34671.25509433962</v>
      </c>
      <c r="M220" s="605">
        <f t="shared" si="26"/>
        <v>-24143.043584785479</v>
      </c>
      <c r="N220" s="604"/>
      <c r="O220" s="612">
        <f t="shared" si="27"/>
        <v>-93664.442876564761</v>
      </c>
      <c r="P220" s="180"/>
      <c r="Q220" s="152"/>
      <c r="R220" s="152"/>
      <c r="S220" s="152"/>
      <c r="T220" s="152"/>
      <c r="U220" s="152"/>
      <c r="AF220" s="10"/>
      <c r="AG220" s="10"/>
      <c r="AH220" s="10"/>
      <c r="AI220" s="10"/>
      <c r="AJ220" s="10"/>
      <c r="AK220" s="10"/>
      <c r="AL220" s="10"/>
    </row>
    <row r="221" spans="1:38" x14ac:dyDescent="0.25">
      <c r="A221" s="37">
        <f>+Données!A221</f>
        <v>5760</v>
      </c>
      <c r="B221" s="167" t="str">
        <f>+Données!B221</f>
        <v>Rances</v>
      </c>
      <c r="C221" s="610">
        <f>+Ecrêtage!C221</f>
        <v>13863.335032679737</v>
      </c>
      <c r="D221" s="604"/>
      <c r="E221" s="610">
        <f>Données!AF221+Données!AG221+Données!AH221</f>
        <v>256983</v>
      </c>
      <c r="F221" s="604">
        <f t="shared" si="21"/>
        <v>110906.6802614379</v>
      </c>
      <c r="G221" s="610">
        <f t="shared" si="22"/>
        <v>146076.3197385621</v>
      </c>
      <c r="H221" s="605">
        <f t="shared" si="23"/>
        <v>-101719.04491363316</v>
      </c>
      <c r="I221" s="604"/>
      <c r="J221" s="610">
        <f>Données!AN221</f>
        <v>92359</v>
      </c>
      <c r="K221" s="611">
        <f t="shared" si="24"/>
        <v>13863.335032679737</v>
      </c>
      <c r="L221" s="604">
        <f t="shared" si="25"/>
        <v>78495.664967320263</v>
      </c>
      <c r="M221" s="605">
        <f t="shared" si="26"/>
        <v>-54659.811286500757</v>
      </c>
      <c r="N221" s="604"/>
      <c r="O221" s="612">
        <f t="shared" si="27"/>
        <v>-156378.85620013392</v>
      </c>
      <c r="P221" s="180"/>
      <c r="Q221" s="152"/>
      <c r="R221" s="152"/>
      <c r="S221" s="152"/>
      <c r="T221" s="152"/>
      <c r="U221" s="152"/>
      <c r="AF221" s="10"/>
      <c r="AG221" s="10"/>
      <c r="AH221" s="10"/>
      <c r="AI221" s="10"/>
      <c r="AJ221" s="10"/>
      <c r="AK221" s="10"/>
      <c r="AL221" s="10"/>
    </row>
    <row r="222" spans="1:38" x14ac:dyDescent="0.25">
      <c r="A222" s="37">
        <f>+Données!A222</f>
        <v>5761</v>
      </c>
      <c r="B222" s="167" t="str">
        <f>+Données!B222</f>
        <v>Romainmôtier-Envy</v>
      </c>
      <c r="C222" s="610">
        <f>+Ecrêtage!C222</f>
        <v>14116.093355780025</v>
      </c>
      <c r="D222" s="604"/>
      <c r="E222" s="610">
        <f>Données!AF222+Données!AG222+Données!AH222</f>
        <v>354546</v>
      </c>
      <c r="F222" s="604">
        <f t="shared" si="21"/>
        <v>112928.7468462402</v>
      </c>
      <c r="G222" s="610">
        <f t="shared" si="22"/>
        <v>241617.25315375981</v>
      </c>
      <c r="H222" s="605">
        <f t="shared" si="23"/>
        <v>-168248.18881966919</v>
      </c>
      <c r="I222" s="604"/>
      <c r="J222" s="610">
        <f>Données!AN222</f>
        <v>614</v>
      </c>
      <c r="K222" s="611">
        <f t="shared" si="24"/>
        <v>14116.093355780025</v>
      </c>
      <c r="L222" s="604">
        <f t="shared" si="25"/>
        <v>0</v>
      </c>
      <c r="M222" s="605">
        <f t="shared" si="26"/>
        <v>0</v>
      </c>
      <c r="N222" s="604"/>
      <c r="O222" s="612">
        <f t="shared" si="27"/>
        <v>-168248.18881966919</v>
      </c>
      <c r="P222" s="180"/>
      <c r="Q222" s="152"/>
      <c r="R222" s="152"/>
      <c r="S222" s="152"/>
      <c r="T222" s="152"/>
      <c r="U222" s="152"/>
      <c r="AF222" s="10"/>
      <c r="AG222" s="10"/>
      <c r="AH222" s="10"/>
      <c r="AI222" s="10"/>
      <c r="AJ222" s="10"/>
      <c r="AK222" s="10"/>
      <c r="AL222" s="10"/>
    </row>
    <row r="223" spans="1:38" x14ac:dyDescent="0.25">
      <c r="A223" s="37">
        <f>+Données!A223</f>
        <v>5762</v>
      </c>
      <c r="B223" s="167" t="str">
        <f>+Données!B223</f>
        <v>Sergey</v>
      </c>
      <c r="C223" s="610">
        <f>+Ecrêtage!C223</f>
        <v>3517.4810526315791</v>
      </c>
      <c r="D223" s="604"/>
      <c r="E223" s="610">
        <f>Données!AF223+Données!AG223+Données!AH223</f>
        <v>92167</v>
      </c>
      <c r="F223" s="604">
        <f t="shared" si="21"/>
        <v>28139.848421052633</v>
      </c>
      <c r="G223" s="610">
        <f t="shared" si="22"/>
        <v>64027.151578947363</v>
      </c>
      <c r="H223" s="605">
        <f t="shared" si="23"/>
        <v>-44584.780878975427</v>
      </c>
      <c r="I223" s="604"/>
      <c r="J223" s="610">
        <f>Données!AN223</f>
        <v>7349</v>
      </c>
      <c r="K223" s="611">
        <f t="shared" si="24"/>
        <v>3517.4810526315791</v>
      </c>
      <c r="L223" s="604">
        <f t="shared" si="25"/>
        <v>3831.5189473684209</v>
      </c>
      <c r="M223" s="605">
        <f t="shared" si="26"/>
        <v>-2668.0467346954888</v>
      </c>
      <c r="N223" s="604"/>
      <c r="O223" s="612">
        <f t="shared" si="27"/>
        <v>-47252.827613670917</v>
      </c>
      <c r="P223" s="180"/>
      <c r="Q223" s="152"/>
      <c r="R223" s="152"/>
      <c r="S223" s="152"/>
      <c r="T223" s="152"/>
      <c r="U223" s="152"/>
      <c r="AF223" s="10"/>
      <c r="AG223" s="10"/>
      <c r="AH223" s="10"/>
      <c r="AI223" s="10"/>
      <c r="AJ223" s="10"/>
      <c r="AK223" s="10"/>
      <c r="AL223" s="10"/>
    </row>
    <row r="224" spans="1:38" x14ac:dyDescent="0.25">
      <c r="A224" s="37">
        <f>+Données!A224</f>
        <v>5763</v>
      </c>
      <c r="B224" s="167" t="str">
        <f>+Données!B224</f>
        <v>Valeyres-sous-Rances</v>
      </c>
      <c r="C224" s="610">
        <f>+Ecrêtage!C224</f>
        <v>22039.299577464786</v>
      </c>
      <c r="D224" s="604"/>
      <c r="E224" s="610">
        <f>Données!AF224+Données!AG224+Données!AH224</f>
        <v>291558</v>
      </c>
      <c r="F224" s="604">
        <f t="shared" si="21"/>
        <v>176314.39661971829</v>
      </c>
      <c r="G224" s="610">
        <f t="shared" si="22"/>
        <v>115243.60338028171</v>
      </c>
      <c r="H224" s="605">
        <f t="shared" si="23"/>
        <v>-80248.936235715097</v>
      </c>
      <c r="I224" s="604"/>
      <c r="J224" s="610">
        <f>Données!AN224</f>
        <v>43885</v>
      </c>
      <c r="K224" s="611">
        <f t="shared" si="24"/>
        <v>22039.299577464786</v>
      </c>
      <c r="L224" s="604">
        <f t="shared" si="25"/>
        <v>21845.700422535214</v>
      </c>
      <c r="M224" s="605">
        <f t="shared" si="26"/>
        <v>-15212.073979044973</v>
      </c>
      <c r="N224" s="604"/>
      <c r="O224" s="612">
        <f t="shared" si="27"/>
        <v>-95461.01021476007</v>
      </c>
      <c r="P224" s="180"/>
      <c r="Q224" s="152"/>
      <c r="R224" s="152"/>
      <c r="S224" s="152"/>
      <c r="T224" s="152"/>
      <c r="U224" s="152"/>
      <c r="AF224" s="10"/>
      <c r="AG224" s="10"/>
      <c r="AH224" s="10"/>
      <c r="AI224" s="10"/>
      <c r="AJ224" s="10"/>
      <c r="AK224" s="10"/>
      <c r="AL224" s="10"/>
    </row>
    <row r="225" spans="1:38" x14ac:dyDescent="0.25">
      <c r="A225" s="37">
        <f>+Données!A225</f>
        <v>5764</v>
      </c>
      <c r="B225" s="167" t="str">
        <f>+Données!B225</f>
        <v>Vallorbe</v>
      </c>
      <c r="C225" s="610">
        <f>+Ecrêtage!C225</f>
        <v>94918.330489510496</v>
      </c>
      <c r="D225" s="604"/>
      <c r="E225" s="610">
        <f>Données!AF225+Données!AG225+Données!AH225</f>
        <v>3479078</v>
      </c>
      <c r="F225" s="604">
        <f t="shared" si="21"/>
        <v>759346.64391608397</v>
      </c>
      <c r="G225" s="610">
        <f t="shared" si="22"/>
        <v>2719731.356083916</v>
      </c>
      <c r="H225" s="605">
        <f t="shared" si="23"/>
        <v>-1893862.581270145</v>
      </c>
      <c r="I225" s="604"/>
      <c r="J225" s="610">
        <f>Données!AN225</f>
        <v>883946</v>
      </c>
      <c r="K225" s="611">
        <f t="shared" si="24"/>
        <v>94918.330489510496</v>
      </c>
      <c r="L225" s="604">
        <f t="shared" si="25"/>
        <v>789027.66951048956</v>
      </c>
      <c r="M225" s="605">
        <f t="shared" si="26"/>
        <v>-549432.9340763744</v>
      </c>
      <c r="N225" s="604"/>
      <c r="O225" s="612">
        <f t="shared" si="27"/>
        <v>-2443295.5153465196</v>
      </c>
      <c r="P225" s="180"/>
      <c r="Q225" s="152"/>
      <c r="R225" s="152"/>
      <c r="S225" s="152"/>
      <c r="T225" s="152"/>
      <c r="U225" s="152"/>
      <c r="AF225" s="10"/>
      <c r="AG225" s="10"/>
      <c r="AH225" s="10"/>
      <c r="AI225" s="10"/>
      <c r="AJ225" s="10"/>
      <c r="AK225" s="10"/>
      <c r="AL225" s="10"/>
    </row>
    <row r="226" spans="1:38" x14ac:dyDescent="0.25">
      <c r="A226" s="37">
        <f>+Données!A226</f>
        <v>5765</v>
      </c>
      <c r="B226" s="167" t="str">
        <f>+Données!B226</f>
        <v>Vaulion</v>
      </c>
      <c r="C226" s="610">
        <f>+Ecrêtage!C226</f>
        <v>10165.546419753087</v>
      </c>
      <c r="D226" s="604"/>
      <c r="E226" s="610">
        <f>Données!AF226+Données!AG226+Données!AH226</f>
        <v>322982</v>
      </c>
      <c r="F226" s="604">
        <f t="shared" si="21"/>
        <v>81324.371358024699</v>
      </c>
      <c r="G226" s="610">
        <f t="shared" si="22"/>
        <v>241657.62864197529</v>
      </c>
      <c r="H226" s="605">
        <f t="shared" si="23"/>
        <v>-168276.30395911512</v>
      </c>
      <c r="I226" s="604"/>
      <c r="J226" s="610">
        <f>Données!AN226</f>
        <v>22817</v>
      </c>
      <c r="K226" s="611">
        <f t="shared" si="24"/>
        <v>10165.546419753087</v>
      </c>
      <c r="L226" s="604">
        <f t="shared" si="25"/>
        <v>12651.453580246913</v>
      </c>
      <c r="M226" s="605">
        <f t="shared" si="26"/>
        <v>-8809.7357412555266</v>
      </c>
      <c r="N226" s="604"/>
      <c r="O226" s="612">
        <f t="shared" si="27"/>
        <v>-177086.03970037063</v>
      </c>
      <c r="P226" s="180"/>
      <c r="Q226" s="152"/>
      <c r="R226" s="152"/>
      <c r="S226" s="152"/>
      <c r="T226" s="152"/>
      <c r="U226" s="152"/>
      <c r="AF226" s="10"/>
      <c r="AG226" s="10"/>
      <c r="AH226" s="10"/>
      <c r="AI226" s="10"/>
      <c r="AJ226" s="10"/>
      <c r="AK226" s="10"/>
      <c r="AL226" s="10"/>
    </row>
    <row r="227" spans="1:38" x14ac:dyDescent="0.25">
      <c r="A227" s="37">
        <f>+Données!A227</f>
        <v>5766</v>
      </c>
      <c r="B227" s="167" t="str">
        <f>+Données!B227</f>
        <v>Vuiteboeuf</v>
      </c>
      <c r="C227" s="610">
        <f>+Ecrêtage!C227</f>
        <v>15485.667942857142</v>
      </c>
      <c r="D227" s="604"/>
      <c r="E227" s="610">
        <f>Données!AF227+Données!AG227+Données!AH227</f>
        <v>253599</v>
      </c>
      <c r="F227" s="604">
        <f t="shared" si="21"/>
        <v>123885.34354285714</v>
      </c>
      <c r="G227" s="610">
        <f t="shared" si="22"/>
        <v>129713.65645714286</v>
      </c>
      <c r="H227" s="605">
        <f t="shared" si="23"/>
        <v>-90325.038792667314</v>
      </c>
      <c r="I227" s="604"/>
      <c r="J227" s="610">
        <f>Données!AN227</f>
        <v>59796</v>
      </c>
      <c r="K227" s="611">
        <f t="shared" si="24"/>
        <v>15485.667942857142</v>
      </c>
      <c r="L227" s="604">
        <f t="shared" si="25"/>
        <v>44310.332057142856</v>
      </c>
      <c r="M227" s="605">
        <f t="shared" si="26"/>
        <v>-30855.135621743586</v>
      </c>
      <c r="N227" s="604"/>
      <c r="O227" s="612">
        <f t="shared" si="27"/>
        <v>-121180.1744144109</v>
      </c>
      <c r="P227" s="180"/>
      <c r="Q227" s="152"/>
      <c r="R227" s="152"/>
      <c r="S227" s="152"/>
      <c r="T227" s="152"/>
      <c r="U227" s="152"/>
      <c r="AF227" s="10"/>
      <c r="AG227" s="10"/>
      <c r="AH227" s="10"/>
      <c r="AI227" s="10"/>
      <c r="AJ227" s="10"/>
      <c r="AK227" s="10"/>
      <c r="AL227" s="10"/>
    </row>
    <row r="228" spans="1:38" x14ac:dyDescent="0.25">
      <c r="A228" s="37">
        <f>+Données!A228</f>
        <v>5785</v>
      </c>
      <c r="B228" s="167" t="str">
        <f>+Données!B228</f>
        <v>Corcelles-le-Jorat</v>
      </c>
      <c r="C228" s="610">
        <f>+Ecrêtage!C228</f>
        <v>15190.065466666669</v>
      </c>
      <c r="D228" s="604"/>
      <c r="E228" s="610">
        <f>Données!AF228+Données!AG228+Données!AH228</f>
        <v>153726</v>
      </c>
      <c r="F228" s="604">
        <f t="shared" si="21"/>
        <v>121520.52373333335</v>
      </c>
      <c r="G228" s="610">
        <f t="shared" si="22"/>
        <v>32205.47626666665</v>
      </c>
      <c r="H228" s="605">
        <f t="shared" si="23"/>
        <v>-22426.018759899089</v>
      </c>
      <c r="I228" s="604"/>
      <c r="J228" s="610">
        <f>Données!AN228</f>
        <v>57561</v>
      </c>
      <c r="K228" s="611">
        <f t="shared" si="24"/>
        <v>15190.065466666669</v>
      </c>
      <c r="L228" s="604">
        <f t="shared" si="25"/>
        <v>42370.934533333333</v>
      </c>
      <c r="M228" s="605">
        <f t="shared" si="26"/>
        <v>-29504.652092429336</v>
      </c>
      <c r="N228" s="604"/>
      <c r="O228" s="612">
        <f t="shared" si="27"/>
        <v>-51930.670852328425</v>
      </c>
      <c r="P228" s="180"/>
      <c r="Q228" s="152"/>
      <c r="R228" s="152"/>
      <c r="S228" s="152"/>
      <c r="T228" s="152"/>
      <c r="U228" s="152"/>
      <c r="AF228" s="10"/>
      <c r="AG228" s="10"/>
      <c r="AH228" s="10"/>
      <c r="AI228" s="10"/>
      <c r="AJ228" s="10"/>
      <c r="AK228" s="10"/>
      <c r="AL228" s="10"/>
    </row>
    <row r="229" spans="1:38" x14ac:dyDescent="0.25">
      <c r="A229" s="37">
        <f>+Données!A229</f>
        <v>5790</v>
      </c>
      <c r="B229" s="167" t="str">
        <f>+Données!B229</f>
        <v>Maracon</v>
      </c>
      <c r="C229" s="610">
        <f>+Ecrêtage!C229</f>
        <v>16291.788187919459</v>
      </c>
      <c r="D229" s="604"/>
      <c r="E229" s="610">
        <f>Données!AF229+Données!AG229+Données!AH229</f>
        <v>232373</v>
      </c>
      <c r="F229" s="604">
        <f t="shared" si="21"/>
        <v>130334.30550335567</v>
      </c>
      <c r="G229" s="610">
        <f t="shared" si="22"/>
        <v>102038.69449664433</v>
      </c>
      <c r="H229" s="605">
        <f t="shared" si="23"/>
        <v>-71053.806441788882</v>
      </c>
      <c r="I229" s="604"/>
      <c r="J229" s="610">
        <f>Données!AN229</f>
        <v>17114</v>
      </c>
      <c r="K229" s="611">
        <f t="shared" si="24"/>
        <v>16291.788187919459</v>
      </c>
      <c r="L229" s="604">
        <f t="shared" si="25"/>
        <v>822.21181208054077</v>
      </c>
      <c r="M229" s="605">
        <f t="shared" si="26"/>
        <v>-572.54043907475216</v>
      </c>
      <c r="N229" s="604"/>
      <c r="O229" s="612">
        <f t="shared" si="27"/>
        <v>-71626.346880863639</v>
      </c>
      <c r="P229" s="180"/>
      <c r="Q229" s="152"/>
      <c r="R229" s="152"/>
      <c r="S229" s="152"/>
      <c r="T229" s="152"/>
      <c r="U229" s="152"/>
      <c r="AF229" s="10"/>
      <c r="AG229" s="10"/>
      <c r="AH229" s="10"/>
      <c r="AI229" s="10"/>
      <c r="AJ229" s="10"/>
      <c r="AK229" s="10"/>
      <c r="AL229" s="10"/>
    </row>
    <row r="230" spans="1:38" x14ac:dyDescent="0.25">
      <c r="A230" s="37">
        <f>+Données!A230</f>
        <v>5792</v>
      </c>
      <c r="B230" s="167" t="str">
        <f>+Données!B230</f>
        <v>Montpreveyres</v>
      </c>
      <c r="C230" s="610">
        <f>+Ecrêtage!C230</f>
        <v>20010.357852348992</v>
      </c>
      <c r="D230" s="604"/>
      <c r="E230" s="610">
        <f>Données!AF230+Données!AG230+Données!AH230</f>
        <v>448896</v>
      </c>
      <c r="F230" s="604">
        <f t="shared" si="21"/>
        <v>160082.86281879194</v>
      </c>
      <c r="G230" s="610">
        <f t="shared" si="22"/>
        <v>288813.13718120806</v>
      </c>
      <c r="H230" s="605">
        <f t="shared" si="23"/>
        <v>-201112.65484481718</v>
      </c>
      <c r="I230" s="604"/>
      <c r="J230" s="610">
        <f>Données!AN230</f>
        <v>11484</v>
      </c>
      <c r="K230" s="611">
        <f t="shared" si="24"/>
        <v>20010.357852348992</v>
      </c>
      <c r="L230" s="604">
        <f t="shared" si="25"/>
        <v>0</v>
      </c>
      <c r="M230" s="605">
        <f t="shared" si="26"/>
        <v>0</v>
      </c>
      <c r="N230" s="604"/>
      <c r="O230" s="612">
        <f t="shared" si="27"/>
        <v>-201112.65484481718</v>
      </c>
      <c r="P230" s="180"/>
      <c r="Q230" s="152"/>
      <c r="R230" s="152"/>
      <c r="S230" s="152"/>
      <c r="T230" s="152"/>
      <c r="U230" s="152"/>
      <c r="AF230" s="10"/>
      <c r="AG230" s="10"/>
      <c r="AH230" s="10"/>
      <c r="AI230" s="10"/>
      <c r="AJ230" s="10"/>
      <c r="AK230" s="10"/>
      <c r="AL230" s="10"/>
    </row>
    <row r="231" spans="1:38" x14ac:dyDescent="0.25">
      <c r="A231" s="37">
        <f>+Données!A231</f>
        <v>5798</v>
      </c>
      <c r="B231" s="167" t="str">
        <f>+Données!B231</f>
        <v>Ropraz</v>
      </c>
      <c r="C231" s="610">
        <f>+Ecrêtage!C231</f>
        <v>15645.960516129035</v>
      </c>
      <c r="D231" s="604"/>
      <c r="E231" s="610">
        <f>Données!AF231+Données!AG231+Données!AH231</f>
        <v>180505</v>
      </c>
      <c r="F231" s="604">
        <f t="shared" si="21"/>
        <v>125167.68412903228</v>
      </c>
      <c r="G231" s="610">
        <f t="shared" si="22"/>
        <v>55337.315870967723</v>
      </c>
      <c r="H231" s="605">
        <f t="shared" si="23"/>
        <v>-38533.685189721618</v>
      </c>
      <c r="I231" s="604"/>
      <c r="J231" s="610">
        <f>Données!AN231</f>
        <v>-2234</v>
      </c>
      <c r="K231" s="611">
        <f t="shared" si="24"/>
        <v>15645.960516129035</v>
      </c>
      <c r="L231" s="604">
        <f t="shared" si="25"/>
        <v>0</v>
      </c>
      <c r="M231" s="605">
        <f t="shared" si="26"/>
        <v>0</v>
      </c>
      <c r="N231" s="604"/>
      <c r="O231" s="612">
        <f t="shared" si="27"/>
        <v>-38533.685189721618</v>
      </c>
      <c r="P231" s="180"/>
      <c r="Q231" s="152"/>
      <c r="R231" s="152"/>
      <c r="S231" s="152"/>
      <c r="T231" s="152"/>
      <c r="U231" s="152"/>
      <c r="AF231" s="10"/>
      <c r="AG231" s="10"/>
      <c r="AH231" s="10"/>
      <c r="AI231" s="10"/>
      <c r="AJ231" s="10"/>
      <c r="AK231" s="10"/>
      <c r="AL231" s="10"/>
    </row>
    <row r="232" spans="1:38" x14ac:dyDescent="0.25">
      <c r="A232" s="37">
        <f>+Données!A232</f>
        <v>5799</v>
      </c>
      <c r="B232" s="167" t="str">
        <f>+Données!B232</f>
        <v>Servion</v>
      </c>
      <c r="C232" s="610">
        <f>+Ecrêtage!C232</f>
        <v>79870.61985507248</v>
      </c>
      <c r="D232" s="604"/>
      <c r="E232" s="610">
        <f>Données!AF232+Données!AG232+Données!AH232</f>
        <v>961278</v>
      </c>
      <c r="F232" s="604">
        <f t="shared" si="21"/>
        <v>638964.95884057984</v>
      </c>
      <c r="G232" s="610">
        <f t="shared" si="22"/>
        <v>322313.04115942016</v>
      </c>
      <c r="H232" s="605">
        <f t="shared" si="23"/>
        <v>-224440.03770509746</v>
      </c>
      <c r="I232" s="604"/>
      <c r="J232" s="610">
        <f>Données!AN232</f>
        <v>60434</v>
      </c>
      <c r="K232" s="611">
        <f t="shared" si="24"/>
        <v>79870.61985507248</v>
      </c>
      <c r="L232" s="604">
        <f t="shared" si="25"/>
        <v>0</v>
      </c>
      <c r="M232" s="605">
        <f t="shared" si="26"/>
        <v>0</v>
      </c>
      <c r="N232" s="604"/>
      <c r="O232" s="612">
        <f t="shared" si="27"/>
        <v>-224440.03770509746</v>
      </c>
      <c r="P232" s="180"/>
      <c r="Q232" s="152"/>
      <c r="R232" s="152"/>
      <c r="S232" s="152"/>
      <c r="T232" s="152"/>
      <c r="U232" s="152"/>
      <c r="AF232" s="10"/>
      <c r="AG232" s="10"/>
      <c r="AH232" s="10"/>
      <c r="AI232" s="10"/>
      <c r="AJ232" s="10"/>
      <c r="AK232" s="10"/>
      <c r="AL232" s="10"/>
    </row>
    <row r="233" spans="1:38" x14ac:dyDescent="0.25">
      <c r="A233" s="37">
        <f>+Données!A233</f>
        <v>5803</v>
      </c>
      <c r="B233" s="167" t="str">
        <f>+Données!B233</f>
        <v>Vulliens</v>
      </c>
      <c r="C233" s="610">
        <f>+Ecrêtage!C233</f>
        <v>18493.730135135131</v>
      </c>
      <c r="D233" s="604"/>
      <c r="E233" s="610">
        <f>Données!AF233+Données!AG233+Données!AH233</f>
        <v>854914</v>
      </c>
      <c r="F233" s="604">
        <f t="shared" si="21"/>
        <v>147949.84108108105</v>
      </c>
      <c r="G233" s="610">
        <f t="shared" si="22"/>
        <v>706964.15891891893</v>
      </c>
      <c r="H233" s="605">
        <f t="shared" si="23"/>
        <v>-492288.68280707864</v>
      </c>
      <c r="I233" s="604"/>
      <c r="J233" s="610">
        <f>Données!AN233</f>
        <v>51402</v>
      </c>
      <c r="K233" s="611">
        <f t="shared" si="24"/>
        <v>18493.730135135131</v>
      </c>
      <c r="L233" s="604">
        <f t="shared" si="25"/>
        <v>32908.269864864866</v>
      </c>
      <c r="M233" s="605">
        <f t="shared" si="26"/>
        <v>-22915.40330701858</v>
      </c>
      <c r="N233" s="604"/>
      <c r="O233" s="612">
        <f t="shared" si="27"/>
        <v>-515204.08611409721</v>
      </c>
      <c r="P233" s="180"/>
      <c r="Q233" s="152"/>
      <c r="R233" s="152"/>
      <c r="S233" s="152"/>
      <c r="T233" s="152"/>
      <c r="U233" s="152"/>
      <c r="AF233" s="10"/>
      <c r="AG233" s="10"/>
      <c r="AH233" s="10"/>
      <c r="AI233" s="10"/>
      <c r="AJ233" s="10"/>
      <c r="AK233" s="10"/>
      <c r="AL233" s="10"/>
    </row>
    <row r="234" spans="1:38" x14ac:dyDescent="0.25">
      <c r="A234" s="37">
        <f>+Données!A234</f>
        <v>5804</v>
      </c>
      <c r="B234" s="167" t="str">
        <f>+Données!B234</f>
        <v>Jorat-Menthue</v>
      </c>
      <c r="C234" s="610">
        <f>+Ecrêtage!C234</f>
        <v>48159.833333333336</v>
      </c>
      <c r="D234" s="604"/>
      <c r="E234" s="610">
        <f>Données!AF234+Données!AG234+Données!AH234</f>
        <v>882926</v>
      </c>
      <c r="F234" s="604">
        <f t="shared" si="21"/>
        <v>385278.66666666669</v>
      </c>
      <c r="G234" s="610">
        <f t="shared" si="22"/>
        <v>497647.33333333331</v>
      </c>
      <c r="H234" s="605">
        <f t="shared" si="23"/>
        <v>-346532.63130588079</v>
      </c>
      <c r="I234" s="604"/>
      <c r="J234" s="610">
        <f>Données!AN234</f>
        <v>260849</v>
      </c>
      <c r="K234" s="611">
        <f t="shared" si="24"/>
        <v>48159.833333333336</v>
      </c>
      <c r="L234" s="604">
        <f t="shared" si="25"/>
        <v>212689.16666666666</v>
      </c>
      <c r="M234" s="605">
        <f t="shared" si="26"/>
        <v>-148104.35350185412</v>
      </c>
      <c r="N234" s="604"/>
      <c r="O234" s="612">
        <f t="shared" si="27"/>
        <v>-494636.9848077349</v>
      </c>
      <c r="P234" s="180"/>
      <c r="Q234" s="152"/>
      <c r="R234" s="152"/>
      <c r="S234" s="152"/>
      <c r="T234" s="152"/>
      <c r="U234" s="152"/>
      <c r="AF234" s="10"/>
      <c r="AG234" s="10"/>
      <c r="AH234" s="10"/>
      <c r="AI234" s="10"/>
      <c r="AJ234" s="10"/>
      <c r="AK234" s="10"/>
      <c r="AL234" s="10"/>
    </row>
    <row r="235" spans="1:38" x14ac:dyDescent="0.25">
      <c r="A235" s="37">
        <f>+Données!A235</f>
        <v>5805</v>
      </c>
      <c r="B235" s="167" t="str">
        <f>+Données!B235</f>
        <v>Oron</v>
      </c>
      <c r="C235" s="610">
        <f>+Ecrêtage!C235</f>
        <v>189171.20249011857</v>
      </c>
      <c r="D235" s="604"/>
      <c r="E235" s="610">
        <f>Données!AF235+Données!AG235+Données!AH235</f>
        <v>2966927</v>
      </c>
      <c r="F235" s="604">
        <f t="shared" si="21"/>
        <v>1513369.6199209485</v>
      </c>
      <c r="G235" s="610">
        <f t="shared" si="22"/>
        <v>1453557.3800790515</v>
      </c>
      <c r="H235" s="605">
        <f t="shared" si="23"/>
        <v>-1012172.7374664441</v>
      </c>
      <c r="I235" s="604"/>
      <c r="J235" s="610">
        <f>Données!AN235</f>
        <v>15530</v>
      </c>
      <c r="K235" s="611">
        <f t="shared" si="24"/>
        <v>189171.20249011857</v>
      </c>
      <c r="L235" s="604">
        <f t="shared" si="25"/>
        <v>0</v>
      </c>
      <c r="M235" s="605">
        <f t="shared" si="26"/>
        <v>0</v>
      </c>
      <c r="N235" s="604"/>
      <c r="O235" s="612">
        <f t="shared" si="27"/>
        <v>-1012172.7374664441</v>
      </c>
      <c r="P235" s="180"/>
      <c r="Q235" s="152"/>
      <c r="R235" s="152"/>
      <c r="S235" s="152"/>
      <c r="T235" s="152"/>
      <c r="U235" s="152"/>
      <c r="AF235" s="10"/>
      <c r="AG235" s="10"/>
      <c r="AH235" s="10"/>
      <c r="AI235" s="10"/>
      <c r="AJ235" s="10"/>
      <c r="AK235" s="10"/>
      <c r="AL235" s="10"/>
    </row>
    <row r="236" spans="1:38" x14ac:dyDescent="0.25">
      <c r="A236" s="37">
        <f>+Données!A236</f>
        <v>5806</v>
      </c>
      <c r="B236" s="167" t="str">
        <f>+Données!B236</f>
        <v>Jorat-Mézières</v>
      </c>
      <c r="C236" s="610">
        <f>+Ecrêtage!C236</f>
        <v>101965.39633802818</v>
      </c>
      <c r="D236" s="604"/>
      <c r="E236" s="610">
        <f>Données!AF236+Données!AG236+Données!AH236</f>
        <v>1341172</v>
      </c>
      <c r="F236" s="604">
        <f t="shared" si="21"/>
        <v>815723.17070422543</v>
      </c>
      <c r="G236" s="610">
        <f t="shared" si="22"/>
        <v>525448.82929577457</v>
      </c>
      <c r="H236" s="605">
        <f t="shared" si="23"/>
        <v>-365891.97456925857</v>
      </c>
      <c r="I236" s="604"/>
      <c r="J236" s="610">
        <f>Données!AN236</f>
        <v>30647</v>
      </c>
      <c r="K236" s="611">
        <f t="shared" si="24"/>
        <v>101965.39633802818</v>
      </c>
      <c r="L236" s="604">
        <f t="shared" si="25"/>
        <v>0</v>
      </c>
      <c r="M236" s="605">
        <f t="shared" si="26"/>
        <v>0</v>
      </c>
      <c r="N236" s="604"/>
      <c r="O236" s="612">
        <f t="shared" si="27"/>
        <v>-365891.97456925857</v>
      </c>
      <c r="P236" s="180"/>
      <c r="Q236" s="152"/>
      <c r="R236" s="152"/>
      <c r="S236" s="152"/>
      <c r="T236" s="152"/>
      <c r="U236" s="152"/>
      <c r="AF236" s="10"/>
      <c r="AG236" s="10"/>
      <c r="AH236" s="10"/>
      <c r="AI236" s="10"/>
      <c r="AJ236" s="10"/>
      <c r="AK236" s="10"/>
      <c r="AL236" s="10"/>
    </row>
    <row r="237" spans="1:38" x14ac:dyDescent="0.25">
      <c r="A237" s="37">
        <f>+Données!A237</f>
        <v>5812</v>
      </c>
      <c r="B237" s="167" t="str">
        <f>+Données!B237</f>
        <v>Champtauroz</v>
      </c>
      <c r="C237" s="610">
        <f>+Ecrêtage!C237</f>
        <v>3968.7312987012979</v>
      </c>
      <c r="D237" s="604"/>
      <c r="E237" s="610">
        <f>Données!AF237+Données!AG237+Données!AH237</f>
        <v>45344</v>
      </c>
      <c r="F237" s="604">
        <f t="shared" si="21"/>
        <v>31749.850389610383</v>
      </c>
      <c r="G237" s="610">
        <f t="shared" si="22"/>
        <v>13594.149610389617</v>
      </c>
      <c r="H237" s="605">
        <f t="shared" si="23"/>
        <v>-9466.1743755366151</v>
      </c>
      <c r="I237" s="604"/>
      <c r="J237" s="610">
        <f>Données!AN237</f>
        <v>1096</v>
      </c>
      <c r="K237" s="611">
        <f t="shared" si="24"/>
        <v>3968.7312987012979</v>
      </c>
      <c r="L237" s="604">
        <f t="shared" si="25"/>
        <v>0</v>
      </c>
      <c r="M237" s="605">
        <f t="shared" si="26"/>
        <v>0</v>
      </c>
      <c r="N237" s="604"/>
      <c r="O237" s="612">
        <f t="shared" si="27"/>
        <v>-9466.1743755366151</v>
      </c>
      <c r="P237" s="180"/>
      <c r="Q237" s="152"/>
      <c r="R237" s="152"/>
      <c r="S237" s="152"/>
      <c r="T237" s="152"/>
      <c r="U237" s="152"/>
      <c r="AF237" s="10"/>
      <c r="AG237" s="10"/>
      <c r="AH237" s="10"/>
      <c r="AI237" s="10"/>
      <c r="AJ237" s="10"/>
      <c r="AK237" s="10"/>
      <c r="AL237" s="10"/>
    </row>
    <row r="238" spans="1:38" x14ac:dyDescent="0.25">
      <c r="A238" s="37">
        <f>+Données!A238</f>
        <v>5813</v>
      </c>
      <c r="B238" s="167" t="str">
        <f>+Données!B238</f>
        <v>Chevroux</v>
      </c>
      <c r="C238" s="610">
        <f>+Ecrêtage!C238</f>
        <v>19281.459294403892</v>
      </c>
      <c r="D238" s="604"/>
      <c r="E238" s="610">
        <f>Données!AF238+Données!AG238+Données!AH238</f>
        <v>374790</v>
      </c>
      <c r="F238" s="604">
        <f t="shared" si="21"/>
        <v>154251.67435523114</v>
      </c>
      <c r="G238" s="610">
        <f t="shared" si="22"/>
        <v>220538.32564476886</v>
      </c>
      <c r="H238" s="605">
        <f t="shared" si="23"/>
        <v>-153570.05085825498</v>
      </c>
      <c r="I238" s="604"/>
      <c r="J238" s="610">
        <f>Données!AN238</f>
        <v>5586</v>
      </c>
      <c r="K238" s="611">
        <f t="shared" si="24"/>
        <v>19281.459294403892</v>
      </c>
      <c r="L238" s="604">
        <f t="shared" si="25"/>
        <v>0</v>
      </c>
      <c r="M238" s="605">
        <f t="shared" si="26"/>
        <v>0</v>
      </c>
      <c r="N238" s="604"/>
      <c r="O238" s="612">
        <f t="shared" si="27"/>
        <v>-153570.05085825498</v>
      </c>
      <c r="P238" s="180"/>
      <c r="Q238" s="152"/>
      <c r="R238" s="152"/>
      <c r="S238" s="152"/>
      <c r="T238" s="152"/>
      <c r="U238" s="152"/>
      <c r="AF238" s="10"/>
      <c r="AG238" s="10"/>
      <c r="AH238" s="10"/>
      <c r="AI238" s="10"/>
      <c r="AJ238" s="10"/>
      <c r="AK238" s="10"/>
      <c r="AL238" s="10"/>
    </row>
    <row r="239" spans="1:38" x14ac:dyDescent="0.25">
      <c r="A239" s="37">
        <f>+Données!A239</f>
        <v>5816</v>
      </c>
      <c r="B239" s="167" t="str">
        <f>+Données!B239</f>
        <v>Corcelles-près-Payerne</v>
      </c>
      <c r="C239" s="610">
        <f>+Ecrêtage!C239</f>
        <v>73731.873296703299</v>
      </c>
      <c r="D239" s="604"/>
      <c r="E239" s="610">
        <f>Données!AF239+Données!AG239+Données!AH239</f>
        <v>1168245</v>
      </c>
      <c r="F239" s="604">
        <f t="shared" si="21"/>
        <v>589854.98637362639</v>
      </c>
      <c r="G239" s="610">
        <f t="shared" si="22"/>
        <v>578390.01362637361</v>
      </c>
      <c r="H239" s="605">
        <f t="shared" si="23"/>
        <v>-402757.13325030345</v>
      </c>
      <c r="I239" s="604"/>
      <c r="J239" s="610">
        <f>Données!AN239</f>
        <v>13284</v>
      </c>
      <c r="K239" s="611">
        <f t="shared" si="24"/>
        <v>73731.873296703299</v>
      </c>
      <c r="L239" s="604">
        <f t="shared" si="25"/>
        <v>0</v>
      </c>
      <c r="M239" s="605">
        <f t="shared" si="26"/>
        <v>0</v>
      </c>
      <c r="N239" s="604"/>
      <c r="O239" s="612">
        <f t="shared" si="27"/>
        <v>-402757.13325030345</v>
      </c>
      <c r="P239" s="180"/>
      <c r="Q239" s="152"/>
      <c r="R239" s="152"/>
      <c r="S239" s="152"/>
      <c r="T239" s="152"/>
      <c r="U239" s="152"/>
      <c r="AF239" s="10"/>
      <c r="AG239" s="10"/>
      <c r="AH239" s="10"/>
      <c r="AI239" s="10"/>
      <c r="AJ239" s="10"/>
      <c r="AK239" s="10"/>
      <c r="AL239" s="10"/>
    </row>
    <row r="240" spans="1:38" x14ac:dyDescent="0.25">
      <c r="A240" s="37">
        <f>+Données!A240</f>
        <v>5817</v>
      </c>
      <c r="B240" s="167" t="str">
        <f>+Données!B240</f>
        <v>Grandcour</v>
      </c>
      <c r="C240" s="610">
        <f>+Ecrêtage!C240</f>
        <v>27223.795694444449</v>
      </c>
      <c r="D240" s="604"/>
      <c r="E240" s="610">
        <f>Données!AF240+Données!AG240+Données!AH240</f>
        <v>435423</v>
      </c>
      <c r="F240" s="604">
        <f t="shared" si="21"/>
        <v>217790.36555555559</v>
      </c>
      <c r="G240" s="610">
        <f t="shared" si="22"/>
        <v>217632.63444444441</v>
      </c>
      <c r="H240" s="605">
        <f t="shared" si="23"/>
        <v>-151546.6966675146</v>
      </c>
      <c r="I240" s="604"/>
      <c r="J240" s="610">
        <f>Données!AN240</f>
        <v>51548</v>
      </c>
      <c r="K240" s="611">
        <f t="shared" si="24"/>
        <v>27223.795694444449</v>
      </c>
      <c r="L240" s="604">
        <f t="shared" si="25"/>
        <v>24324.204305555551</v>
      </c>
      <c r="M240" s="605">
        <f t="shared" si="26"/>
        <v>-16937.959791658352</v>
      </c>
      <c r="N240" s="604"/>
      <c r="O240" s="612">
        <f t="shared" si="27"/>
        <v>-168484.65645917295</v>
      </c>
      <c r="P240" s="180"/>
      <c r="Q240" s="152"/>
      <c r="R240" s="152"/>
      <c r="S240" s="152"/>
      <c r="T240" s="152"/>
      <c r="U240" s="152"/>
      <c r="AF240" s="10"/>
      <c r="AG240" s="10"/>
      <c r="AH240" s="10"/>
      <c r="AI240" s="10"/>
      <c r="AJ240" s="10"/>
      <c r="AK240" s="10"/>
      <c r="AL240" s="10"/>
    </row>
    <row r="241" spans="1:38" x14ac:dyDescent="0.25">
      <c r="A241" s="37">
        <f>+Données!A241</f>
        <v>5819</v>
      </c>
      <c r="B241" s="167" t="str">
        <f>+Données!B241</f>
        <v>Henniez</v>
      </c>
      <c r="C241" s="610">
        <f>+Ecrêtage!C241</f>
        <v>14881.811884057974</v>
      </c>
      <c r="D241" s="604"/>
      <c r="E241" s="610">
        <f>Données!AF241+Données!AG241+Données!AH241</f>
        <v>217527</v>
      </c>
      <c r="F241" s="604">
        <f t="shared" si="21"/>
        <v>119054.49507246379</v>
      </c>
      <c r="G241" s="610">
        <f t="shared" si="22"/>
        <v>98472.504927536211</v>
      </c>
      <c r="H241" s="605">
        <f t="shared" si="23"/>
        <v>-68570.51963938406</v>
      </c>
      <c r="I241" s="604"/>
      <c r="J241" s="610">
        <f>Données!AN241</f>
        <v>0</v>
      </c>
      <c r="K241" s="611">
        <f t="shared" si="24"/>
        <v>14881.811884057974</v>
      </c>
      <c r="L241" s="604">
        <f t="shared" si="25"/>
        <v>0</v>
      </c>
      <c r="M241" s="605">
        <f t="shared" si="26"/>
        <v>0</v>
      </c>
      <c r="N241" s="604"/>
      <c r="O241" s="612">
        <f t="shared" si="27"/>
        <v>-68570.51963938406</v>
      </c>
      <c r="P241" s="180"/>
      <c r="Q241" s="152"/>
      <c r="R241" s="152"/>
      <c r="S241" s="152"/>
      <c r="T241" s="152"/>
      <c r="U241" s="152"/>
      <c r="AF241" s="10"/>
      <c r="AG241" s="10"/>
      <c r="AH241" s="10"/>
      <c r="AI241" s="10"/>
      <c r="AJ241" s="10"/>
      <c r="AK241" s="10"/>
      <c r="AL241" s="10"/>
    </row>
    <row r="242" spans="1:38" x14ac:dyDescent="0.25">
      <c r="A242" s="37">
        <f>+Données!A242</f>
        <v>5821</v>
      </c>
      <c r="B242" s="167" t="str">
        <f>+Données!B242</f>
        <v>Missy</v>
      </c>
      <c r="C242" s="610">
        <f>+Ecrêtage!C242</f>
        <v>10384.069710144928</v>
      </c>
      <c r="D242" s="604"/>
      <c r="E242" s="610">
        <f>Données!AF242+Données!AG242+Données!AH242</f>
        <v>79816</v>
      </c>
      <c r="F242" s="604">
        <f t="shared" si="21"/>
        <v>83072.557681159422</v>
      </c>
      <c r="G242" s="610">
        <f t="shared" si="22"/>
        <v>0</v>
      </c>
      <c r="H242" s="605">
        <f t="shared" si="23"/>
        <v>0</v>
      </c>
      <c r="I242" s="604"/>
      <c r="J242" s="610">
        <f>Données!AN242</f>
        <v>0</v>
      </c>
      <c r="K242" s="611">
        <f t="shared" si="24"/>
        <v>10384.069710144928</v>
      </c>
      <c r="L242" s="604">
        <f t="shared" si="25"/>
        <v>0</v>
      </c>
      <c r="M242" s="605">
        <f t="shared" si="26"/>
        <v>0</v>
      </c>
      <c r="N242" s="604"/>
      <c r="O242" s="612">
        <f t="shared" si="27"/>
        <v>0</v>
      </c>
      <c r="P242" s="180"/>
      <c r="Q242" s="152"/>
      <c r="R242" s="152"/>
      <c r="S242" s="152"/>
      <c r="T242" s="152"/>
      <c r="U242" s="152"/>
      <c r="AF242" s="10"/>
      <c r="AG242" s="10"/>
      <c r="AH242" s="10"/>
      <c r="AI242" s="10"/>
      <c r="AJ242" s="10"/>
      <c r="AK242" s="10"/>
      <c r="AL242" s="10"/>
    </row>
    <row r="243" spans="1:38" x14ac:dyDescent="0.25">
      <c r="A243" s="37">
        <f>+Données!A243</f>
        <v>5822</v>
      </c>
      <c r="B243" s="167" t="str">
        <f>+Données!B243</f>
        <v>Payerne</v>
      </c>
      <c r="C243" s="610">
        <f>+Ecrêtage!C243</f>
        <v>250662.19871428571</v>
      </c>
      <c r="D243" s="604"/>
      <c r="E243" s="610">
        <f>Données!AF243+Données!AG243+Données!AH243</f>
        <v>4505117</v>
      </c>
      <c r="F243" s="604">
        <f t="shared" si="21"/>
        <v>2005297.5897142857</v>
      </c>
      <c r="G243" s="610">
        <f t="shared" si="22"/>
        <v>2499819.4102857141</v>
      </c>
      <c r="H243" s="605">
        <f t="shared" si="23"/>
        <v>-1740728.704870967</v>
      </c>
      <c r="I243" s="604"/>
      <c r="J243" s="610">
        <f>Données!AN243</f>
        <v>160591</v>
      </c>
      <c r="K243" s="611">
        <f t="shared" si="24"/>
        <v>250662.19871428571</v>
      </c>
      <c r="L243" s="604">
        <f t="shared" si="25"/>
        <v>0</v>
      </c>
      <c r="M243" s="605">
        <f t="shared" si="26"/>
        <v>0</v>
      </c>
      <c r="N243" s="604"/>
      <c r="O243" s="612">
        <f t="shared" si="27"/>
        <v>-1740728.704870967</v>
      </c>
      <c r="P243" s="180"/>
      <c r="Q243" s="152"/>
      <c r="R243" s="152"/>
      <c r="S243" s="152"/>
      <c r="T243" s="152"/>
      <c r="U243" s="152"/>
      <c r="AF243" s="10"/>
      <c r="AG243" s="10"/>
      <c r="AH243" s="10"/>
      <c r="AI243" s="10"/>
      <c r="AJ243" s="10"/>
      <c r="AK243" s="10"/>
      <c r="AL243" s="10"/>
    </row>
    <row r="244" spans="1:38" x14ac:dyDescent="0.25">
      <c r="A244" s="37">
        <f>+Données!A244</f>
        <v>5827</v>
      </c>
      <c r="B244" s="167" t="str">
        <f>+Données!B244</f>
        <v>Trey</v>
      </c>
      <c r="C244" s="610">
        <f>+Ecrêtage!C244</f>
        <v>8694.454487179486</v>
      </c>
      <c r="D244" s="604"/>
      <c r="E244" s="610">
        <f>Données!AF244+Données!AG244+Données!AH244</f>
        <v>117719</v>
      </c>
      <c r="F244" s="604">
        <f t="shared" si="21"/>
        <v>69555.635897435888</v>
      </c>
      <c r="G244" s="610">
        <f t="shared" si="22"/>
        <v>48163.364102564112</v>
      </c>
      <c r="H244" s="605">
        <f t="shared" si="23"/>
        <v>-33538.162825491032</v>
      </c>
      <c r="I244" s="604"/>
      <c r="J244" s="610">
        <f>Données!AN244</f>
        <v>7695</v>
      </c>
      <c r="K244" s="611">
        <f t="shared" si="24"/>
        <v>8694.454487179486</v>
      </c>
      <c r="L244" s="604">
        <f t="shared" si="25"/>
        <v>0</v>
      </c>
      <c r="M244" s="605">
        <f t="shared" si="26"/>
        <v>0</v>
      </c>
      <c r="N244" s="604"/>
      <c r="O244" s="612">
        <f t="shared" si="27"/>
        <v>-33538.162825491032</v>
      </c>
      <c r="P244" s="180"/>
      <c r="Q244" s="152"/>
      <c r="R244" s="152"/>
      <c r="S244" s="152"/>
      <c r="T244" s="152"/>
      <c r="U244" s="152"/>
      <c r="AF244" s="10"/>
      <c r="AG244" s="10"/>
      <c r="AH244" s="10"/>
      <c r="AI244" s="10"/>
      <c r="AJ244" s="10"/>
      <c r="AK244" s="10"/>
      <c r="AL244" s="10"/>
    </row>
    <row r="245" spans="1:38" x14ac:dyDescent="0.25">
      <c r="A245" s="37">
        <f>+Données!A245</f>
        <v>5828</v>
      </c>
      <c r="B245" s="167" t="str">
        <f>+Données!B245</f>
        <v>Treytorrens (Payerne)</v>
      </c>
      <c r="C245" s="610">
        <f>+Ecrêtage!C245</f>
        <v>2843.8202453987728</v>
      </c>
      <c r="D245" s="604"/>
      <c r="E245" s="610">
        <f>Données!AF245+Données!AG245+Données!AH245</f>
        <v>69909</v>
      </c>
      <c r="F245" s="604">
        <f t="shared" si="21"/>
        <v>22750.561963190183</v>
      </c>
      <c r="G245" s="610">
        <f t="shared" si="22"/>
        <v>47158.438036809821</v>
      </c>
      <c r="H245" s="605">
        <f t="shared" si="23"/>
        <v>-32838.390817267602</v>
      </c>
      <c r="I245" s="604"/>
      <c r="J245" s="610">
        <f>Données!AN245</f>
        <v>2711</v>
      </c>
      <c r="K245" s="611">
        <f t="shared" si="24"/>
        <v>2843.8202453987728</v>
      </c>
      <c r="L245" s="604">
        <f t="shared" si="25"/>
        <v>0</v>
      </c>
      <c r="M245" s="605">
        <f t="shared" si="26"/>
        <v>0</v>
      </c>
      <c r="N245" s="604"/>
      <c r="O245" s="612">
        <f t="shared" si="27"/>
        <v>-32838.390817267602</v>
      </c>
      <c r="P245" s="180"/>
      <c r="Q245" s="152"/>
      <c r="R245" s="152"/>
      <c r="S245" s="152"/>
      <c r="T245" s="152"/>
      <c r="U245" s="152"/>
      <c r="AF245" s="10"/>
      <c r="AG245" s="10"/>
      <c r="AH245" s="10"/>
      <c r="AI245" s="10"/>
      <c r="AJ245" s="10"/>
      <c r="AK245" s="10"/>
      <c r="AL245" s="10"/>
    </row>
    <row r="246" spans="1:38" x14ac:dyDescent="0.25">
      <c r="A246" s="37">
        <f>+Données!A246</f>
        <v>5830</v>
      </c>
      <c r="B246" s="167" t="str">
        <f>+Données!B246</f>
        <v>Villarzel</v>
      </c>
      <c r="C246" s="610">
        <f>+Ecrêtage!C246</f>
        <v>15008.365333333331</v>
      </c>
      <c r="D246" s="604"/>
      <c r="E246" s="610">
        <f>Données!AF246+Données!AG246+Données!AH246</f>
        <v>218498</v>
      </c>
      <c r="F246" s="604">
        <f t="shared" si="21"/>
        <v>120066.92266666665</v>
      </c>
      <c r="G246" s="610">
        <f t="shared" si="22"/>
        <v>98431.077333333349</v>
      </c>
      <c r="H246" s="605">
        <f t="shared" si="23"/>
        <v>-68541.671874579144</v>
      </c>
      <c r="I246" s="604"/>
      <c r="J246" s="610">
        <f>Données!AN246</f>
        <v>25056</v>
      </c>
      <c r="K246" s="611">
        <f t="shared" si="24"/>
        <v>15008.365333333331</v>
      </c>
      <c r="L246" s="604">
        <f t="shared" si="25"/>
        <v>10047.634666666669</v>
      </c>
      <c r="M246" s="605">
        <f t="shared" si="26"/>
        <v>-6996.5878368486938</v>
      </c>
      <c r="N246" s="604"/>
      <c r="O246" s="612">
        <f t="shared" si="27"/>
        <v>-75538.259711427832</v>
      </c>
      <c r="P246" s="180"/>
      <c r="Q246" s="152"/>
      <c r="R246" s="152"/>
      <c r="S246" s="152"/>
      <c r="T246" s="152"/>
      <c r="U246" s="152"/>
      <c r="AF246" s="10"/>
      <c r="AG246" s="10"/>
      <c r="AH246" s="10"/>
      <c r="AI246" s="10"/>
      <c r="AJ246" s="10"/>
      <c r="AK246" s="10"/>
      <c r="AL246" s="10"/>
    </row>
    <row r="247" spans="1:38" x14ac:dyDescent="0.25">
      <c r="A247" s="37">
        <f>+Données!A247</f>
        <v>5831</v>
      </c>
      <c r="B247" s="167" t="str">
        <f>+Données!B247</f>
        <v>Valbroye</v>
      </c>
      <c r="C247" s="610">
        <f>+Ecrêtage!C247</f>
        <v>87116.396643026019</v>
      </c>
      <c r="D247" s="604"/>
      <c r="E247" s="610">
        <f>Données!AF247+Données!AG247+Données!AH247</f>
        <v>1764619</v>
      </c>
      <c r="F247" s="604">
        <f t="shared" si="21"/>
        <v>696931.17314420815</v>
      </c>
      <c r="G247" s="610">
        <f t="shared" si="22"/>
        <v>1067687.8268557917</v>
      </c>
      <c r="H247" s="605">
        <f t="shared" si="23"/>
        <v>-743475.64484138403</v>
      </c>
      <c r="I247" s="604"/>
      <c r="J247" s="610">
        <f>Données!AN247</f>
        <v>22045</v>
      </c>
      <c r="K247" s="611">
        <f t="shared" si="24"/>
        <v>87116.396643026019</v>
      </c>
      <c r="L247" s="604">
        <f t="shared" si="25"/>
        <v>0</v>
      </c>
      <c r="M247" s="605">
        <f t="shared" si="26"/>
        <v>0</v>
      </c>
      <c r="N247" s="604"/>
      <c r="O247" s="612">
        <f t="shared" si="27"/>
        <v>-743475.64484138403</v>
      </c>
      <c r="P247" s="180"/>
      <c r="Q247" s="152"/>
      <c r="R247" s="152"/>
      <c r="S247" s="152"/>
      <c r="T247" s="152"/>
      <c r="U247" s="152"/>
      <c r="AF247" s="10"/>
      <c r="AG247" s="10"/>
      <c r="AH247" s="10"/>
      <c r="AI247" s="10"/>
      <c r="AJ247" s="10"/>
      <c r="AK247" s="10"/>
      <c r="AL247" s="10"/>
    </row>
    <row r="248" spans="1:38" x14ac:dyDescent="0.25">
      <c r="A248" s="37">
        <f>+Données!A248</f>
        <v>5841</v>
      </c>
      <c r="B248" s="167" t="str">
        <f>+Données!B248</f>
        <v>Château-d'Oex</v>
      </c>
      <c r="C248" s="610">
        <f>+Ecrêtage!C248</f>
        <v>123941.3219631902</v>
      </c>
      <c r="D248" s="604"/>
      <c r="E248" s="610">
        <f>Données!AF248+Données!AG248+Données!AH248</f>
        <v>4437033</v>
      </c>
      <c r="F248" s="604">
        <f t="shared" si="21"/>
        <v>991530.57570552162</v>
      </c>
      <c r="G248" s="610">
        <f t="shared" si="22"/>
        <v>3445502.4242944783</v>
      </c>
      <c r="H248" s="605">
        <f t="shared" si="23"/>
        <v>-2399247.3008225844</v>
      </c>
      <c r="I248" s="604"/>
      <c r="J248" s="610">
        <f>Données!AN248</f>
        <v>102258</v>
      </c>
      <c r="K248" s="611">
        <f t="shared" si="24"/>
        <v>123941.3219631902</v>
      </c>
      <c r="L248" s="604">
        <f t="shared" si="25"/>
        <v>0</v>
      </c>
      <c r="M248" s="605">
        <f t="shared" si="26"/>
        <v>0</v>
      </c>
      <c r="N248" s="604"/>
      <c r="O248" s="612">
        <f t="shared" si="27"/>
        <v>-2399247.3008225844</v>
      </c>
      <c r="P248" s="180"/>
      <c r="Q248" s="152"/>
      <c r="R248" s="152"/>
      <c r="S248" s="152"/>
      <c r="T248" s="152"/>
      <c r="U248" s="152"/>
      <c r="AF248" s="10"/>
      <c r="AG248" s="10"/>
      <c r="AH248" s="10"/>
      <c r="AI248" s="10"/>
      <c r="AJ248" s="10"/>
      <c r="AK248" s="10"/>
      <c r="AL248" s="10"/>
    </row>
    <row r="249" spans="1:38" x14ac:dyDescent="0.25">
      <c r="A249" s="37">
        <f>+Données!A249</f>
        <v>5842</v>
      </c>
      <c r="B249" s="167" t="str">
        <f>+Données!B249</f>
        <v>Rossinière</v>
      </c>
      <c r="C249" s="610">
        <f>+Ecrêtage!C249</f>
        <v>15883.310411522634</v>
      </c>
      <c r="D249" s="604"/>
      <c r="E249" s="610">
        <f>Données!AF249+Données!AG249+Données!AH249</f>
        <v>678856</v>
      </c>
      <c r="F249" s="604">
        <f t="shared" si="21"/>
        <v>127066.48329218107</v>
      </c>
      <c r="G249" s="610">
        <f t="shared" si="22"/>
        <v>551789.51670781896</v>
      </c>
      <c r="H249" s="605">
        <f t="shared" si="23"/>
        <v>-384234.09580230335</v>
      </c>
      <c r="I249" s="604"/>
      <c r="J249" s="610">
        <f>Données!AN249</f>
        <v>110683</v>
      </c>
      <c r="K249" s="611">
        <f t="shared" si="24"/>
        <v>15883.310411522634</v>
      </c>
      <c r="L249" s="604">
        <f t="shared" si="25"/>
        <v>94799.689588477369</v>
      </c>
      <c r="M249" s="605">
        <f t="shared" si="26"/>
        <v>-66012.984858237847</v>
      </c>
      <c r="N249" s="604"/>
      <c r="O249" s="612">
        <f t="shared" si="27"/>
        <v>-450247.08066054119</v>
      </c>
      <c r="P249" s="180"/>
      <c r="Q249" s="152"/>
      <c r="R249" s="152"/>
      <c r="S249" s="152"/>
      <c r="T249" s="152"/>
      <c r="U249" s="152"/>
      <c r="AF249" s="10"/>
      <c r="AG249" s="10"/>
      <c r="AH249" s="10"/>
      <c r="AI249" s="10"/>
      <c r="AJ249" s="10"/>
      <c r="AK249" s="10"/>
      <c r="AL249" s="10"/>
    </row>
    <row r="250" spans="1:38" x14ac:dyDescent="0.25">
      <c r="A250" s="37">
        <f>+Données!A250</f>
        <v>5843</v>
      </c>
      <c r="B250" s="167" t="str">
        <f>+Données!B250</f>
        <v>Rougemont</v>
      </c>
      <c r="C250" s="610">
        <f>+Ecrêtage!C250</f>
        <v>87174.419831223626</v>
      </c>
      <c r="D250" s="604"/>
      <c r="E250" s="610">
        <f>Données!AF250+Données!AG250+Données!AH250</f>
        <v>923683</v>
      </c>
      <c r="F250" s="604">
        <f t="shared" si="21"/>
        <v>697395.35864978901</v>
      </c>
      <c r="G250" s="610">
        <f t="shared" si="22"/>
        <v>226287.64135021099</v>
      </c>
      <c r="H250" s="605">
        <f t="shared" si="23"/>
        <v>-157573.53960654209</v>
      </c>
      <c r="I250" s="604"/>
      <c r="J250" s="610">
        <f>Données!AN250</f>
        <v>192578</v>
      </c>
      <c r="K250" s="611">
        <f t="shared" si="24"/>
        <v>87174.419831223626</v>
      </c>
      <c r="L250" s="604">
        <f t="shared" si="25"/>
        <v>105403.58016877637</v>
      </c>
      <c r="M250" s="605">
        <f t="shared" si="26"/>
        <v>-73396.91692968602</v>
      </c>
      <c r="N250" s="604"/>
      <c r="O250" s="612">
        <f t="shared" si="27"/>
        <v>-230970.45653622813</v>
      </c>
      <c r="P250" s="180"/>
      <c r="Q250" s="152"/>
      <c r="R250" s="152"/>
      <c r="S250" s="152"/>
      <c r="T250" s="152"/>
      <c r="U250" s="152"/>
      <c r="AF250" s="10"/>
      <c r="AG250" s="10"/>
      <c r="AH250" s="10"/>
      <c r="AI250" s="10"/>
      <c r="AJ250" s="10"/>
      <c r="AK250" s="10"/>
      <c r="AL250" s="10"/>
    </row>
    <row r="251" spans="1:38" x14ac:dyDescent="0.25">
      <c r="A251" s="37">
        <f>+Données!A251</f>
        <v>5851</v>
      </c>
      <c r="B251" s="167" t="str">
        <f>+Données!B251</f>
        <v>Allaman</v>
      </c>
      <c r="C251" s="610">
        <f>+Ecrêtage!C251</f>
        <v>27728.701333333334</v>
      </c>
      <c r="D251" s="604"/>
      <c r="E251" s="610">
        <f>Données!AF251+Données!AG251+Données!AH251</f>
        <v>198474</v>
      </c>
      <c r="F251" s="604">
        <f t="shared" si="21"/>
        <v>221829.61066666667</v>
      </c>
      <c r="G251" s="610">
        <f t="shared" si="22"/>
        <v>0</v>
      </c>
      <c r="H251" s="605">
        <f t="shared" si="23"/>
        <v>0</v>
      </c>
      <c r="I251" s="604"/>
      <c r="J251" s="610">
        <f>Données!AN251</f>
        <v>7214</v>
      </c>
      <c r="K251" s="611">
        <f t="shared" si="24"/>
        <v>27728.701333333334</v>
      </c>
      <c r="L251" s="604">
        <f t="shared" si="25"/>
        <v>0</v>
      </c>
      <c r="M251" s="605">
        <f t="shared" si="26"/>
        <v>0</v>
      </c>
      <c r="N251" s="604"/>
      <c r="O251" s="612">
        <f t="shared" si="27"/>
        <v>0</v>
      </c>
      <c r="P251" s="180"/>
      <c r="Q251" s="152"/>
      <c r="R251" s="152"/>
      <c r="S251" s="152"/>
      <c r="T251" s="152"/>
      <c r="U251" s="152"/>
      <c r="AF251" s="10"/>
      <c r="AG251" s="10"/>
      <c r="AH251" s="10"/>
      <c r="AI251" s="10"/>
      <c r="AJ251" s="10"/>
      <c r="AK251" s="10"/>
      <c r="AL251" s="10"/>
    </row>
    <row r="252" spans="1:38" x14ac:dyDescent="0.25">
      <c r="A252" s="37">
        <f>+Données!A252</f>
        <v>5852</v>
      </c>
      <c r="B252" s="167" t="str">
        <f>+Données!B252</f>
        <v>Bursinel</v>
      </c>
      <c r="C252" s="610">
        <f>+Ecrêtage!C252</f>
        <v>42943.776182795707</v>
      </c>
      <c r="D252" s="604"/>
      <c r="E252" s="610">
        <f>Données!AF252+Données!AG252+Données!AH252</f>
        <v>0</v>
      </c>
      <c r="F252" s="604">
        <f t="shared" si="21"/>
        <v>343550.20946236566</v>
      </c>
      <c r="G252" s="610">
        <f t="shared" si="22"/>
        <v>0</v>
      </c>
      <c r="H252" s="605">
        <f t="shared" si="23"/>
        <v>0</v>
      </c>
      <c r="I252" s="604"/>
      <c r="J252" s="610">
        <f>Données!AN252</f>
        <v>0</v>
      </c>
      <c r="K252" s="611">
        <f t="shared" si="24"/>
        <v>42943.776182795707</v>
      </c>
      <c r="L252" s="604">
        <f t="shared" si="25"/>
        <v>0</v>
      </c>
      <c r="M252" s="605">
        <f t="shared" si="26"/>
        <v>0</v>
      </c>
      <c r="N252" s="604"/>
      <c r="O252" s="612">
        <f t="shared" si="27"/>
        <v>0</v>
      </c>
      <c r="P252" s="180"/>
      <c r="Q252" s="152"/>
      <c r="R252" s="152"/>
      <c r="S252" s="152"/>
      <c r="T252" s="152"/>
      <c r="U252" s="152"/>
      <c r="AF252" s="10"/>
      <c r="AG252" s="10"/>
      <c r="AH252" s="10"/>
      <c r="AI252" s="10"/>
      <c r="AJ252" s="10"/>
      <c r="AK252" s="10"/>
      <c r="AL252" s="10"/>
    </row>
    <row r="253" spans="1:38" x14ac:dyDescent="0.25">
      <c r="A253" s="37">
        <f>+Données!A253</f>
        <v>5853</v>
      </c>
      <c r="B253" s="167" t="str">
        <f>+Données!B253</f>
        <v>Bursins</v>
      </c>
      <c r="C253" s="610">
        <f>+Ecrêtage!C253</f>
        <v>44996.737042253524</v>
      </c>
      <c r="D253" s="604"/>
      <c r="E253" s="610">
        <f>Données!AF253+Données!AG253+Données!AH253</f>
        <v>332279</v>
      </c>
      <c r="F253" s="604">
        <f t="shared" si="21"/>
        <v>359973.89633802819</v>
      </c>
      <c r="G253" s="610">
        <f t="shared" si="22"/>
        <v>0</v>
      </c>
      <c r="H253" s="605">
        <f t="shared" si="23"/>
        <v>0</v>
      </c>
      <c r="I253" s="604"/>
      <c r="J253" s="610">
        <f>Données!AN253</f>
        <v>82961</v>
      </c>
      <c r="K253" s="611">
        <f t="shared" si="24"/>
        <v>44996.737042253524</v>
      </c>
      <c r="L253" s="604">
        <f t="shared" si="25"/>
        <v>37964.262957746476</v>
      </c>
      <c r="M253" s="605">
        <f t="shared" si="26"/>
        <v>-26436.102551210162</v>
      </c>
      <c r="N253" s="604"/>
      <c r="O253" s="612">
        <f t="shared" si="27"/>
        <v>-26436.102551210162</v>
      </c>
      <c r="P253" s="180"/>
      <c r="Q253" s="152"/>
      <c r="R253" s="152"/>
      <c r="S253" s="152"/>
      <c r="T253" s="152"/>
      <c r="U253" s="152"/>
      <c r="AF253" s="10"/>
      <c r="AG253" s="10"/>
      <c r="AH253" s="10"/>
      <c r="AI253" s="10"/>
      <c r="AJ253" s="10"/>
      <c r="AK253" s="10"/>
      <c r="AL253" s="10"/>
    </row>
    <row r="254" spans="1:38" x14ac:dyDescent="0.25">
      <c r="A254" s="37">
        <f>+Données!A254</f>
        <v>5854</v>
      </c>
      <c r="B254" s="167" t="str">
        <f>+Données!B254</f>
        <v>Burtigny</v>
      </c>
      <c r="C254" s="610">
        <f>+Ecrêtage!C254</f>
        <v>16635.489777777777</v>
      </c>
      <c r="D254" s="604"/>
      <c r="E254" s="610">
        <f>Données!AF254+Données!AG254+Données!AH254</f>
        <v>139340</v>
      </c>
      <c r="F254" s="604">
        <f t="shared" si="21"/>
        <v>133083.91822222222</v>
      </c>
      <c r="G254" s="610">
        <f t="shared" si="22"/>
        <v>6256.0817777777847</v>
      </c>
      <c r="H254" s="605">
        <f t="shared" si="23"/>
        <v>-4356.3711385668867</v>
      </c>
      <c r="I254" s="604"/>
      <c r="J254" s="610">
        <f>Données!AN254</f>
        <v>14052</v>
      </c>
      <c r="K254" s="611">
        <f t="shared" si="24"/>
        <v>16635.489777777777</v>
      </c>
      <c r="L254" s="604">
        <f t="shared" si="25"/>
        <v>0</v>
      </c>
      <c r="M254" s="605">
        <f t="shared" si="26"/>
        <v>0</v>
      </c>
      <c r="N254" s="604"/>
      <c r="O254" s="612">
        <f t="shared" si="27"/>
        <v>-4356.3711385668867</v>
      </c>
      <c r="P254" s="180"/>
      <c r="Q254" s="152"/>
      <c r="R254" s="152"/>
      <c r="S254" s="152"/>
      <c r="T254" s="152"/>
      <c r="U254" s="152"/>
      <c r="AF254" s="10"/>
      <c r="AG254" s="10"/>
      <c r="AH254" s="10"/>
      <c r="AI254" s="10"/>
      <c r="AJ254" s="10"/>
      <c r="AK254" s="10"/>
      <c r="AL254" s="10"/>
    </row>
    <row r="255" spans="1:38" x14ac:dyDescent="0.25">
      <c r="A255" s="37">
        <f>+Données!A255</f>
        <v>5855</v>
      </c>
      <c r="B255" s="167" t="str">
        <f>+Données!B255</f>
        <v>Dully</v>
      </c>
      <c r="C255" s="610">
        <f>+Ecrêtage!C255</f>
        <v>98996.558301886791</v>
      </c>
      <c r="D255" s="604"/>
      <c r="E255" s="610">
        <f>Données!AF255+Données!AG255+Données!AH255</f>
        <v>0</v>
      </c>
      <c r="F255" s="604">
        <f t="shared" si="21"/>
        <v>791972.46641509433</v>
      </c>
      <c r="G255" s="610">
        <f t="shared" si="22"/>
        <v>0</v>
      </c>
      <c r="H255" s="605">
        <f t="shared" si="23"/>
        <v>0</v>
      </c>
      <c r="I255" s="604"/>
      <c r="J255" s="610">
        <f>Données!AN255</f>
        <v>0</v>
      </c>
      <c r="K255" s="611">
        <f t="shared" si="24"/>
        <v>98996.558301886791</v>
      </c>
      <c r="L255" s="604">
        <f t="shared" si="25"/>
        <v>0</v>
      </c>
      <c r="M255" s="605">
        <f t="shared" si="26"/>
        <v>0</v>
      </c>
      <c r="N255" s="604"/>
      <c r="O255" s="612">
        <f t="shared" si="27"/>
        <v>0</v>
      </c>
      <c r="P255" s="180"/>
      <c r="Q255" s="152"/>
      <c r="R255" s="152"/>
      <c r="S255" s="152"/>
      <c r="T255" s="152"/>
      <c r="U255" s="152"/>
      <c r="AF255" s="10"/>
      <c r="AG255" s="10"/>
      <c r="AH255" s="10"/>
      <c r="AI255" s="10"/>
      <c r="AJ255" s="10"/>
      <c r="AK255" s="10"/>
      <c r="AL255" s="10"/>
    </row>
    <row r="256" spans="1:38" x14ac:dyDescent="0.25">
      <c r="A256" s="37">
        <f>+Données!A256</f>
        <v>5856</v>
      </c>
      <c r="B256" s="167" t="str">
        <f>+Données!B256</f>
        <v>Essertines-sur-Rolle</v>
      </c>
      <c r="C256" s="610">
        <f>+Ecrêtage!C256</f>
        <v>36628.421873915555</v>
      </c>
      <c r="D256" s="604"/>
      <c r="E256" s="610">
        <f>Données!AF256+Données!AG256+Données!AH256</f>
        <v>263476</v>
      </c>
      <c r="F256" s="604">
        <f t="shared" si="21"/>
        <v>293027.37499132444</v>
      </c>
      <c r="G256" s="610">
        <f t="shared" si="22"/>
        <v>0</v>
      </c>
      <c r="H256" s="605">
        <f t="shared" si="23"/>
        <v>0</v>
      </c>
      <c r="I256" s="604"/>
      <c r="J256" s="610">
        <f>Données!AN256</f>
        <v>26973</v>
      </c>
      <c r="K256" s="611">
        <f t="shared" si="24"/>
        <v>36628.421873915555</v>
      </c>
      <c r="L256" s="604">
        <f t="shared" si="25"/>
        <v>0</v>
      </c>
      <c r="M256" s="605">
        <f t="shared" si="26"/>
        <v>0</v>
      </c>
      <c r="N256" s="604"/>
      <c r="O256" s="612">
        <f t="shared" si="27"/>
        <v>0</v>
      </c>
      <c r="P256" s="180"/>
      <c r="Q256" s="152"/>
      <c r="R256" s="152"/>
      <c r="S256" s="152"/>
      <c r="T256" s="152"/>
      <c r="U256" s="152"/>
      <c r="AF256" s="10"/>
      <c r="AG256" s="10"/>
      <c r="AH256" s="10"/>
      <c r="AI256" s="10"/>
      <c r="AJ256" s="10"/>
      <c r="AK256" s="10"/>
      <c r="AL256" s="10"/>
    </row>
    <row r="257" spans="1:38" x14ac:dyDescent="0.25">
      <c r="A257" s="37">
        <f>+Données!A257</f>
        <v>5857</v>
      </c>
      <c r="B257" s="167" t="str">
        <f>+Données!B257</f>
        <v>Gilly</v>
      </c>
      <c r="C257" s="610">
        <f>+Ecrêtage!C257</f>
        <v>96678.753643410862</v>
      </c>
      <c r="D257" s="604"/>
      <c r="E257" s="610">
        <f>Données!AF257+Données!AG257+Données!AH257</f>
        <v>0</v>
      </c>
      <c r="F257" s="604">
        <f t="shared" si="21"/>
        <v>773430.0291472869</v>
      </c>
      <c r="G257" s="610">
        <f t="shared" si="22"/>
        <v>0</v>
      </c>
      <c r="H257" s="605">
        <f t="shared" si="23"/>
        <v>0</v>
      </c>
      <c r="I257" s="604"/>
      <c r="J257" s="610">
        <f>Données!AN257</f>
        <v>0</v>
      </c>
      <c r="K257" s="611">
        <f t="shared" si="24"/>
        <v>96678.753643410862</v>
      </c>
      <c r="L257" s="604">
        <f t="shared" si="25"/>
        <v>0</v>
      </c>
      <c r="M257" s="605">
        <f t="shared" si="26"/>
        <v>0</v>
      </c>
      <c r="N257" s="604"/>
      <c r="O257" s="612">
        <f t="shared" si="27"/>
        <v>0</v>
      </c>
      <c r="P257" s="180"/>
      <c r="Q257" s="152"/>
      <c r="R257" s="152"/>
      <c r="S257" s="152"/>
      <c r="T257" s="152"/>
      <c r="U257" s="152"/>
      <c r="AF257" s="10"/>
      <c r="AG257" s="10"/>
      <c r="AH257" s="10"/>
      <c r="AI257" s="10"/>
      <c r="AJ257" s="10"/>
      <c r="AK257" s="10"/>
      <c r="AL257" s="10"/>
    </row>
    <row r="258" spans="1:38" x14ac:dyDescent="0.25">
      <c r="A258" s="37">
        <f>+Données!A258</f>
        <v>5858</v>
      </c>
      <c r="B258" s="167" t="str">
        <f>+Données!B258</f>
        <v>Luins</v>
      </c>
      <c r="C258" s="610">
        <f>+Ecrêtage!C258</f>
        <v>41203.097378917373</v>
      </c>
      <c r="D258" s="604"/>
      <c r="E258" s="610">
        <f>Données!AF258+Données!AG258+Données!AH258</f>
        <v>0</v>
      </c>
      <c r="F258" s="604">
        <f t="shared" si="21"/>
        <v>329624.77903133899</v>
      </c>
      <c r="G258" s="610">
        <f t="shared" si="22"/>
        <v>0</v>
      </c>
      <c r="H258" s="605">
        <f t="shared" si="23"/>
        <v>0</v>
      </c>
      <c r="I258" s="604"/>
      <c r="J258" s="610">
        <f>Données!AN258</f>
        <v>0</v>
      </c>
      <c r="K258" s="611">
        <f t="shared" si="24"/>
        <v>41203.097378917373</v>
      </c>
      <c r="L258" s="604">
        <f t="shared" si="25"/>
        <v>0</v>
      </c>
      <c r="M258" s="605">
        <f t="shared" si="26"/>
        <v>0</v>
      </c>
      <c r="N258" s="604"/>
      <c r="O258" s="612">
        <f t="shared" si="27"/>
        <v>0</v>
      </c>
      <c r="P258" s="180"/>
      <c r="Q258" s="152"/>
      <c r="R258" s="152"/>
      <c r="S258" s="152"/>
      <c r="T258" s="152"/>
      <c r="U258" s="152"/>
      <c r="AF258" s="10"/>
      <c r="AG258" s="10"/>
      <c r="AH258" s="10"/>
      <c r="AI258" s="10"/>
      <c r="AJ258" s="10"/>
      <c r="AK258" s="10"/>
      <c r="AL258" s="10"/>
    </row>
    <row r="259" spans="1:38" x14ac:dyDescent="0.25">
      <c r="A259" s="37">
        <f>+Données!A259</f>
        <v>5859</v>
      </c>
      <c r="B259" s="167" t="str">
        <f>+Données!B259</f>
        <v>Mont-sur-Rolle</v>
      </c>
      <c r="C259" s="610">
        <f>+Ecrêtage!C259</f>
        <v>175152.20519685047</v>
      </c>
      <c r="D259" s="604"/>
      <c r="E259" s="610">
        <f>Données!AF259+Données!AG259+Données!AH259</f>
        <v>1256949</v>
      </c>
      <c r="F259" s="604">
        <f t="shared" si="21"/>
        <v>1401217.6415748037</v>
      </c>
      <c r="G259" s="610">
        <f t="shared" si="22"/>
        <v>0</v>
      </c>
      <c r="H259" s="605">
        <f t="shared" si="23"/>
        <v>0</v>
      </c>
      <c r="I259" s="604"/>
      <c r="J259" s="610">
        <f>Données!AN259</f>
        <v>0</v>
      </c>
      <c r="K259" s="611">
        <f t="shared" si="24"/>
        <v>175152.20519685047</v>
      </c>
      <c r="L259" s="604">
        <f t="shared" si="25"/>
        <v>0</v>
      </c>
      <c r="M259" s="605">
        <f t="shared" si="26"/>
        <v>0</v>
      </c>
      <c r="N259" s="604"/>
      <c r="O259" s="612">
        <f t="shared" si="27"/>
        <v>0</v>
      </c>
      <c r="P259" s="180"/>
      <c r="Q259" s="152"/>
      <c r="R259" s="152"/>
      <c r="S259" s="152"/>
      <c r="T259" s="152"/>
      <c r="U259" s="152"/>
      <c r="AF259" s="10"/>
      <c r="AG259" s="10"/>
      <c r="AH259" s="10"/>
      <c r="AI259" s="10"/>
      <c r="AJ259" s="10"/>
      <c r="AK259" s="10"/>
      <c r="AL259" s="10"/>
    </row>
    <row r="260" spans="1:38" x14ac:dyDescent="0.25">
      <c r="A260" s="37">
        <f>+Données!A260</f>
        <v>5860</v>
      </c>
      <c r="B260" s="167" t="str">
        <f>+Données!B260</f>
        <v>Perroy</v>
      </c>
      <c r="C260" s="610">
        <f>+Ecrêtage!C260</f>
        <v>114833.15061143985</v>
      </c>
      <c r="D260" s="604"/>
      <c r="E260" s="610">
        <f>Données!AF260+Données!AG260+Données!AH260</f>
        <v>0</v>
      </c>
      <c r="F260" s="604">
        <f t="shared" si="21"/>
        <v>918665.20489151881</v>
      </c>
      <c r="G260" s="610">
        <f t="shared" si="22"/>
        <v>0</v>
      </c>
      <c r="H260" s="605">
        <f t="shared" si="23"/>
        <v>0</v>
      </c>
      <c r="I260" s="604"/>
      <c r="J260" s="610">
        <f>Données!AN260</f>
        <v>0</v>
      </c>
      <c r="K260" s="611">
        <f t="shared" si="24"/>
        <v>114833.15061143985</v>
      </c>
      <c r="L260" s="604">
        <f t="shared" si="25"/>
        <v>0</v>
      </c>
      <c r="M260" s="605">
        <f t="shared" si="26"/>
        <v>0</v>
      </c>
      <c r="N260" s="604"/>
      <c r="O260" s="612">
        <f t="shared" si="27"/>
        <v>0</v>
      </c>
      <c r="P260" s="180"/>
      <c r="Q260" s="152"/>
      <c r="R260" s="152"/>
      <c r="S260" s="152"/>
      <c r="T260" s="152"/>
      <c r="U260" s="152"/>
      <c r="AF260" s="10"/>
      <c r="AG260" s="10"/>
      <c r="AH260" s="10"/>
      <c r="AI260" s="10"/>
      <c r="AJ260" s="10"/>
      <c r="AK260" s="10"/>
      <c r="AL260" s="10"/>
    </row>
    <row r="261" spans="1:38" x14ac:dyDescent="0.25">
      <c r="A261" s="37">
        <f>+Données!A261</f>
        <v>5861</v>
      </c>
      <c r="B261" s="167" t="str">
        <f>+Données!B261</f>
        <v>Rolle</v>
      </c>
      <c r="C261" s="610">
        <f>+Ecrêtage!C261</f>
        <v>1001631.7391596638</v>
      </c>
      <c r="D261" s="604"/>
      <c r="E261" s="610">
        <f>Données!AF261+Données!AG261+Données!AH261</f>
        <v>0</v>
      </c>
      <c r="F261" s="604">
        <f t="shared" si="21"/>
        <v>8013053.9132773103</v>
      </c>
      <c r="G261" s="610">
        <f t="shared" si="22"/>
        <v>0</v>
      </c>
      <c r="H261" s="605">
        <f t="shared" si="23"/>
        <v>0</v>
      </c>
      <c r="I261" s="604"/>
      <c r="J261" s="610">
        <f>Données!AN261</f>
        <v>0</v>
      </c>
      <c r="K261" s="611">
        <f t="shared" si="24"/>
        <v>1001631.7391596638</v>
      </c>
      <c r="L261" s="604">
        <f t="shared" si="25"/>
        <v>0</v>
      </c>
      <c r="M261" s="605">
        <f t="shared" si="26"/>
        <v>0</v>
      </c>
      <c r="N261" s="604"/>
      <c r="O261" s="612">
        <f t="shared" si="27"/>
        <v>0</v>
      </c>
      <c r="P261" s="180"/>
      <c r="Q261" s="152"/>
      <c r="R261" s="152"/>
      <c r="S261" s="152"/>
      <c r="T261" s="152"/>
      <c r="U261" s="152"/>
      <c r="AF261" s="10"/>
      <c r="AG261" s="10"/>
      <c r="AH261" s="10"/>
      <c r="AI261" s="10"/>
      <c r="AJ261" s="10"/>
      <c r="AK261" s="10"/>
      <c r="AL261" s="10"/>
    </row>
    <row r="262" spans="1:38" x14ac:dyDescent="0.25">
      <c r="A262" s="37">
        <f>+Données!A262</f>
        <v>5862</v>
      </c>
      <c r="B262" s="167" t="str">
        <f>+Données!B262</f>
        <v>Tartegnin</v>
      </c>
      <c r="C262" s="610">
        <f>+Ecrêtage!C262</f>
        <v>12378.270379746835</v>
      </c>
      <c r="D262" s="604"/>
      <c r="E262" s="610">
        <f>Données!AF262+Données!AG262+Données!AH262</f>
        <v>0</v>
      </c>
      <c r="F262" s="604">
        <f t="shared" si="21"/>
        <v>99026.163037974678</v>
      </c>
      <c r="G262" s="610">
        <f t="shared" si="22"/>
        <v>0</v>
      </c>
      <c r="H262" s="605">
        <f t="shared" si="23"/>
        <v>0</v>
      </c>
      <c r="I262" s="604"/>
      <c r="J262" s="610">
        <f>Données!AN262</f>
        <v>0</v>
      </c>
      <c r="K262" s="611">
        <f t="shared" si="24"/>
        <v>12378.270379746835</v>
      </c>
      <c r="L262" s="604">
        <f t="shared" si="25"/>
        <v>0</v>
      </c>
      <c r="M262" s="605">
        <f t="shared" si="26"/>
        <v>0</v>
      </c>
      <c r="N262" s="604"/>
      <c r="O262" s="612">
        <f t="shared" si="27"/>
        <v>0</v>
      </c>
      <c r="P262" s="180"/>
      <c r="Q262" s="152"/>
      <c r="R262" s="152"/>
      <c r="S262" s="152"/>
      <c r="T262" s="152"/>
      <c r="U262" s="152"/>
      <c r="AF262" s="10"/>
      <c r="AG262" s="10"/>
      <c r="AH262" s="10"/>
      <c r="AI262" s="10"/>
      <c r="AJ262" s="10"/>
      <c r="AK262" s="10"/>
      <c r="AL262" s="10"/>
    </row>
    <row r="263" spans="1:38" x14ac:dyDescent="0.25">
      <c r="A263" s="37">
        <f>+Données!A263</f>
        <v>5863</v>
      </c>
      <c r="B263" s="167" t="str">
        <f>+Données!B263</f>
        <v>Vinzel</v>
      </c>
      <c r="C263" s="610">
        <f>+Ecrêtage!C263</f>
        <v>20119.523999999998</v>
      </c>
      <c r="D263" s="604"/>
      <c r="E263" s="610">
        <f>Données!AF263+Données!AG263+Données!AH263</f>
        <v>0</v>
      </c>
      <c r="F263" s="604">
        <f t="shared" ref="F263:F305" si="28">+C263*$G$5</f>
        <v>160956.19199999998</v>
      </c>
      <c r="G263" s="610">
        <f t="shared" ref="G263:G305" si="29">IF(E263&gt;F263,E263-F263,0)</f>
        <v>0</v>
      </c>
      <c r="H263" s="605">
        <f t="shared" ref="H263:H305" si="30">-G263*H$5</f>
        <v>0</v>
      </c>
      <c r="I263" s="604"/>
      <c r="J263" s="610">
        <f>Données!AN263</f>
        <v>0</v>
      </c>
      <c r="K263" s="611">
        <f t="shared" ref="K263:K305" si="31">C263*L$5</f>
        <v>20119.523999999998</v>
      </c>
      <c r="L263" s="604">
        <f t="shared" ref="L263:L305" si="32">IF(J263&gt;K263,J263-K263,0)</f>
        <v>0</v>
      </c>
      <c r="M263" s="605">
        <f t="shared" ref="M263:M305" si="33">-L263*M$5</f>
        <v>0</v>
      </c>
      <c r="N263" s="604"/>
      <c r="O263" s="612">
        <f t="shared" ref="O263:O305" si="34">M263+H263</f>
        <v>0</v>
      </c>
      <c r="P263" s="180"/>
      <c r="Q263" s="152"/>
      <c r="R263" s="152"/>
      <c r="S263" s="152"/>
      <c r="T263" s="152"/>
      <c r="U263" s="152"/>
      <c r="AF263" s="10"/>
      <c r="AG263" s="10"/>
      <c r="AH263" s="10"/>
      <c r="AI263" s="10"/>
      <c r="AJ263" s="10"/>
      <c r="AK263" s="10"/>
      <c r="AL263" s="10"/>
    </row>
    <row r="264" spans="1:38" x14ac:dyDescent="0.25">
      <c r="A264" s="37">
        <f>+Données!A264</f>
        <v>5871</v>
      </c>
      <c r="B264" s="167" t="str">
        <f>+Données!B264</f>
        <v>L'Abbaye</v>
      </c>
      <c r="C264" s="610">
        <f>+Ecrêtage!C264</f>
        <v>50137.027069032512</v>
      </c>
      <c r="D264" s="604"/>
      <c r="E264" s="610">
        <f>Données!AF264+Données!AG264+Données!AH264</f>
        <v>762355</v>
      </c>
      <c r="F264" s="604">
        <f t="shared" si="28"/>
        <v>401096.2165522601</v>
      </c>
      <c r="G264" s="610">
        <f t="shared" si="29"/>
        <v>361258.7834477399</v>
      </c>
      <c r="H264" s="605">
        <f t="shared" si="30"/>
        <v>-251559.58532315394</v>
      </c>
      <c r="I264" s="604"/>
      <c r="J264" s="610">
        <f>Données!AN264</f>
        <v>-68594</v>
      </c>
      <c r="K264" s="611">
        <f t="shared" si="31"/>
        <v>50137.027069032512</v>
      </c>
      <c r="L264" s="604">
        <f t="shared" si="32"/>
        <v>0</v>
      </c>
      <c r="M264" s="605">
        <f t="shared" si="33"/>
        <v>0</v>
      </c>
      <c r="N264" s="604"/>
      <c r="O264" s="612">
        <f t="shared" si="34"/>
        <v>-251559.58532315394</v>
      </c>
      <c r="P264" s="180"/>
      <c r="Q264" s="152"/>
      <c r="R264" s="152"/>
      <c r="S264" s="152"/>
      <c r="T264" s="152"/>
      <c r="U264" s="152"/>
      <c r="AF264" s="10"/>
      <c r="AG264" s="10"/>
      <c r="AH264" s="10"/>
      <c r="AI264" s="10"/>
      <c r="AJ264" s="10"/>
      <c r="AK264" s="10"/>
      <c r="AL264" s="10"/>
    </row>
    <row r="265" spans="1:38" x14ac:dyDescent="0.25">
      <c r="A265" s="37">
        <f>+Données!A265</f>
        <v>5872</v>
      </c>
      <c r="B265" s="167" t="str">
        <f>+Données!B265</f>
        <v>Le Chenit</v>
      </c>
      <c r="C265" s="610">
        <f>+Ecrêtage!C265</f>
        <v>359580.06573194644</v>
      </c>
      <c r="D265" s="604"/>
      <c r="E265" s="610">
        <f>Données!AF265+Données!AG265+Données!AH265</f>
        <v>3089244</v>
      </c>
      <c r="F265" s="604">
        <f t="shared" si="28"/>
        <v>2876640.5258555715</v>
      </c>
      <c r="G265" s="610">
        <f t="shared" si="29"/>
        <v>212603.4741444285</v>
      </c>
      <c r="H265" s="605">
        <f t="shared" si="30"/>
        <v>-148044.682218145</v>
      </c>
      <c r="I265" s="604"/>
      <c r="J265" s="610">
        <f>Données!AN265</f>
        <v>442586</v>
      </c>
      <c r="K265" s="611">
        <f t="shared" si="31"/>
        <v>359580.06573194644</v>
      </c>
      <c r="L265" s="604">
        <f t="shared" si="32"/>
        <v>83005.934268053563</v>
      </c>
      <c r="M265" s="605">
        <f t="shared" si="33"/>
        <v>-57800.50025234386</v>
      </c>
      <c r="N265" s="604"/>
      <c r="O265" s="612">
        <f t="shared" si="34"/>
        <v>-205845.18247048886</v>
      </c>
      <c r="P265" s="180"/>
      <c r="Q265" s="152"/>
      <c r="R265" s="152"/>
      <c r="S265" s="152"/>
      <c r="T265" s="152"/>
      <c r="U265" s="152"/>
      <c r="AF265" s="10"/>
      <c r="AG265" s="10"/>
      <c r="AH265" s="10"/>
      <c r="AI265" s="10"/>
      <c r="AJ265" s="10"/>
      <c r="AK265" s="10"/>
      <c r="AL265" s="10"/>
    </row>
    <row r="266" spans="1:38" x14ac:dyDescent="0.25">
      <c r="A266" s="37">
        <f>+Données!A266</f>
        <v>5873</v>
      </c>
      <c r="B266" s="167" t="str">
        <f>+Données!B266</f>
        <v>Le Lieu</v>
      </c>
      <c r="C266" s="610">
        <f>+Ecrêtage!C266</f>
        <v>31550.524000000001</v>
      </c>
      <c r="D266" s="604"/>
      <c r="E266" s="610">
        <f>Données!AF266+Données!AG266+Données!AH266</f>
        <v>1965980</v>
      </c>
      <c r="F266" s="604">
        <f t="shared" si="28"/>
        <v>252404.19200000001</v>
      </c>
      <c r="G266" s="610">
        <f t="shared" si="29"/>
        <v>1713575.808</v>
      </c>
      <c r="H266" s="605">
        <f t="shared" si="30"/>
        <v>-1193234.4331293663</v>
      </c>
      <c r="I266" s="604"/>
      <c r="J266" s="610">
        <f>Données!AN266</f>
        <v>561777</v>
      </c>
      <c r="K266" s="611">
        <f t="shared" si="31"/>
        <v>31550.524000000001</v>
      </c>
      <c r="L266" s="604">
        <f t="shared" si="32"/>
        <v>530226.47600000002</v>
      </c>
      <c r="M266" s="605">
        <f t="shared" si="33"/>
        <v>-369218.84959293355</v>
      </c>
      <c r="N266" s="604"/>
      <c r="O266" s="612">
        <f t="shared" si="34"/>
        <v>-1562453.2827222999</v>
      </c>
      <c r="P266" s="180"/>
      <c r="Q266" s="152"/>
      <c r="R266" s="152"/>
      <c r="S266" s="152"/>
      <c r="T266" s="152"/>
      <c r="U266" s="152"/>
      <c r="AF266" s="10"/>
      <c r="AG266" s="10"/>
      <c r="AH266" s="10"/>
      <c r="AI266" s="10"/>
      <c r="AJ266" s="10"/>
      <c r="AK266" s="10"/>
      <c r="AL266" s="10"/>
    </row>
    <row r="267" spans="1:38" x14ac:dyDescent="0.25">
      <c r="A267" s="37">
        <f>+Données!A267</f>
        <v>5882</v>
      </c>
      <c r="B267" s="167" t="str">
        <f>+Données!B267</f>
        <v>Chardonne</v>
      </c>
      <c r="C267" s="610">
        <f>+Ecrêtage!C267</f>
        <v>202050.46544117649</v>
      </c>
      <c r="D267" s="604"/>
      <c r="E267" s="610">
        <f>Données!AF267+Données!AG267+Données!AH267</f>
        <v>2021871</v>
      </c>
      <c r="F267" s="604">
        <f t="shared" si="28"/>
        <v>1616403.7235294119</v>
      </c>
      <c r="G267" s="610">
        <f t="shared" si="29"/>
        <v>405467.27647058805</v>
      </c>
      <c r="H267" s="605">
        <f t="shared" si="30"/>
        <v>-282343.80617019668</v>
      </c>
      <c r="I267" s="604"/>
      <c r="J267" s="610">
        <f>Données!AN267</f>
        <v>-12187</v>
      </c>
      <c r="K267" s="611">
        <f t="shared" si="31"/>
        <v>202050.46544117649</v>
      </c>
      <c r="L267" s="604">
        <f t="shared" si="32"/>
        <v>0</v>
      </c>
      <c r="M267" s="605">
        <f t="shared" si="33"/>
        <v>0</v>
      </c>
      <c r="N267" s="604"/>
      <c r="O267" s="612">
        <f t="shared" si="34"/>
        <v>-282343.80617019668</v>
      </c>
      <c r="P267" s="180"/>
      <c r="Q267" s="152"/>
      <c r="R267" s="152"/>
      <c r="S267" s="152"/>
      <c r="T267" s="152"/>
      <c r="U267" s="152"/>
      <c r="AF267" s="10"/>
      <c r="AG267" s="10"/>
      <c r="AH267" s="10"/>
      <c r="AI267" s="10"/>
      <c r="AJ267" s="10"/>
      <c r="AK267" s="10"/>
      <c r="AL267" s="10"/>
    </row>
    <row r="268" spans="1:38" x14ac:dyDescent="0.25">
      <c r="A268" s="37">
        <f>+Données!A268</f>
        <v>5883</v>
      </c>
      <c r="B268" s="167" t="str">
        <f>+Données!B268</f>
        <v>Corseaux</v>
      </c>
      <c r="C268" s="610">
        <f>+Ecrêtage!C268</f>
        <v>187748.47585185184</v>
      </c>
      <c r="D268" s="604"/>
      <c r="E268" s="610">
        <f>Données!AF268+Données!AG268+Données!AH268</f>
        <v>1401789</v>
      </c>
      <c r="F268" s="604">
        <f t="shared" si="28"/>
        <v>1501987.8068148147</v>
      </c>
      <c r="G268" s="610">
        <f t="shared" si="29"/>
        <v>0</v>
      </c>
      <c r="H268" s="605">
        <f t="shared" si="30"/>
        <v>0</v>
      </c>
      <c r="I268" s="604"/>
      <c r="J268" s="610">
        <f>Données!AN268</f>
        <v>1628</v>
      </c>
      <c r="K268" s="611">
        <f t="shared" si="31"/>
        <v>187748.47585185184</v>
      </c>
      <c r="L268" s="604">
        <f t="shared" si="32"/>
        <v>0</v>
      </c>
      <c r="M268" s="605">
        <f t="shared" si="33"/>
        <v>0</v>
      </c>
      <c r="N268" s="604"/>
      <c r="O268" s="612">
        <f t="shared" si="34"/>
        <v>0</v>
      </c>
      <c r="P268" s="180"/>
      <c r="Q268" s="152"/>
      <c r="R268" s="152"/>
      <c r="S268" s="152"/>
      <c r="T268" s="152"/>
      <c r="U268" s="152"/>
      <c r="AF268" s="10"/>
      <c r="AG268" s="10"/>
      <c r="AH268" s="10"/>
      <c r="AI268" s="10"/>
      <c r="AJ268" s="10"/>
      <c r="AK268" s="10"/>
      <c r="AL268" s="10"/>
    </row>
    <row r="269" spans="1:38" x14ac:dyDescent="0.25">
      <c r="A269" s="37">
        <f>+Données!A269</f>
        <v>5884</v>
      </c>
      <c r="B269" s="167" t="str">
        <f>+Données!B269</f>
        <v>Corsier-sur-Vevey</v>
      </c>
      <c r="C269" s="610">
        <f>+Ecrêtage!C269</f>
        <v>160309.28653746771</v>
      </c>
      <c r="D269" s="604"/>
      <c r="E269" s="610">
        <f>Données!AF269+Données!AG269+Données!AH269</f>
        <v>3185364</v>
      </c>
      <c r="F269" s="604">
        <f t="shared" si="28"/>
        <v>1282474.2922997416</v>
      </c>
      <c r="G269" s="610">
        <f t="shared" si="29"/>
        <v>1902889.7077002584</v>
      </c>
      <c r="H269" s="605">
        <f t="shared" si="30"/>
        <v>-1325061.6115580825</v>
      </c>
      <c r="I269" s="604"/>
      <c r="J269" s="610">
        <f>Données!AN269</f>
        <v>40479</v>
      </c>
      <c r="K269" s="611">
        <f t="shared" si="31"/>
        <v>160309.28653746771</v>
      </c>
      <c r="L269" s="604">
        <f t="shared" si="32"/>
        <v>0</v>
      </c>
      <c r="M269" s="605">
        <f t="shared" si="33"/>
        <v>0</v>
      </c>
      <c r="N269" s="604"/>
      <c r="O269" s="612">
        <f t="shared" si="34"/>
        <v>-1325061.6115580825</v>
      </c>
      <c r="P269" s="180"/>
      <c r="Q269" s="152"/>
      <c r="R269" s="152"/>
      <c r="S269" s="152"/>
      <c r="T269" s="152"/>
      <c r="U269" s="152"/>
      <c r="AF269" s="10"/>
      <c r="AG269" s="10"/>
      <c r="AH269" s="10"/>
      <c r="AI269" s="10"/>
      <c r="AJ269" s="10"/>
      <c r="AK269" s="10"/>
      <c r="AL269" s="10"/>
    </row>
    <row r="270" spans="1:38" x14ac:dyDescent="0.25">
      <c r="A270" s="37">
        <f>+Données!A270</f>
        <v>5885</v>
      </c>
      <c r="B270" s="167" t="str">
        <f>+Données!B270</f>
        <v>Jongny</v>
      </c>
      <c r="C270" s="610">
        <f>+Ecrêtage!C270</f>
        <v>105153.24390887292</v>
      </c>
      <c r="D270" s="604"/>
      <c r="E270" s="610">
        <f>Données!AF270+Données!AG270+Données!AH270</f>
        <v>1035555</v>
      </c>
      <c r="F270" s="604">
        <f t="shared" si="28"/>
        <v>841225.95127098332</v>
      </c>
      <c r="G270" s="610">
        <f t="shared" si="29"/>
        <v>194329.04872901668</v>
      </c>
      <c r="H270" s="605">
        <f t="shared" si="30"/>
        <v>-135319.4362444788</v>
      </c>
      <c r="I270" s="604"/>
      <c r="J270" s="610">
        <f>Données!AN270</f>
        <v>14903</v>
      </c>
      <c r="K270" s="611">
        <f t="shared" si="31"/>
        <v>105153.24390887292</v>
      </c>
      <c r="L270" s="604">
        <f t="shared" si="32"/>
        <v>0</v>
      </c>
      <c r="M270" s="605">
        <f t="shared" si="33"/>
        <v>0</v>
      </c>
      <c r="N270" s="604"/>
      <c r="O270" s="612">
        <f t="shared" si="34"/>
        <v>-135319.4362444788</v>
      </c>
      <c r="P270" s="180"/>
      <c r="Q270" s="152"/>
      <c r="R270" s="152"/>
      <c r="S270" s="152"/>
      <c r="T270" s="152"/>
      <c r="U270" s="152"/>
      <c r="AF270" s="10"/>
      <c r="AG270" s="10"/>
      <c r="AH270" s="10"/>
      <c r="AI270" s="10"/>
      <c r="AJ270" s="10"/>
      <c r="AK270" s="10"/>
      <c r="AL270" s="10"/>
    </row>
    <row r="271" spans="1:38" x14ac:dyDescent="0.25">
      <c r="A271" s="37">
        <f>+Données!A271</f>
        <v>5886</v>
      </c>
      <c r="B271" s="167" t="str">
        <f>+Données!B271</f>
        <v>Montreux</v>
      </c>
      <c r="C271" s="610">
        <f>+Ecrêtage!C271</f>
        <v>1120945.0450256411</v>
      </c>
      <c r="D271" s="604"/>
      <c r="E271" s="610">
        <f>Données!AF271+Données!AG271+Données!AH271</f>
        <v>17890480</v>
      </c>
      <c r="F271" s="604">
        <f t="shared" si="28"/>
        <v>8967560.3602051288</v>
      </c>
      <c r="G271" s="610">
        <f t="shared" si="29"/>
        <v>8922919.6397948712</v>
      </c>
      <c r="H271" s="605">
        <f t="shared" si="30"/>
        <v>-6213401.7698792834</v>
      </c>
      <c r="I271" s="604"/>
      <c r="J271" s="610">
        <f>Données!AN271</f>
        <v>1775729</v>
      </c>
      <c r="K271" s="611">
        <f t="shared" si="31"/>
        <v>1120945.0450256411</v>
      </c>
      <c r="L271" s="604">
        <f t="shared" si="32"/>
        <v>654783.9549743589</v>
      </c>
      <c r="M271" s="605">
        <f t="shared" si="33"/>
        <v>-455953.42656473455</v>
      </c>
      <c r="N271" s="604"/>
      <c r="O271" s="612">
        <f t="shared" si="34"/>
        <v>-6669355.1964440178</v>
      </c>
      <c r="P271" s="180"/>
      <c r="Q271" s="152"/>
      <c r="R271" s="152"/>
      <c r="S271" s="152"/>
      <c r="T271" s="152"/>
      <c r="U271" s="152"/>
      <c r="AF271" s="10"/>
      <c r="AG271" s="10"/>
      <c r="AH271" s="10"/>
      <c r="AI271" s="10"/>
      <c r="AJ271" s="10"/>
      <c r="AK271" s="10"/>
      <c r="AL271" s="10"/>
    </row>
    <row r="272" spans="1:38" x14ac:dyDescent="0.25">
      <c r="A272" s="37">
        <f>+Données!A272</f>
        <v>5889</v>
      </c>
      <c r="B272" s="167" t="str">
        <f>+Données!B272</f>
        <v>La Tour-de-Peilz</v>
      </c>
      <c r="C272" s="610">
        <f>+Ecrêtage!C272</f>
        <v>728841.71013020864</v>
      </c>
      <c r="D272" s="604"/>
      <c r="E272" s="610">
        <f>Données!AF272+Données!AG272+Données!AH272</f>
        <v>7251918</v>
      </c>
      <c r="F272" s="604">
        <f t="shared" si="28"/>
        <v>5830733.6810416691</v>
      </c>
      <c r="G272" s="610">
        <f t="shared" si="29"/>
        <v>1421184.3189583309</v>
      </c>
      <c r="H272" s="605">
        <f t="shared" si="30"/>
        <v>-989630.02237050049</v>
      </c>
      <c r="I272" s="604"/>
      <c r="J272" s="610">
        <f>Données!AN272</f>
        <v>-3633</v>
      </c>
      <c r="K272" s="611">
        <f t="shared" si="31"/>
        <v>728841.71013020864</v>
      </c>
      <c r="L272" s="604">
        <f t="shared" si="32"/>
        <v>0</v>
      </c>
      <c r="M272" s="605">
        <f t="shared" si="33"/>
        <v>0</v>
      </c>
      <c r="N272" s="604"/>
      <c r="O272" s="612">
        <f t="shared" si="34"/>
        <v>-989630.02237050049</v>
      </c>
      <c r="P272" s="180"/>
      <c r="Q272" s="152"/>
      <c r="R272" s="152"/>
      <c r="S272" s="152"/>
      <c r="T272" s="152"/>
      <c r="U272" s="152"/>
      <c r="AF272" s="10"/>
      <c r="AG272" s="10"/>
      <c r="AH272" s="10"/>
      <c r="AI272" s="10"/>
      <c r="AJ272" s="10"/>
      <c r="AK272" s="10"/>
      <c r="AL272" s="10"/>
    </row>
    <row r="273" spans="1:38" x14ac:dyDescent="0.25">
      <c r="A273" s="37">
        <f>+Données!A273</f>
        <v>5890</v>
      </c>
      <c r="B273" s="167" t="str">
        <f>+Données!B273</f>
        <v>Vevey</v>
      </c>
      <c r="C273" s="610">
        <f>+Ecrêtage!C273</f>
        <v>1064325.313736018</v>
      </c>
      <c r="D273" s="604"/>
      <c r="E273" s="610">
        <f>Données!AF273+Données!AG273+Données!AH273</f>
        <v>12807988</v>
      </c>
      <c r="F273" s="604">
        <f t="shared" si="28"/>
        <v>8514602.5098881442</v>
      </c>
      <c r="G273" s="610">
        <f t="shared" si="29"/>
        <v>4293385.4901118558</v>
      </c>
      <c r="H273" s="605">
        <f t="shared" si="30"/>
        <v>-2989663.7064915118</v>
      </c>
      <c r="I273" s="604"/>
      <c r="J273" s="610">
        <f>Données!AN273</f>
        <v>106623</v>
      </c>
      <c r="K273" s="611">
        <f t="shared" si="31"/>
        <v>1064325.313736018</v>
      </c>
      <c r="L273" s="604">
        <f t="shared" si="32"/>
        <v>0</v>
      </c>
      <c r="M273" s="605">
        <f t="shared" si="33"/>
        <v>0</v>
      </c>
      <c r="N273" s="604"/>
      <c r="O273" s="612">
        <f t="shared" si="34"/>
        <v>-2989663.7064915118</v>
      </c>
      <c r="P273" s="180"/>
      <c r="Q273" s="152"/>
      <c r="R273" s="152"/>
      <c r="S273" s="152"/>
      <c r="T273" s="152"/>
      <c r="U273" s="152"/>
      <c r="AF273" s="10"/>
      <c r="AG273" s="10"/>
      <c r="AH273" s="10"/>
      <c r="AI273" s="10"/>
      <c r="AJ273" s="10"/>
      <c r="AK273" s="10"/>
      <c r="AL273" s="10"/>
    </row>
    <row r="274" spans="1:38" x14ac:dyDescent="0.25">
      <c r="A274" s="37">
        <f>+Données!A274</f>
        <v>5891</v>
      </c>
      <c r="B274" s="167" t="str">
        <f>+Données!B274</f>
        <v>Veytaux</v>
      </c>
      <c r="C274" s="610">
        <f>+Ecrêtage!C274</f>
        <v>41068.156987654322</v>
      </c>
      <c r="D274" s="604"/>
      <c r="E274" s="610">
        <f>Données!AF274+Données!AG274+Données!AH274</f>
        <v>810161</v>
      </c>
      <c r="F274" s="604">
        <f t="shared" si="28"/>
        <v>328545.25590123457</v>
      </c>
      <c r="G274" s="610">
        <f t="shared" si="29"/>
        <v>481615.74409876543</v>
      </c>
      <c r="H274" s="605">
        <f t="shared" si="30"/>
        <v>-335369.1658769428</v>
      </c>
      <c r="I274" s="604"/>
      <c r="J274" s="610">
        <f>Données!AN274</f>
        <v>419368</v>
      </c>
      <c r="K274" s="611">
        <f t="shared" si="31"/>
        <v>41068.156987654322</v>
      </c>
      <c r="L274" s="604">
        <f t="shared" si="32"/>
        <v>378299.84301234566</v>
      </c>
      <c r="M274" s="605">
        <f t="shared" si="33"/>
        <v>-263425.98712140816</v>
      </c>
      <c r="N274" s="604"/>
      <c r="O274" s="612">
        <f t="shared" si="34"/>
        <v>-598795.15299835103</v>
      </c>
      <c r="P274" s="180"/>
      <c r="Q274" s="152"/>
      <c r="R274" s="152"/>
      <c r="S274" s="152"/>
      <c r="T274" s="152"/>
      <c r="U274" s="152"/>
      <c r="AF274" s="10"/>
      <c r="AG274" s="10"/>
      <c r="AH274" s="10"/>
      <c r="AI274" s="10"/>
      <c r="AJ274" s="10"/>
      <c r="AK274" s="10"/>
      <c r="AL274" s="10"/>
    </row>
    <row r="275" spans="1:38" s="146" customFormat="1" x14ac:dyDescent="0.25">
      <c r="A275" s="37">
        <f>+Données!A275</f>
        <v>5892</v>
      </c>
      <c r="B275" s="167" t="str">
        <f>+Données!B275</f>
        <v>Blonay - Saint-Légier</v>
      </c>
      <c r="C275" s="610">
        <f>+Ecrêtage!C275</f>
        <v>755904.99576642353</v>
      </c>
      <c r="D275" s="604"/>
      <c r="E275" s="610">
        <f>Données!AF275+Données!AG275+Données!AH275</f>
        <v>8958244</v>
      </c>
      <c r="F275" s="604">
        <f t="shared" si="28"/>
        <v>6047239.9661313882</v>
      </c>
      <c r="G275" s="610">
        <f t="shared" si="29"/>
        <v>2911004.0338686118</v>
      </c>
      <c r="H275" s="605">
        <f t="shared" si="30"/>
        <v>-2027053.7387223151</v>
      </c>
      <c r="I275" s="604"/>
      <c r="J275" s="610">
        <f>Données!AN275</f>
        <v>1436187</v>
      </c>
      <c r="K275" s="611">
        <f t="shared" si="31"/>
        <v>755904.99576642353</v>
      </c>
      <c r="L275" s="604">
        <f t="shared" si="32"/>
        <v>680282.00423357647</v>
      </c>
      <c r="M275" s="605">
        <f t="shared" si="33"/>
        <v>-473708.78364417295</v>
      </c>
      <c r="N275" s="604"/>
      <c r="O275" s="612">
        <f t="shared" si="34"/>
        <v>-2500762.5223664879</v>
      </c>
      <c r="P275" s="180"/>
      <c r="Q275" s="152"/>
      <c r="R275" s="152"/>
      <c r="S275" s="152"/>
      <c r="T275" s="152"/>
      <c r="U275" s="152"/>
    </row>
    <row r="276" spans="1:38" x14ac:dyDescent="0.25">
      <c r="A276" s="37">
        <f>+Données!A276</f>
        <v>5902</v>
      </c>
      <c r="B276" s="167" t="str">
        <f>+Données!B276</f>
        <v>Belmont-sur-Yverdon</v>
      </c>
      <c r="C276" s="610">
        <f>+Ecrêtage!C276</f>
        <v>12357.530428571426</v>
      </c>
      <c r="D276" s="604"/>
      <c r="E276" s="610">
        <f>Données!AF276+Données!AG276+Données!AH276</f>
        <v>124288</v>
      </c>
      <c r="F276" s="604">
        <f t="shared" si="28"/>
        <v>98860.243428571412</v>
      </c>
      <c r="G276" s="610">
        <f t="shared" si="29"/>
        <v>25427.756571428588</v>
      </c>
      <c r="H276" s="605">
        <f t="shared" si="30"/>
        <v>-17706.409343904623</v>
      </c>
      <c r="I276" s="604"/>
      <c r="J276" s="610">
        <f>Données!AN276</f>
        <v>20170</v>
      </c>
      <c r="K276" s="611">
        <f t="shared" si="31"/>
        <v>12357.530428571426</v>
      </c>
      <c r="L276" s="604">
        <f t="shared" si="32"/>
        <v>7812.4695714285735</v>
      </c>
      <c r="M276" s="605">
        <f t="shared" si="33"/>
        <v>-5440.1489895473578</v>
      </c>
      <c r="N276" s="604"/>
      <c r="O276" s="612">
        <f t="shared" si="34"/>
        <v>-23146.55833345198</v>
      </c>
      <c r="P276" s="180"/>
      <c r="Q276" s="152"/>
      <c r="R276" s="152"/>
      <c r="S276" s="152"/>
      <c r="T276" s="152"/>
      <c r="U276" s="152"/>
      <c r="AF276" s="10"/>
      <c r="AG276" s="10"/>
      <c r="AH276" s="10"/>
      <c r="AI276" s="10"/>
      <c r="AJ276" s="10"/>
      <c r="AK276" s="10"/>
      <c r="AL276" s="10"/>
    </row>
    <row r="277" spans="1:38" x14ac:dyDescent="0.25">
      <c r="A277" s="37">
        <f>+Données!A277</f>
        <v>5903</v>
      </c>
      <c r="B277" s="167" t="str">
        <f>+Données!B277</f>
        <v>Bioley-Magnoux</v>
      </c>
      <c r="C277" s="610">
        <f>+Ecrêtage!C277</f>
        <v>7020.1331746031747</v>
      </c>
      <c r="D277" s="604"/>
      <c r="E277" s="610">
        <f>Données!AF277+Données!AG277+Données!AH277</f>
        <v>327120</v>
      </c>
      <c r="F277" s="604">
        <f t="shared" si="28"/>
        <v>56161.065396825397</v>
      </c>
      <c r="G277" s="610">
        <f t="shared" si="29"/>
        <v>270958.93460317462</v>
      </c>
      <c r="H277" s="605">
        <f t="shared" si="30"/>
        <v>-188680.02759091012</v>
      </c>
      <c r="I277" s="604"/>
      <c r="J277" s="610">
        <f>Données!AN277</f>
        <v>27424</v>
      </c>
      <c r="K277" s="611">
        <f t="shared" si="31"/>
        <v>7020.1331746031747</v>
      </c>
      <c r="L277" s="604">
        <f t="shared" si="32"/>
        <v>20403.866825396824</v>
      </c>
      <c r="M277" s="605">
        <f t="shared" si="33"/>
        <v>-14208.065001492752</v>
      </c>
      <c r="N277" s="604"/>
      <c r="O277" s="612">
        <f t="shared" si="34"/>
        <v>-202888.09259240289</v>
      </c>
      <c r="P277" s="180"/>
      <c r="Q277" s="152"/>
      <c r="R277" s="152"/>
      <c r="S277" s="152"/>
      <c r="T277" s="152"/>
      <c r="U277" s="152"/>
      <c r="AF277" s="10"/>
      <c r="AG277" s="10"/>
      <c r="AH277" s="10"/>
      <c r="AI277" s="10"/>
      <c r="AJ277" s="10"/>
      <c r="AK277" s="10"/>
      <c r="AL277" s="10"/>
    </row>
    <row r="278" spans="1:38" x14ac:dyDescent="0.25">
      <c r="A278" s="37">
        <f>+Données!A278</f>
        <v>5904</v>
      </c>
      <c r="B278" s="167" t="str">
        <f>+Données!B278</f>
        <v>Chamblon</v>
      </c>
      <c r="C278" s="610">
        <f>+Ecrêtage!C278</f>
        <v>17094.436818181817</v>
      </c>
      <c r="D278" s="604"/>
      <c r="E278" s="610">
        <f>Données!AF278+Données!AG278+Données!AH278</f>
        <v>144113</v>
      </c>
      <c r="F278" s="604">
        <f t="shared" si="28"/>
        <v>136755.49454545454</v>
      </c>
      <c r="G278" s="610">
        <f t="shared" si="29"/>
        <v>7357.5054545454623</v>
      </c>
      <c r="H278" s="605">
        <f t="shared" si="30"/>
        <v>-5123.3384652806535</v>
      </c>
      <c r="I278" s="604"/>
      <c r="J278" s="610">
        <f>Données!AN278</f>
        <v>3495</v>
      </c>
      <c r="K278" s="611">
        <f t="shared" si="31"/>
        <v>17094.436818181817</v>
      </c>
      <c r="L278" s="604">
        <f t="shared" si="32"/>
        <v>0</v>
      </c>
      <c r="M278" s="605">
        <f t="shared" si="33"/>
        <v>0</v>
      </c>
      <c r="N278" s="604"/>
      <c r="O278" s="612">
        <f t="shared" si="34"/>
        <v>-5123.3384652806535</v>
      </c>
      <c r="P278" s="180"/>
      <c r="Q278" s="152"/>
      <c r="R278" s="152"/>
      <c r="S278" s="152"/>
      <c r="T278" s="152"/>
      <c r="U278" s="152"/>
      <c r="AF278" s="10"/>
      <c r="AG278" s="10"/>
      <c r="AH278" s="10"/>
      <c r="AI278" s="10"/>
      <c r="AJ278" s="10"/>
      <c r="AK278" s="10"/>
      <c r="AL278" s="10"/>
    </row>
    <row r="279" spans="1:38" x14ac:dyDescent="0.25">
      <c r="A279" s="37">
        <f>+Données!A279</f>
        <v>5905</v>
      </c>
      <c r="B279" s="167" t="str">
        <f>+Données!B279</f>
        <v>Champvent</v>
      </c>
      <c r="C279" s="610">
        <f>+Ecrêtage!C279</f>
        <v>21074.306571428569</v>
      </c>
      <c r="D279" s="604"/>
      <c r="E279" s="610">
        <f>Données!AF279+Données!AG279+Données!AH279</f>
        <v>171364</v>
      </c>
      <c r="F279" s="604">
        <f t="shared" si="28"/>
        <v>168594.45257142856</v>
      </c>
      <c r="G279" s="610">
        <f t="shared" si="29"/>
        <v>2769.5474285714445</v>
      </c>
      <c r="H279" s="605">
        <f t="shared" si="30"/>
        <v>-1928.5515939988934</v>
      </c>
      <c r="I279" s="604"/>
      <c r="J279" s="610">
        <f>Données!AN279</f>
        <v>184392</v>
      </c>
      <c r="K279" s="611">
        <f t="shared" si="31"/>
        <v>21074.306571428569</v>
      </c>
      <c r="L279" s="604">
        <f t="shared" si="32"/>
        <v>163317.69342857142</v>
      </c>
      <c r="M279" s="605">
        <f t="shared" si="33"/>
        <v>-113724.93380709368</v>
      </c>
      <c r="N279" s="604"/>
      <c r="O279" s="612">
        <f t="shared" si="34"/>
        <v>-115653.48540109258</v>
      </c>
      <c r="P279" s="180"/>
      <c r="Q279" s="152"/>
      <c r="R279" s="152"/>
      <c r="S279" s="152"/>
      <c r="T279" s="152"/>
      <c r="U279" s="152"/>
      <c r="AF279" s="10"/>
      <c r="AG279" s="10"/>
      <c r="AH279" s="10"/>
      <c r="AI279" s="10"/>
      <c r="AJ279" s="10"/>
      <c r="AK279" s="10"/>
      <c r="AL279" s="10"/>
    </row>
    <row r="280" spans="1:38" x14ac:dyDescent="0.25">
      <c r="A280" s="37">
        <f>+Données!A280</f>
        <v>5907</v>
      </c>
      <c r="B280" s="167" t="str">
        <f>+Données!B280</f>
        <v>Chavannes-le-Chêne</v>
      </c>
      <c r="C280" s="610">
        <f>+Ecrêtage!C280</f>
        <v>7797.3521333333319</v>
      </c>
      <c r="D280" s="604"/>
      <c r="E280" s="610">
        <f>Données!AF280+Données!AG280+Données!AH280</f>
        <v>152918</v>
      </c>
      <c r="F280" s="604">
        <f t="shared" si="28"/>
        <v>62378.817066666656</v>
      </c>
      <c r="G280" s="610">
        <f t="shared" si="29"/>
        <v>90539.182933333344</v>
      </c>
      <c r="H280" s="605">
        <f t="shared" si="30"/>
        <v>-63046.216058304679</v>
      </c>
      <c r="I280" s="604"/>
      <c r="J280" s="610">
        <f>Données!AN280</f>
        <v>17249</v>
      </c>
      <c r="K280" s="611">
        <f t="shared" si="31"/>
        <v>7797.3521333333319</v>
      </c>
      <c r="L280" s="604">
        <f t="shared" si="32"/>
        <v>9451.6478666666681</v>
      </c>
      <c r="M280" s="605">
        <f t="shared" si="33"/>
        <v>-6581.5773260031847</v>
      </c>
      <c r="N280" s="604"/>
      <c r="O280" s="612">
        <f t="shared" si="34"/>
        <v>-69627.793384307864</v>
      </c>
      <c r="P280" s="180"/>
      <c r="Q280" s="152"/>
      <c r="R280" s="152"/>
      <c r="S280" s="152"/>
      <c r="T280" s="152"/>
      <c r="U280" s="152"/>
      <c r="AF280" s="10"/>
      <c r="AG280" s="10"/>
      <c r="AH280" s="10"/>
      <c r="AI280" s="10"/>
      <c r="AJ280" s="10"/>
      <c r="AK280" s="10"/>
      <c r="AL280" s="10"/>
    </row>
    <row r="281" spans="1:38" x14ac:dyDescent="0.25">
      <c r="A281" s="37">
        <f>+Données!A281</f>
        <v>5908</v>
      </c>
      <c r="B281" s="167" t="str">
        <f>+Données!B281</f>
        <v>Chêne-Pâquier</v>
      </c>
      <c r="C281" s="610">
        <f>+Ecrêtage!C281</f>
        <v>5664.0389333333333</v>
      </c>
      <c r="D281" s="604"/>
      <c r="E281" s="610">
        <f>Données!AF281+Données!AG281+Données!AH281</f>
        <v>63724</v>
      </c>
      <c r="F281" s="604">
        <f t="shared" si="28"/>
        <v>45312.311466666666</v>
      </c>
      <c r="G281" s="610">
        <f t="shared" si="29"/>
        <v>18411.688533333334</v>
      </c>
      <c r="H281" s="605">
        <f t="shared" si="30"/>
        <v>-12820.828017914253</v>
      </c>
      <c r="I281" s="604"/>
      <c r="J281" s="610">
        <f>Données!AN281</f>
        <v>24636</v>
      </c>
      <c r="K281" s="611">
        <f t="shared" si="31"/>
        <v>5664.0389333333333</v>
      </c>
      <c r="L281" s="604">
        <f t="shared" si="32"/>
        <v>18971.961066666667</v>
      </c>
      <c r="M281" s="605">
        <f t="shared" si="33"/>
        <v>-13210.969192637207</v>
      </c>
      <c r="N281" s="604"/>
      <c r="O281" s="612">
        <f t="shared" si="34"/>
        <v>-26031.79721055146</v>
      </c>
      <c r="P281" s="180"/>
      <c r="Q281" s="152"/>
      <c r="R281" s="152"/>
      <c r="S281" s="152"/>
      <c r="T281" s="152"/>
      <c r="U281" s="152"/>
      <c r="AF281" s="10"/>
      <c r="AG281" s="10"/>
      <c r="AH281" s="10"/>
      <c r="AI281" s="10"/>
      <c r="AJ281" s="10"/>
      <c r="AK281" s="10"/>
      <c r="AL281" s="10"/>
    </row>
    <row r="282" spans="1:38" x14ac:dyDescent="0.25">
      <c r="A282" s="37">
        <f>+Données!A282</f>
        <v>5909</v>
      </c>
      <c r="B282" s="167" t="str">
        <f>+Données!B282</f>
        <v>Cheseaux-Noréaz</v>
      </c>
      <c r="C282" s="610">
        <f>+Ecrêtage!C282</f>
        <v>31504.478358208951</v>
      </c>
      <c r="D282" s="604"/>
      <c r="E282" s="610">
        <f>Données!AF282+Données!AG282+Données!AH282</f>
        <v>391632</v>
      </c>
      <c r="F282" s="604">
        <f t="shared" si="28"/>
        <v>252035.82686567161</v>
      </c>
      <c r="G282" s="610">
        <f t="shared" si="29"/>
        <v>139596.17313432839</v>
      </c>
      <c r="H282" s="605">
        <f t="shared" si="30"/>
        <v>-97206.648074346071</v>
      </c>
      <c r="I282" s="604"/>
      <c r="J282" s="610">
        <f>Données!AN282</f>
        <v>11599</v>
      </c>
      <c r="K282" s="611">
        <f t="shared" si="31"/>
        <v>31504.478358208951</v>
      </c>
      <c r="L282" s="604">
        <f t="shared" si="32"/>
        <v>0</v>
      </c>
      <c r="M282" s="605">
        <f t="shared" si="33"/>
        <v>0</v>
      </c>
      <c r="N282" s="604"/>
      <c r="O282" s="612">
        <f t="shared" si="34"/>
        <v>-97206.648074346071</v>
      </c>
      <c r="P282" s="180"/>
      <c r="Q282" s="152"/>
      <c r="R282" s="152"/>
      <c r="S282" s="152"/>
      <c r="T282" s="152"/>
      <c r="U282" s="152"/>
      <c r="AF282" s="10"/>
      <c r="AG282" s="10"/>
      <c r="AH282" s="10"/>
      <c r="AI282" s="10"/>
      <c r="AJ282" s="10"/>
      <c r="AK282" s="10"/>
      <c r="AL282" s="10"/>
    </row>
    <row r="283" spans="1:38" x14ac:dyDescent="0.25">
      <c r="A283" s="37">
        <f>+Données!A283</f>
        <v>5910</v>
      </c>
      <c r="B283" s="167" t="str">
        <f>+Données!B283</f>
        <v>Cronay</v>
      </c>
      <c r="C283" s="610">
        <f>+Ecrêtage!C283</f>
        <v>11511.156533333333</v>
      </c>
      <c r="D283" s="604"/>
      <c r="E283" s="610">
        <f>Données!AF283+Données!AG283+Données!AH283</f>
        <v>237931</v>
      </c>
      <c r="F283" s="604">
        <f t="shared" si="28"/>
        <v>92089.252266666663</v>
      </c>
      <c r="G283" s="610">
        <f t="shared" si="29"/>
        <v>145841.74773333332</v>
      </c>
      <c r="H283" s="605">
        <f t="shared" si="30"/>
        <v>-101555.70262531393</v>
      </c>
      <c r="I283" s="604"/>
      <c r="J283" s="610">
        <f>Données!AN283</f>
        <v>70053</v>
      </c>
      <c r="K283" s="611">
        <f t="shared" si="31"/>
        <v>11511.156533333333</v>
      </c>
      <c r="L283" s="604">
        <f t="shared" si="32"/>
        <v>58541.843466666665</v>
      </c>
      <c r="M283" s="605">
        <f t="shared" si="33"/>
        <v>-40765.13164878673</v>
      </c>
      <c r="N283" s="604"/>
      <c r="O283" s="612">
        <f t="shared" si="34"/>
        <v>-142320.83427410066</v>
      </c>
      <c r="P283" s="180"/>
      <c r="Q283" s="152"/>
      <c r="R283" s="152"/>
      <c r="S283" s="152"/>
      <c r="T283" s="152"/>
      <c r="U283" s="152"/>
      <c r="AF283" s="10"/>
      <c r="AG283" s="10"/>
      <c r="AH283" s="10"/>
      <c r="AI283" s="10"/>
      <c r="AJ283" s="10"/>
      <c r="AK283" s="10"/>
      <c r="AL283" s="10"/>
    </row>
    <row r="284" spans="1:38" x14ac:dyDescent="0.25">
      <c r="A284" s="37">
        <f>+Données!A284</f>
        <v>5911</v>
      </c>
      <c r="B284" s="167" t="str">
        <f>+Données!B284</f>
        <v>Cuarny</v>
      </c>
      <c r="C284" s="610">
        <f>+Ecrêtage!C284</f>
        <v>7072.9457142857154</v>
      </c>
      <c r="D284" s="604"/>
      <c r="E284" s="610">
        <f>Données!AF284+Données!AG284+Données!AH284</f>
        <v>152786</v>
      </c>
      <c r="F284" s="604">
        <f t="shared" si="28"/>
        <v>56583.565714285724</v>
      </c>
      <c r="G284" s="610">
        <f t="shared" si="29"/>
        <v>96202.434285714276</v>
      </c>
      <c r="H284" s="605">
        <f t="shared" si="30"/>
        <v>-66989.774601544443</v>
      </c>
      <c r="I284" s="604"/>
      <c r="J284" s="610">
        <f>Données!AN284</f>
        <v>16002</v>
      </c>
      <c r="K284" s="611">
        <f t="shared" si="31"/>
        <v>7072.9457142857154</v>
      </c>
      <c r="L284" s="604">
        <f t="shared" si="32"/>
        <v>8929.0542857142846</v>
      </c>
      <c r="M284" s="605">
        <f t="shared" si="33"/>
        <v>-6217.6735801557388</v>
      </c>
      <c r="N284" s="604"/>
      <c r="O284" s="612">
        <f t="shared" si="34"/>
        <v>-73207.44818170018</v>
      </c>
      <c r="P284" s="180"/>
      <c r="Q284" s="152"/>
      <c r="R284" s="152"/>
      <c r="S284" s="152"/>
      <c r="T284" s="152"/>
      <c r="U284" s="152"/>
      <c r="AF284" s="10"/>
      <c r="AG284" s="10"/>
      <c r="AH284" s="10"/>
      <c r="AI284" s="10"/>
      <c r="AJ284" s="10"/>
      <c r="AK284" s="10"/>
      <c r="AL284" s="10"/>
    </row>
    <row r="285" spans="1:38" x14ac:dyDescent="0.25">
      <c r="A285" s="37">
        <f>+Données!A285</f>
        <v>5912</v>
      </c>
      <c r="B285" s="167" t="str">
        <f>+Données!B285</f>
        <v>Démoret</v>
      </c>
      <c r="C285" s="610">
        <f>+Ecrêtage!C285</f>
        <v>4054.1132051282052</v>
      </c>
      <c r="D285" s="604"/>
      <c r="E285" s="610">
        <f>Données!AF285+Données!AG285+Données!AH285</f>
        <v>60511</v>
      </c>
      <c r="F285" s="604">
        <f t="shared" si="28"/>
        <v>32432.905641025642</v>
      </c>
      <c r="G285" s="610">
        <f t="shared" si="29"/>
        <v>28078.094358974358</v>
      </c>
      <c r="H285" s="605">
        <f t="shared" si="30"/>
        <v>-19551.950283943101</v>
      </c>
      <c r="I285" s="604"/>
      <c r="J285" s="610">
        <f>Données!AN285</f>
        <v>31955</v>
      </c>
      <c r="K285" s="611">
        <f t="shared" si="31"/>
        <v>4054.1132051282052</v>
      </c>
      <c r="L285" s="604">
        <f t="shared" si="32"/>
        <v>27900.886794871796</v>
      </c>
      <c r="M285" s="605">
        <f t="shared" si="33"/>
        <v>-19428.553252827827</v>
      </c>
      <c r="N285" s="604"/>
      <c r="O285" s="612">
        <f t="shared" si="34"/>
        <v>-38980.503536770928</v>
      </c>
      <c r="P285" s="180"/>
      <c r="Q285" s="152"/>
      <c r="R285" s="152"/>
      <c r="S285" s="152"/>
      <c r="T285" s="152"/>
      <c r="U285" s="152"/>
      <c r="AF285" s="10"/>
      <c r="AG285" s="10"/>
      <c r="AH285" s="10"/>
      <c r="AI285" s="10"/>
      <c r="AJ285" s="10"/>
      <c r="AK285" s="10"/>
      <c r="AL285" s="10"/>
    </row>
    <row r="286" spans="1:38" x14ac:dyDescent="0.25">
      <c r="A286" s="37">
        <f>+Données!A286</f>
        <v>5913</v>
      </c>
      <c r="B286" s="167" t="str">
        <f>+Données!B286</f>
        <v>Donneloye</v>
      </c>
      <c r="C286" s="610">
        <f>+Ecrêtage!C286</f>
        <v>21866.794931506847</v>
      </c>
      <c r="D286" s="604"/>
      <c r="E286" s="610">
        <f>Données!AF286+Données!AG286+Données!AH286</f>
        <v>271111</v>
      </c>
      <c r="F286" s="604">
        <f t="shared" si="28"/>
        <v>174934.35945205478</v>
      </c>
      <c r="G286" s="610">
        <f t="shared" si="29"/>
        <v>96176.640547945222</v>
      </c>
      <c r="H286" s="605">
        <f t="shared" si="30"/>
        <v>-66971.813344200898</v>
      </c>
      <c r="I286" s="604"/>
      <c r="J286" s="610">
        <f>Données!AN286</f>
        <v>46697</v>
      </c>
      <c r="K286" s="611">
        <f t="shared" si="31"/>
        <v>21866.794931506847</v>
      </c>
      <c r="L286" s="604">
        <f t="shared" si="32"/>
        <v>24830.205068493153</v>
      </c>
      <c r="M286" s="605">
        <f t="shared" si="33"/>
        <v>-17290.309265027478</v>
      </c>
      <c r="N286" s="604"/>
      <c r="O286" s="612">
        <f t="shared" si="34"/>
        <v>-84262.122609228376</v>
      </c>
      <c r="P286" s="180"/>
      <c r="Q286" s="152"/>
      <c r="R286" s="152"/>
      <c r="S286" s="152"/>
      <c r="T286" s="152"/>
      <c r="U286" s="152"/>
      <c r="AF286" s="10"/>
      <c r="AG286" s="10"/>
      <c r="AH286" s="10"/>
      <c r="AI286" s="10"/>
      <c r="AJ286" s="10"/>
      <c r="AK286" s="10"/>
      <c r="AL286" s="10"/>
    </row>
    <row r="287" spans="1:38" x14ac:dyDescent="0.25">
      <c r="A287" s="37">
        <f>+Données!A287</f>
        <v>5914</v>
      </c>
      <c r="B287" s="167" t="str">
        <f>+Données!B287</f>
        <v>Ependes</v>
      </c>
      <c r="C287" s="610">
        <f>+Ecrêtage!C287</f>
        <v>10606.318639455782</v>
      </c>
      <c r="D287" s="604"/>
      <c r="E287" s="610">
        <f>Données!AF287+Données!AG287+Données!AH287</f>
        <v>186744</v>
      </c>
      <c r="F287" s="604">
        <f t="shared" si="28"/>
        <v>84850.549115646252</v>
      </c>
      <c r="G287" s="610">
        <f t="shared" si="29"/>
        <v>101893.45088435375</v>
      </c>
      <c r="H287" s="605">
        <f t="shared" si="30"/>
        <v>-70952.667245864141</v>
      </c>
      <c r="I287" s="604"/>
      <c r="J287" s="610">
        <f>Données!AN287</f>
        <v>16215</v>
      </c>
      <c r="K287" s="611">
        <f t="shared" si="31"/>
        <v>10606.318639455782</v>
      </c>
      <c r="L287" s="604">
        <f t="shared" si="32"/>
        <v>5608.6813605442185</v>
      </c>
      <c r="M287" s="605">
        <f t="shared" si="33"/>
        <v>-3905.559177836049</v>
      </c>
      <c r="N287" s="604"/>
      <c r="O287" s="612">
        <f t="shared" si="34"/>
        <v>-74858.226423700195</v>
      </c>
      <c r="P287" s="180"/>
      <c r="Q287" s="152"/>
      <c r="R287" s="152"/>
      <c r="S287" s="152"/>
      <c r="T287" s="152"/>
      <c r="U287" s="152"/>
      <c r="AF287" s="10"/>
      <c r="AG287" s="10"/>
      <c r="AH287" s="10"/>
      <c r="AI287" s="10"/>
      <c r="AJ287" s="10"/>
      <c r="AK287" s="10"/>
      <c r="AL287" s="10"/>
    </row>
    <row r="288" spans="1:38" x14ac:dyDescent="0.25">
      <c r="A288" s="37">
        <f>+Données!A288</f>
        <v>5919</v>
      </c>
      <c r="B288" s="167" t="str">
        <f>+Données!B288</f>
        <v>Mathod</v>
      </c>
      <c r="C288" s="610">
        <f>+Ecrêtage!C288</f>
        <v>21430.97550925926</v>
      </c>
      <c r="D288" s="604"/>
      <c r="E288" s="610">
        <f>Données!AF288+Données!AG288+Données!AH288</f>
        <v>392956</v>
      </c>
      <c r="F288" s="604">
        <f t="shared" si="28"/>
        <v>171447.80407407408</v>
      </c>
      <c r="G288" s="610">
        <f t="shared" si="29"/>
        <v>221508.19592592592</v>
      </c>
      <c r="H288" s="605">
        <f t="shared" si="30"/>
        <v>-154245.41205893405</v>
      </c>
      <c r="I288" s="604"/>
      <c r="J288" s="610">
        <f>Données!AN288</f>
        <v>4605</v>
      </c>
      <c r="K288" s="611">
        <f t="shared" si="31"/>
        <v>21430.97550925926</v>
      </c>
      <c r="L288" s="604">
        <f t="shared" si="32"/>
        <v>0</v>
      </c>
      <c r="M288" s="605">
        <f t="shared" si="33"/>
        <v>0</v>
      </c>
      <c r="N288" s="604"/>
      <c r="O288" s="612">
        <f t="shared" si="34"/>
        <v>-154245.41205893405</v>
      </c>
      <c r="P288" s="180"/>
      <c r="Q288" s="152"/>
      <c r="R288" s="152"/>
      <c r="S288" s="152"/>
      <c r="T288" s="152"/>
      <c r="U288" s="152"/>
      <c r="AF288" s="10"/>
      <c r="AG288" s="10"/>
      <c r="AH288" s="10"/>
      <c r="AI288" s="10"/>
      <c r="AJ288" s="10"/>
      <c r="AK288" s="10"/>
      <c r="AL288" s="10"/>
    </row>
    <row r="289" spans="1:38" x14ac:dyDescent="0.25">
      <c r="A289" s="37">
        <f>+Données!A289</f>
        <v>5921</v>
      </c>
      <c r="B289" s="167" t="str">
        <f>+Données!B289</f>
        <v>Molondin</v>
      </c>
      <c r="C289" s="610">
        <f>+Ecrêtage!C289</f>
        <v>8425.9467901234584</v>
      </c>
      <c r="D289" s="604"/>
      <c r="E289" s="610">
        <f>Données!AF289+Données!AG289+Données!AH289</f>
        <v>69579</v>
      </c>
      <c r="F289" s="604">
        <f t="shared" si="28"/>
        <v>67407.574320987667</v>
      </c>
      <c r="G289" s="610">
        <f t="shared" si="29"/>
        <v>2171.4256790123327</v>
      </c>
      <c r="H289" s="605">
        <f t="shared" si="30"/>
        <v>-1512.0544285711753</v>
      </c>
      <c r="I289" s="604"/>
      <c r="J289" s="610">
        <f>Données!AN289</f>
        <v>33261</v>
      </c>
      <c r="K289" s="611">
        <f t="shared" si="31"/>
        <v>8425.9467901234584</v>
      </c>
      <c r="L289" s="604">
        <f t="shared" si="32"/>
        <v>24835.05320987654</v>
      </c>
      <c r="M289" s="605">
        <f t="shared" si="33"/>
        <v>-17293.685228441718</v>
      </c>
      <c r="N289" s="604"/>
      <c r="O289" s="612">
        <f t="shared" si="34"/>
        <v>-18805.739657012895</v>
      </c>
      <c r="P289" s="180"/>
      <c r="Q289" s="152"/>
      <c r="R289" s="152"/>
      <c r="S289" s="152"/>
      <c r="T289" s="152"/>
      <c r="U289" s="152"/>
      <c r="AF289" s="10"/>
      <c r="AG289" s="10"/>
      <c r="AH289" s="10"/>
      <c r="AI289" s="10"/>
      <c r="AJ289" s="10"/>
      <c r="AK289" s="10"/>
      <c r="AL289" s="10"/>
    </row>
    <row r="290" spans="1:38" x14ac:dyDescent="0.25">
      <c r="A290" s="37">
        <f>+Données!A290</f>
        <v>5922</v>
      </c>
      <c r="B290" s="167" t="str">
        <f>+Données!B290</f>
        <v>Montagny-près-Yverdon</v>
      </c>
      <c r="C290" s="610">
        <f>+Ecrêtage!C290</f>
        <v>40785.058217054269</v>
      </c>
      <c r="D290" s="604"/>
      <c r="E290" s="610">
        <f>Données!AF290+Données!AG290+Données!AH290</f>
        <v>579083</v>
      </c>
      <c r="F290" s="604">
        <f t="shared" si="28"/>
        <v>326280.46573643415</v>
      </c>
      <c r="G290" s="610">
        <f t="shared" si="29"/>
        <v>252802.53426356585</v>
      </c>
      <c r="H290" s="605">
        <f t="shared" si="30"/>
        <v>-176036.96740894535</v>
      </c>
      <c r="I290" s="604"/>
      <c r="J290" s="610">
        <f>Données!AN290</f>
        <v>4204</v>
      </c>
      <c r="K290" s="611">
        <f t="shared" si="31"/>
        <v>40785.058217054269</v>
      </c>
      <c r="L290" s="604">
        <f t="shared" si="32"/>
        <v>0</v>
      </c>
      <c r="M290" s="605">
        <f t="shared" si="33"/>
        <v>0</v>
      </c>
      <c r="N290" s="604"/>
      <c r="O290" s="612">
        <f t="shared" si="34"/>
        <v>-176036.96740894535</v>
      </c>
      <c r="P290" s="180"/>
      <c r="Q290" s="152"/>
      <c r="R290" s="152"/>
      <c r="S290" s="152"/>
      <c r="T290" s="152"/>
      <c r="U290" s="152"/>
      <c r="AF290" s="10"/>
      <c r="AG290" s="10"/>
      <c r="AH290" s="10"/>
      <c r="AI290" s="10"/>
      <c r="AJ290" s="10"/>
      <c r="AK290" s="10"/>
      <c r="AL290" s="10"/>
    </row>
    <row r="291" spans="1:38" x14ac:dyDescent="0.25">
      <c r="A291" s="37">
        <f>+Données!A291</f>
        <v>5923</v>
      </c>
      <c r="B291" s="167" t="str">
        <f>+Données!B291</f>
        <v>Oppens</v>
      </c>
      <c r="C291" s="610">
        <f>+Ecrêtage!C291</f>
        <v>5683.6511392405064</v>
      </c>
      <c r="D291" s="604"/>
      <c r="E291" s="610">
        <f>Données!AF291+Données!AG291+Données!AH291</f>
        <v>185573</v>
      </c>
      <c r="F291" s="604">
        <f t="shared" si="28"/>
        <v>45469.209113924051</v>
      </c>
      <c r="G291" s="610">
        <f t="shared" si="29"/>
        <v>140103.79088607593</v>
      </c>
      <c r="H291" s="605">
        <f t="shared" si="30"/>
        <v>-97560.123524585899</v>
      </c>
      <c r="I291" s="604"/>
      <c r="J291" s="610">
        <f>Données!AN291</f>
        <v>28495</v>
      </c>
      <c r="K291" s="611">
        <f t="shared" si="31"/>
        <v>5683.6511392405064</v>
      </c>
      <c r="L291" s="604">
        <f t="shared" si="32"/>
        <v>22811.348860759492</v>
      </c>
      <c r="M291" s="605">
        <f t="shared" si="33"/>
        <v>-15884.495334089455</v>
      </c>
      <c r="N291" s="604"/>
      <c r="O291" s="612">
        <f t="shared" si="34"/>
        <v>-113444.61885867536</v>
      </c>
      <c r="P291" s="180"/>
      <c r="Q291" s="152"/>
      <c r="R291" s="152"/>
      <c r="S291" s="152"/>
      <c r="T291" s="152"/>
      <c r="U291" s="152"/>
      <c r="AF291" s="10"/>
      <c r="AG291" s="10"/>
      <c r="AH291" s="10"/>
      <c r="AI291" s="10"/>
      <c r="AJ291" s="10"/>
      <c r="AK291" s="10"/>
      <c r="AL291" s="10"/>
    </row>
    <row r="292" spans="1:38" x14ac:dyDescent="0.25">
      <c r="A292" s="37">
        <f>+Données!A292</f>
        <v>5924</v>
      </c>
      <c r="B292" s="167" t="str">
        <f>+Données!B292</f>
        <v>Orges</v>
      </c>
      <c r="C292" s="610">
        <f>+Ecrêtage!C292</f>
        <v>13265.35135135135</v>
      </c>
      <c r="D292" s="604"/>
      <c r="E292" s="610">
        <f>Données!AF292+Données!AG292+Données!AH292</f>
        <v>230159</v>
      </c>
      <c r="F292" s="604">
        <f t="shared" si="28"/>
        <v>106122.8108108108</v>
      </c>
      <c r="G292" s="610">
        <f t="shared" si="29"/>
        <v>124036.1891891892</v>
      </c>
      <c r="H292" s="605">
        <f t="shared" si="30"/>
        <v>-86371.581113433305</v>
      </c>
      <c r="I292" s="604"/>
      <c r="J292" s="610">
        <f>Données!AN292</f>
        <v>19918</v>
      </c>
      <c r="K292" s="611">
        <f t="shared" si="31"/>
        <v>13265.35135135135</v>
      </c>
      <c r="L292" s="604">
        <f t="shared" si="32"/>
        <v>6652.6486486486501</v>
      </c>
      <c r="M292" s="605">
        <f t="shared" si="33"/>
        <v>-4632.517220434007</v>
      </c>
      <c r="N292" s="604"/>
      <c r="O292" s="612">
        <f t="shared" si="34"/>
        <v>-91004.09833386731</v>
      </c>
      <c r="P292" s="180"/>
      <c r="Q292" s="152"/>
      <c r="R292" s="152"/>
      <c r="S292" s="152"/>
      <c r="T292" s="152"/>
      <c r="U292" s="152"/>
      <c r="AF292" s="10"/>
      <c r="AG292" s="10"/>
      <c r="AH292" s="10"/>
      <c r="AI292" s="10"/>
      <c r="AJ292" s="10"/>
      <c r="AK292" s="10"/>
      <c r="AL292" s="10"/>
    </row>
    <row r="293" spans="1:38" x14ac:dyDescent="0.25">
      <c r="A293" s="37">
        <f>+Données!A293</f>
        <v>5925</v>
      </c>
      <c r="B293" s="167" t="str">
        <f>+Données!B293</f>
        <v>Orzens</v>
      </c>
      <c r="C293" s="610">
        <f>+Ecrêtage!C293</f>
        <v>5055.3741772151898</v>
      </c>
      <c r="D293" s="604"/>
      <c r="E293" s="610">
        <f>Données!AF293+Données!AG293+Données!AH293</f>
        <v>42225</v>
      </c>
      <c r="F293" s="604">
        <f t="shared" si="28"/>
        <v>40442.993417721518</v>
      </c>
      <c r="G293" s="610">
        <f t="shared" si="29"/>
        <v>1782.0065822784818</v>
      </c>
      <c r="H293" s="605">
        <f t="shared" si="30"/>
        <v>-1240.8856404897751</v>
      </c>
      <c r="I293" s="604"/>
      <c r="J293" s="610">
        <f>Données!AN293</f>
        <v>13194</v>
      </c>
      <c r="K293" s="611">
        <f t="shared" si="31"/>
        <v>5055.3741772151898</v>
      </c>
      <c r="L293" s="604">
        <f t="shared" si="32"/>
        <v>8138.6258227848102</v>
      </c>
      <c r="M293" s="605">
        <f t="shared" si="33"/>
        <v>-5667.2652150926351</v>
      </c>
      <c r="N293" s="604"/>
      <c r="O293" s="612">
        <f t="shared" si="34"/>
        <v>-6908.1508555824103</v>
      </c>
      <c r="P293" s="180"/>
      <c r="Q293" s="152"/>
      <c r="R293" s="152"/>
      <c r="S293" s="152"/>
      <c r="T293" s="152"/>
      <c r="U293" s="152"/>
      <c r="AF293" s="10"/>
      <c r="AG293" s="10"/>
      <c r="AH293" s="10"/>
      <c r="AI293" s="10"/>
      <c r="AJ293" s="10"/>
      <c r="AK293" s="10"/>
      <c r="AL293" s="10"/>
    </row>
    <row r="294" spans="1:38" x14ac:dyDescent="0.25">
      <c r="A294" s="37">
        <f>+Données!A294</f>
        <v>5926</v>
      </c>
      <c r="B294" s="167" t="str">
        <f>+Données!B294</f>
        <v>Pomy</v>
      </c>
      <c r="C294" s="610">
        <f>+Ecrêtage!C294</f>
        <v>26646.407887323945</v>
      </c>
      <c r="D294" s="604"/>
      <c r="E294" s="610">
        <f>Données!AF294+Données!AG294+Données!AH294</f>
        <v>356093</v>
      </c>
      <c r="F294" s="604">
        <f t="shared" si="28"/>
        <v>213171.26309859156</v>
      </c>
      <c r="G294" s="610">
        <f t="shared" si="29"/>
        <v>142921.73690140844</v>
      </c>
      <c r="H294" s="605">
        <f t="shared" si="30"/>
        <v>-99522.377076775665</v>
      </c>
      <c r="I294" s="604"/>
      <c r="J294" s="610">
        <f>Données!AN294</f>
        <v>20011</v>
      </c>
      <c r="K294" s="611">
        <f t="shared" si="31"/>
        <v>26646.407887323945</v>
      </c>
      <c r="L294" s="604">
        <f t="shared" si="32"/>
        <v>0</v>
      </c>
      <c r="M294" s="605">
        <f t="shared" si="33"/>
        <v>0</v>
      </c>
      <c r="N294" s="604"/>
      <c r="O294" s="612">
        <f t="shared" si="34"/>
        <v>-99522.377076775665</v>
      </c>
      <c r="P294" s="180"/>
      <c r="Q294" s="152"/>
      <c r="R294" s="152"/>
      <c r="S294" s="152"/>
      <c r="T294" s="152"/>
      <c r="U294" s="152"/>
      <c r="AF294" s="10"/>
      <c r="AG294" s="10"/>
      <c r="AH294" s="10"/>
      <c r="AI294" s="10"/>
      <c r="AJ294" s="10"/>
      <c r="AK294" s="10"/>
      <c r="AL294" s="10"/>
    </row>
    <row r="295" spans="1:38" x14ac:dyDescent="0.25">
      <c r="A295" s="37">
        <f>+Données!A295</f>
        <v>5928</v>
      </c>
      <c r="B295" s="167" t="str">
        <f>+Données!B295</f>
        <v>Rovray</v>
      </c>
      <c r="C295" s="610">
        <f>+Ecrêtage!C295</f>
        <v>5997.0809589041082</v>
      </c>
      <c r="D295" s="604"/>
      <c r="E295" s="610">
        <f>Données!AF295+Données!AG295+Données!AH295</f>
        <v>68338</v>
      </c>
      <c r="F295" s="604">
        <f t="shared" si="28"/>
        <v>47976.647671232866</v>
      </c>
      <c r="G295" s="610">
        <f t="shared" si="29"/>
        <v>20361.352328767134</v>
      </c>
      <c r="H295" s="605">
        <f t="shared" si="30"/>
        <v>-14178.460381114201</v>
      </c>
      <c r="I295" s="604"/>
      <c r="J295" s="610">
        <f>Données!AN295</f>
        <v>5712</v>
      </c>
      <c r="K295" s="611">
        <f t="shared" si="31"/>
        <v>5997.0809589041082</v>
      </c>
      <c r="L295" s="604">
        <f t="shared" si="32"/>
        <v>0</v>
      </c>
      <c r="M295" s="605">
        <f t="shared" si="33"/>
        <v>0</v>
      </c>
      <c r="N295" s="604"/>
      <c r="O295" s="612">
        <f t="shared" si="34"/>
        <v>-14178.460381114201</v>
      </c>
      <c r="P295" s="180"/>
      <c r="Q295" s="152"/>
      <c r="R295" s="152"/>
      <c r="S295" s="152"/>
      <c r="T295" s="152"/>
      <c r="U295" s="152"/>
      <c r="AF295" s="10"/>
      <c r="AG295" s="10"/>
      <c r="AH295" s="10"/>
      <c r="AI295" s="10"/>
      <c r="AJ295" s="10"/>
      <c r="AK295" s="10"/>
      <c r="AL295" s="10"/>
    </row>
    <row r="296" spans="1:38" x14ac:dyDescent="0.25">
      <c r="A296" s="37">
        <f>+Données!A296</f>
        <v>5929</v>
      </c>
      <c r="B296" s="167" t="str">
        <f>+Données!B296</f>
        <v>Suchy</v>
      </c>
      <c r="C296" s="610">
        <f>+Ecrêtage!C296</f>
        <v>22958.537249999998</v>
      </c>
      <c r="D296" s="604"/>
      <c r="E296" s="610">
        <f>Données!AF296+Données!AG296+Données!AH296</f>
        <v>183003</v>
      </c>
      <c r="F296" s="604">
        <f t="shared" si="28"/>
        <v>183668.29799999998</v>
      </c>
      <c r="G296" s="610">
        <f t="shared" si="29"/>
        <v>0</v>
      </c>
      <c r="H296" s="605">
        <f t="shared" si="30"/>
        <v>0</v>
      </c>
      <c r="I296" s="604"/>
      <c r="J296" s="610">
        <f>Données!AN296</f>
        <v>37835</v>
      </c>
      <c r="K296" s="611">
        <f t="shared" si="31"/>
        <v>22958.537249999998</v>
      </c>
      <c r="L296" s="604">
        <f t="shared" si="32"/>
        <v>14876.462750000002</v>
      </c>
      <c r="M296" s="605">
        <f t="shared" si="33"/>
        <v>-10359.102593298509</v>
      </c>
      <c r="N296" s="604"/>
      <c r="O296" s="612">
        <f t="shared" si="34"/>
        <v>-10359.102593298509</v>
      </c>
      <c r="P296" s="180"/>
      <c r="Q296" s="152"/>
      <c r="R296" s="152"/>
      <c r="S296" s="152"/>
      <c r="T296" s="152"/>
      <c r="U296" s="152"/>
      <c r="AF296" s="10"/>
      <c r="AG296" s="10"/>
      <c r="AH296" s="10"/>
      <c r="AI296" s="10"/>
      <c r="AJ296" s="10"/>
      <c r="AK296" s="10"/>
      <c r="AL296" s="10"/>
    </row>
    <row r="297" spans="1:38" x14ac:dyDescent="0.25">
      <c r="A297" s="37">
        <f>+Données!A297</f>
        <v>5930</v>
      </c>
      <c r="B297" s="167" t="str">
        <f>+Données!B297</f>
        <v>Suscévaz</v>
      </c>
      <c r="C297" s="610">
        <f>+Ecrêtage!C297</f>
        <v>5123.1661111111116</v>
      </c>
      <c r="D297" s="604"/>
      <c r="E297" s="610">
        <f>Données!AF297+Données!AG297+Données!AH297</f>
        <v>97140</v>
      </c>
      <c r="F297" s="604">
        <f t="shared" si="28"/>
        <v>40985.328888888893</v>
      </c>
      <c r="G297" s="610">
        <f t="shared" si="29"/>
        <v>56154.671111111107</v>
      </c>
      <c r="H297" s="605">
        <f t="shared" si="30"/>
        <v>-39102.843794835288</v>
      </c>
      <c r="I297" s="604"/>
      <c r="J297" s="610">
        <f>Données!AN297</f>
        <v>1857</v>
      </c>
      <c r="K297" s="611">
        <f t="shared" si="31"/>
        <v>5123.1661111111116</v>
      </c>
      <c r="L297" s="604">
        <f t="shared" si="32"/>
        <v>0</v>
      </c>
      <c r="M297" s="605">
        <f t="shared" si="33"/>
        <v>0</v>
      </c>
      <c r="N297" s="604"/>
      <c r="O297" s="612">
        <f t="shared" si="34"/>
        <v>-39102.843794835288</v>
      </c>
      <c r="P297" s="180"/>
      <c r="Q297" s="152"/>
      <c r="R297" s="152"/>
      <c r="S297" s="152"/>
      <c r="T297" s="152"/>
      <c r="U297" s="152"/>
      <c r="AF297" s="10"/>
      <c r="AG297" s="10"/>
      <c r="AH297" s="10"/>
      <c r="AI297" s="10"/>
      <c r="AJ297" s="10"/>
      <c r="AK297" s="10"/>
      <c r="AL297" s="10"/>
    </row>
    <row r="298" spans="1:38" x14ac:dyDescent="0.25">
      <c r="A298" s="37">
        <f>+Données!A298</f>
        <v>5931</v>
      </c>
      <c r="B298" s="167" t="str">
        <f>+Données!B298</f>
        <v>Treycovagnes</v>
      </c>
      <c r="C298" s="610">
        <f>+Ecrêtage!C298</f>
        <v>16489.594109589041</v>
      </c>
      <c r="D298" s="604"/>
      <c r="E298" s="610">
        <f>Données!AF298+Données!AG298+Données!AH298</f>
        <v>196445</v>
      </c>
      <c r="F298" s="604">
        <f t="shared" si="28"/>
        <v>131916.75287671233</v>
      </c>
      <c r="G298" s="610">
        <f t="shared" si="29"/>
        <v>64528.247123287671</v>
      </c>
      <c r="H298" s="605">
        <f t="shared" si="30"/>
        <v>-44933.714643681422</v>
      </c>
      <c r="I298" s="604"/>
      <c r="J298" s="610">
        <f>Données!AN298</f>
        <v>1773</v>
      </c>
      <c r="K298" s="611">
        <f t="shared" si="31"/>
        <v>16489.594109589041</v>
      </c>
      <c r="L298" s="604">
        <f t="shared" si="32"/>
        <v>0</v>
      </c>
      <c r="M298" s="605">
        <f t="shared" si="33"/>
        <v>0</v>
      </c>
      <c r="N298" s="604"/>
      <c r="O298" s="612">
        <f t="shared" si="34"/>
        <v>-44933.714643681422</v>
      </c>
      <c r="P298" s="180"/>
      <c r="Q298" s="152"/>
      <c r="R298" s="152"/>
      <c r="S298" s="152"/>
      <c r="T298" s="152"/>
      <c r="U298" s="152"/>
      <c r="AF298" s="10"/>
      <c r="AG298" s="10"/>
      <c r="AH298" s="10"/>
      <c r="AI298" s="10"/>
      <c r="AJ298" s="10"/>
      <c r="AK298" s="10"/>
      <c r="AL298" s="10"/>
    </row>
    <row r="299" spans="1:38" x14ac:dyDescent="0.25">
      <c r="A299" s="37">
        <f>+Données!A299</f>
        <v>5932</v>
      </c>
      <c r="B299" s="167" t="str">
        <f>+Données!B299</f>
        <v>Ursins</v>
      </c>
      <c r="C299" s="610">
        <f>+Ecrêtage!C299</f>
        <v>9309.2870666666695</v>
      </c>
      <c r="D299" s="604"/>
      <c r="E299" s="610">
        <f>Données!AF299+Données!AG299+Données!AH299</f>
        <v>88016</v>
      </c>
      <c r="F299" s="604">
        <f t="shared" si="28"/>
        <v>74474.296533333356</v>
      </c>
      <c r="G299" s="610">
        <f t="shared" si="29"/>
        <v>13541.703466666644</v>
      </c>
      <c r="H299" s="605">
        <f t="shared" si="30"/>
        <v>-9429.6539343148506</v>
      </c>
      <c r="I299" s="604"/>
      <c r="J299" s="610">
        <f>Données!AN299</f>
        <v>18670</v>
      </c>
      <c r="K299" s="611">
        <f t="shared" si="31"/>
        <v>9309.2870666666695</v>
      </c>
      <c r="L299" s="604">
        <f t="shared" si="32"/>
        <v>9360.7129333333305</v>
      </c>
      <c r="M299" s="605">
        <f t="shared" si="33"/>
        <v>-6518.2555324057921</v>
      </c>
      <c r="N299" s="604"/>
      <c r="O299" s="612">
        <f t="shared" si="34"/>
        <v>-15947.909466720643</v>
      </c>
      <c r="P299" s="180"/>
      <c r="Q299" s="152"/>
      <c r="R299" s="152"/>
      <c r="S299" s="152"/>
      <c r="T299" s="152"/>
      <c r="U299" s="152"/>
      <c r="AF299" s="10"/>
      <c r="AG299" s="10"/>
      <c r="AH299" s="10"/>
      <c r="AI299" s="10"/>
      <c r="AJ299" s="10"/>
      <c r="AK299" s="10"/>
      <c r="AL299" s="10"/>
    </row>
    <row r="300" spans="1:38" x14ac:dyDescent="0.25">
      <c r="A300" s="37">
        <f>+Données!A300</f>
        <v>5933</v>
      </c>
      <c r="B300" s="167" t="str">
        <f>+Données!B300</f>
        <v>Valeyres-sous-Montagny</v>
      </c>
      <c r="C300" s="610">
        <f>+Ecrêtage!C300</f>
        <v>23289.682127659577</v>
      </c>
      <c r="D300" s="604"/>
      <c r="E300" s="610">
        <f>Données!AF300+Données!AG300+Données!AH300</f>
        <v>1038685</v>
      </c>
      <c r="F300" s="604">
        <f t="shared" si="28"/>
        <v>186317.45702127661</v>
      </c>
      <c r="G300" s="610">
        <f t="shared" si="29"/>
        <v>852367.54297872342</v>
      </c>
      <c r="H300" s="605">
        <f t="shared" si="30"/>
        <v>-593539.13449044665</v>
      </c>
      <c r="I300" s="604"/>
      <c r="J300" s="610">
        <f>Données!AN300</f>
        <v>8112</v>
      </c>
      <c r="K300" s="611">
        <f t="shared" si="31"/>
        <v>23289.682127659577</v>
      </c>
      <c r="L300" s="604">
        <f t="shared" si="32"/>
        <v>0</v>
      </c>
      <c r="M300" s="605">
        <f t="shared" si="33"/>
        <v>0</v>
      </c>
      <c r="N300" s="604"/>
      <c r="O300" s="612">
        <f t="shared" si="34"/>
        <v>-593539.13449044665</v>
      </c>
      <c r="P300" s="180"/>
      <c r="Q300" s="152"/>
      <c r="R300" s="152"/>
      <c r="S300" s="152"/>
      <c r="T300" s="152"/>
      <c r="U300" s="152"/>
      <c r="AF300" s="10"/>
      <c r="AG300" s="10"/>
      <c r="AH300" s="10"/>
      <c r="AI300" s="10"/>
      <c r="AJ300" s="10"/>
      <c r="AK300" s="10"/>
      <c r="AL300" s="10"/>
    </row>
    <row r="301" spans="1:38" x14ac:dyDescent="0.25">
      <c r="A301" s="37">
        <f>+Données!A301</f>
        <v>5934</v>
      </c>
      <c r="B301" s="167" t="str">
        <f>+Données!B301</f>
        <v>Valeyres-sous-Ursins</v>
      </c>
      <c r="C301" s="610">
        <f>+Ecrêtage!C301</f>
        <v>8590.653896103895</v>
      </c>
      <c r="D301" s="604"/>
      <c r="E301" s="610">
        <f>Données!AF301+Données!AG301+Données!AH301</f>
        <v>41508</v>
      </c>
      <c r="F301" s="604">
        <f t="shared" si="28"/>
        <v>68725.23116883116</v>
      </c>
      <c r="G301" s="610">
        <f t="shared" si="29"/>
        <v>0</v>
      </c>
      <c r="H301" s="605">
        <f t="shared" si="30"/>
        <v>0</v>
      </c>
      <c r="I301" s="604"/>
      <c r="J301" s="610">
        <f>Données!AN301</f>
        <v>32797</v>
      </c>
      <c r="K301" s="611">
        <f t="shared" si="31"/>
        <v>8590.653896103895</v>
      </c>
      <c r="L301" s="604">
        <f t="shared" si="32"/>
        <v>24206.346103896103</v>
      </c>
      <c r="M301" s="605">
        <f t="shared" si="33"/>
        <v>-16855.890201395578</v>
      </c>
      <c r="N301" s="604"/>
      <c r="O301" s="612">
        <f t="shared" si="34"/>
        <v>-16855.890201395578</v>
      </c>
      <c r="P301" s="180"/>
      <c r="Q301" s="152"/>
      <c r="R301" s="152"/>
      <c r="S301" s="152"/>
      <c r="T301" s="152"/>
      <c r="U301" s="152"/>
      <c r="AF301" s="10"/>
      <c r="AG301" s="10"/>
      <c r="AH301" s="10"/>
      <c r="AI301" s="10"/>
      <c r="AJ301" s="10"/>
      <c r="AK301" s="10"/>
      <c r="AL301" s="10"/>
    </row>
    <row r="302" spans="1:38" x14ac:dyDescent="0.25">
      <c r="A302" s="37">
        <f>+Données!A302</f>
        <v>5935</v>
      </c>
      <c r="B302" s="167" t="str">
        <f>+Données!B302</f>
        <v>Villars-Epeney</v>
      </c>
      <c r="C302" s="610">
        <f>+Ecrêtage!C302</f>
        <v>10030.652647058823</v>
      </c>
      <c r="D302" s="604"/>
      <c r="E302" s="610">
        <f>Données!AF302+Données!AG302+Données!AH302</f>
        <v>0</v>
      </c>
      <c r="F302" s="604">
        <f t="shared" si="28"/>
        <v>80245.221176470586</v>
      </c>
      <c r="G302" s="610">
        <f t="shared" si="29"/>
        <v>0</v>
      </c>
      <c r="H302" s="605">
        <f t="shared" si="30"/>
        <v>0</v>
      </c>
      <c r="I302" s="604"/>
      <c r="J302" s="610">
        <f>Données!AN302</f>
        <v>0</v>
      </c>
      <c r="K302" s="611">
        <f t="shared" si="31"/>
        <v>10030.652647058823</v>
      </c>
      <c r="L302" s="604">
        <f t="shared" si="32"/>
        <v>0</v>
      </c>
      <c r="M302" s="605">
        <f t="shared" si="33"/>
        <v>0</v>
      </c>
      <c r="N302" s="604"/>
      <c r="O302" s="612">
        <f t="shared" si="34"/>
        <v>0</v>
      </c>
      <c r="P302" s="180"/>
      <c r="Q302" s="152"/>
      <c r="R302" s="152"/>
      <c r="S302" s="152"/>
      <c r="T302" s="152"/>
      <c r="U302" s="152"/>
      <c r="AF302" s="10"/>
      <c r="AG302" s="10"/>
      <c r="AH302" s="10"/>
      <c r="AI302" s="10"/>
      <c r="AJ302" s="10"/>
      <c r="AK302" s="10"/>
      <c r="AL302" s="10"/>
    </row>
    <row r="303" spans="1:38" x14ac:dyDescent="0.25">
      <c r="A303" s="37">
        <f>+Données!A303</f>
        <v>5937</v>
      </c>
      <c r="B303" s="167" t="str">
        <f>+Données!B303</f>
        <v>Vugelles-La Mothe</v>
      </c>
      <c r="C303" s="610">
        <f>+Ecrêtage!C303</f>
        <v>4424.7368571428569</v>
      </c>
      <c r="D303" s="604"/>
      <c r="E303" s="610">
        <f>Données!AF303+Données!AG303+Données!AH303</f>
        <v>50907</v>
      </c>
      <c r="F303" s="604">
        <f t="shared" si="28"/>
        <v>35397.894857142855</v>
      </c>
      <c r="G303" s="610">
        <f t="shared" si="29"/>
        <v>15509.105142857145</v>
      </c>
      <c r="H303" s="605">
        <f t="shared" si="30"/>
        <v>-10799.637925024257</v>
      </c>
      <c r="I303" s="604"/>
      <c r="J303" s="610">
        <f>Données!AN303</f>
        <v>5017</v>
      </c>
      <c r="K303" s="611">
        <f t="shared" si="31"/>
        <v>4424.7368571428569</v>
      </c>
      <c r="L303" s="604">
        <f t="shared" si="32"/>
        <v>592.26314285714307</v>
      </c>
      <c r="M303" s="605">
        <f t="shared" si="33"/>
        <v>-412.41757279206411</v>
      </c>
      <c r="N303" s="604"/>
      <c r="O303" s="612">
        <f t="shared" si="34"/>
        <v>-11212.055497816322</v>
      </c>
      <c r="P303" s="180"/>
      <c r="Q303" s="152"/>
      <c r="R303" s="152"/>
      <c r="S303" s="152"/>
      <c r="T303" s="152"/>
      <c r="U303" s="152"/>
      <c r="AF303" s="10"/>
      <c r="AG303" s="10"/>
      <c r="AH303" s="10"/>
      <c r="AI303" s="10"/>
      <c r="AJ303" s="10"/>
      <c r="AK303" s="10"/>
      <c r="AL303" s="10"/>
    </row>
    <row r="304" spans="1:38" x14ac:dyDescent="0.25">
      <c r="A304" s="37">
        <f>+Données!A304</f>
        <v>5938</v>
      </c>
      <c r="B304" s="167" t="str">
        <f>+Données!B304</f>
        <v>Yverdon-les-Bains</v>
      </c>
      <c r="C304" s="610">
        <f>+Ecrêtage!C304</f>
        <v>801823.39555555547</v>
      </c>
      <c r="D304" s="604"/>
      <c r="E304" s="610">
        <f>Données!AF304+Données!AG304+Données!AH304</f>
        <v>21371862</v>
      </c>
      <c r="F304" s="604">
        <f t="shared" si="28"/>
        <v>6414587.1644444438</v>
      </c>
      <c r="G304" s="610">
        <f t="shared" si="29"/>
        <v>14957274.835555557</v>
      </c>
      <c r="H304" s="605">
        <f t="shared" si="30"/>
        <v>-10415375.425027167</v>
      </c>
      <c r="I304" s="604"/>
      <c r="J304" s="610">
        <f>Données!AN304</f>
        <v>74577</v>
      </c>
      <c r="K304" s="611">
        <f t="shared" si="31"/>
        <v>801823.39555555547</v>
      </c>
      <c r="L304" s="604">
        <f t="shared" si="32"/>
        <v>0</v>
      </c>
      <c r="M304" s="605">
        <f t="shared" si="33"/>
        <v>0</v>
      </c>
      <c r="N304" s="604"/>
      <c r="O304" s="612">
        <f t="shared" si="34"/>
        <v>-10415375.425027167</v>
      </c>
      <c r="P304" s="180"/>
      <c r="Q304" s="152"/>
      <c r="R304" s="152"/>
      <c r="S304" s="152"/>
      <c r="T304" s="152"/>
      <c r="U304" s="152"/>
      <c r="AF304" s="10"/>
      <c r="AG304" s="10"/>
      <c r="AH304" s="10"/>
      <c r="AI304" s="10"/>
      <c r="AJ304" s="10"/>
      <c r="AK304" s="10"/>
      <c r="AL304" s="10"/>
    </row>
    <row r="305" spans="1:38" x14ac:dyDescent="0.25">
      <c r="A305" s="37">
        <f>+Données!A305</f>
        <v>5939</v>
      </c>
      <c r="B305" s="167" t="str">
        <f>+Données!B305</f>
        <v>Yvonand</v>
      </c>
      <c r="C305" s="610">
        <f>+Ecrêtage!C305</f>
        <v>95983.007692307685</v>
      </c>
      <c r="D305" s="604"/>
      <c r="E305" s="615">
        <f>Données!AF305+Données!AG305+Données!AH305</f>
        <v>1585293</v>
      </c>
      <c r="F305" s="604">
        <f t="shared" si="28"/>
        <v>767864.06153846148</v>
      </c>
      <c r="G305" s="610">
        <f t="shared" si="29"/>
        <v>817428.93846153852</v>
      </c>
      <c r="H305" s="605">
        <f t="shared" si="30"/>
        <v>-569209.9243319229</v>
      </c>
      <c r="I305" s="604"/>
      <c r="J305" s="615">
        <f>Données!AN305</f>
        <v>86633</v>
      </c>
      <c r="K305" s="616">
        <f t="shared" si="31"/>
        <v>95983.007692307685</v>
      </c>
      <c r="L305" s="617">
        <f t="shared" si="32"/>
        <v>0</v>
      </c>
      <c r="M305" s="618">
        <f t="shared" si="33"/>
        <v>0</v>
      </c>
      <c r="N305" s="604"/>
      <c r="O305" s="619">
        <f t="shared" si="34"/>
        <v>-569209.9243319229</v>
      </c>
      <c r="P305" s="180"/>
      <c r="Q305" s="152"/>
      <c r="R305" s="152"/>
      <c r="S305" s="152"/>
      <c r="T305" s="152"/>
      <c r="U305" s="152"/>
      <c r="AF305" s="10"/>
      <c r="AG305" s="10"/>
      <c r="AH305" s="10"/>
      <c r="AI305" s="10"/>
      <c r="AJ305" s="10"/>
      <c r="AK305" s="10"/>
      <c r="AL305" s="10"/>
    </row>
    <row r="306" spans="1:38" x14ac:dyDescent="0.25">
      <c r="A306" s="55"/>
      <c r="B306" s="129">
        <f>COUNTA(B6:B305)</f>
        <v>300</v>
      </c>
      <c r="C306" s="620">
        <f t="shared" ref="C306:M306" si="35">SUM(C6:C305)</f>
        <v>42757870.01587484</v>
      </c>
      <c r="D306" s="604"/>
      <c r="E306" s="615">
        <f t="shared" si="35"/>
        <v>543189032.75</v>
      </c>
      <c r="F306" s="621">
        <f t="shared" si="35"/>
        <v>342062960.12699872</v>
      </c>
      <c r="G306" s="620">
        <f t="shared" si="35"/>
        <v>266376491.43593863</v>
      </c>
      <c r="H306" s="622">
        <f t="shared" si="35"/>
        <v>-185489080.94619402</v>
      </c>
      <c r="I306" s="604"/>
      <c r="J306" s="615">
        <f t="shared" si="35"/>
        <v>23657706</v>
      </c>
      <c r="K306" s="615">
        <f t="shared" si="35"/>
        <v>42757870.01587484</v>
      </c>
      <c r="L306" s="620">
        <f t="shared" si="35"/>
        <v>9939564.5874854773</v>
      </c>
      <c r="M306" s="618">
        <f t="shared" si="35"/>
        <v>-6921334.1252428237</v>
      </c>
      <c r="N306" s="604"/>
      <c r="O306" s="623">
        <f>SUM(O6:O305)</f>
        <v>-192410415.0714367</v>
      </c>
      <c r="P306" s="180"/>
      <c r="Q306" s="146"/>
      <c r="AF306" s="10"/>
      <c r="AG306" s="10"/>
      <c r="AH306" s="10"/>
      <c r="AI306" s="10"/>
      <c r="AJ306" s="10"/>
      <c r="AK306" s="10"/>
      <c r="AL306" s="10"/>
    </row>
    <row r="307" spans="1:38" x14ac:dyDescent="0.25">
      <c r="O307" s="479"/>
    </row>
  </sheetData>
  <sheetProtection sheet="1" objects="1" scenarios="1"/>
  <mergeCells count="9">
    <mergeCell ref="O4:O5"/>
    <mergeCell ref="I1:J1"/>
    <mergeCell ref="C4:C5"/>
    <mergeCell ref="B4:B5"/>
    <mergeCell ref="A4:A5"/>
    <mergeCell ref="K4:K5"/>
    <mergeCell ref="J4:J5"/>
    <mergeCell ref="F4:F5"/>
    <mergeCell ref="E4:E5"/>
  </mergeCells>
  <phoneticPr fontId="0" type="noConversion"/>
  <hyperlinks>
    <hyperlink ref="G1" location="Solidarité!A1" display="← Précédent" xr:uid="{5A8E4973-17D6-4687-9CE6-45B0575EDBAD}"/>
    <hyperlink ref="H1" location="'Table des matières'!A1" display="Table des             matières" xr:uid="{04BE0D59-7790-474E-8080-9D72D4E0F66D}"/>
    <hyperlink ref="I1" location="'6.4. Financement'!A1" display="Suivant →" xr:uid="{E345551C-124C-4CBD-9876-7C5AAF6D130D}"/>
    <hyperlink ref="I1:J1" location="Effort!A1" display="Suivant →" xr:uid="{309F21F1-9A18-4F3D-BDE2-8C55C3D34BC3}"/>
  </hyperlinks>
  <printOptions horizontalCentered="1"/>
  <pageMargins left="0" right="0" top="0" bottom="0" header="0.51181102362204722" footer="0.51181102362204722"/>
  <pageSetup paperSize="9" scale="64" orientation="landscape" horizontalDpi="1200" verticalDpi="1200"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3">
    <tabColor theme="6" tint="0.39997558519241921"/>
  </sheetPr>
  <dimension ref="A1:X312"/>
  <sheetViews>
    <sheetView workbookViewId="0">
      <pane xSplit="2" ySplit="5" topLeftCell="C6" activePane="bottomRight" state="frozen"/>
      <selection pane="topRight" activeCell="C1" sqref="C1"/>
      <selection pane="bottomLeft" activeCell="A6" sqref="A6"/>
      <selection pane="bottomRight"/>
    </sheetView>
  </sheetViews>
  <sheetFormatPr baseColWidth="10" defaultColWidth="10.75" defaultRowHeight="15" x14ac:dyDescent="0.25"/>
  <cols>
    <col min="1" max="1" width="7.25" style="10" customWidth="1"/>
    <col min="2" max="2" width="21.375" style="10" customWidth="1"/>
    <col min="3" max="3" width="12.625" style="10" bestFit="1" customWidth="1"/>
    <col min="4" max="4" width="13.25" style="10" customWidth="1"/>
    <col min="5" max="6" width="13.125" style="10" customWidth="1"/>
    <col min="7" max="7" width="13.125" style="146" customWidth="1"/>
    <col min="8" max="9" width="13.125" style="10" customWidth="1"/>
    <col min="10" max="10" width="9.125" style="12" customWidth="1"/>
    <col min="11" max="11" width="10.625" style="12" customWidth="1"/>
    <col min="12" max="13" width="12.125" style="10" customWidth="1"/>
    <col min="14" max="16" width="8.125" style="10" customWidth="1"/>
    <col min="17" max="16384" width="10.75" style="10"/>
  </cols>
  <sheetData>
    <row r="1" spans="1:24" s="200" customFormat="1" ht="26.25" x14ac:dyDescent="0.4">
      <c r="A1" s="187" t="s">
        <v>398</v>
      </c>
      <c r="B1" s="192"/>
      <c r="C1" s="287" t="s">
        <v>402</v>
      </c>
      <c r="D1" s="208" t="s">
        <v>394</v>
      </c>
      <c r="E1" s="348" t="s">
        <v>403</v>
      </c>
      <c r="H1" s="201"/>
      <c r="I1" s="202"/>
      <c r="J1" s="199"/>
      <c r="K1" s="203"/>
      <c r="L1" s="194"/>
      <c r="M1" s="194"/>
      <c r="N1" s="194"/>
      <c r="O1" s="194"/>
      <c r="P1" s="194"/>
      <c r="W1" s="194"/>
    </row>
    <row r="2" spans="1:24" s="32" customFormat="1" ht="15.75" x14ac:dyDescent="0.25">
      <c r="A2" s="253" t="str">
        <f>Paramètres!B4</f>
        <v>Décompte 2024</v>
      </c>
      <c r="B2" s="31"/>
      <c r="C2" s="148"/>
      <c r="D2" s="148"/>
      <c r="E2" s="148"/>
      <c r="F2" s="148"/>
      <c r="G2" s="148"/>
      <c r="H2" s="148"/>
      <c r="I2" s="148"/>
      <c r="J2" s="76"/>
      <c r="K2" s="77"/>
      <c r="M2" s="146"/>
      <c r="N2" s="146"/>
      <c r="O2" s="146"/>
      <c r="P2" s="146"/>
      <c r="Q2" s="146"/>
      <c r="X2" s="146"/>
    </row>
    <row r="3" spans="1:24" ht="20.100000000000001" customHeight="1" x14ac:dyDescent="0.25"/>
    <row r="4" spans="1:24" s="215" customFormat="1" ht="43.5" customHeight="1" x14ac:dyDescent="0.2">
      <c r="A4" s="763" t="s">
        <v>44</v>
      </c>
      <c r="B4" s="763" t="s">
        <v>84</v>
      </c>
      <c r="C4" s="763" t="s">
        <v>490</v>
      </c>
      <c r="D4" s="763" t="s">
        <v>526</v>
      </c>
      <c r="E4" s="763" t="s">
        <v>496</v>
      </c>
      <c r="F4" s="763" t="s">
        <v>497</v>
      </c>
      <c r="G4" s="775" t="s">
        <v>498</v>
      </c>
      <c r="H4" s="763" t="s">
        <v>430</v>
      </c>
      <c r="I4" s="777" t="s">
        <v>431</v>
      </c>
      <c r="J4" s="360" t="s">
        <v>429</v>
      </c>
      <c r="K4" s="775" t="s">
        <v>433</v>
      </c>
      <c r="L4" s="77"/>
    </row>
    <row r="5" spans="1:24" x14ac:dyDescent="0.25">
      <c r="A5" s="765"/>
      <c r="B5" s="765"/>
      <c r="C5" s="765"/>
      <c r="D5" s="764"/>
      <c r="E5" s="765"/>
      <c r="F5" s="765"/>
      <c r="G5" s="776"/>
      <c r="H5" s="765"/>
      <c r="I5" s="778"/>
      <c r="J5" s="260">
        <f>Paramètres!B44</f>
        <v>48</v>
      </c>
      <c r="K5" s="776"/>
      <c r="L5" s="12"/>
    </row>
    <row r="6" spans="1:24" x14ac:dyDescent="0.25">
      <c r="A6" s="37">
        <f>Données!A6</f>
        <v>5401</v>
      </c>
      <c r="B6" s="125" t="str">
        <f>Données!B6</f>
        <v>Aigle</v>
      </c>
      <c r="C6" s="247">
        <f>VPI!R6</f>
        <v>311614.01419191912</v>
      </c>
      <c r="D6" s="630">
        <f>(PCS!I12-PCS!F12)/C6</f>
        <v>11.042630695993058</v>
      </c>
      <c r="E6" s="631">
        <f>'Péréquation directe'!E12/C6</f>
        <v>-22.481496263707893</v>
      </c>
      <c r="F6" s="630">
        <f>'Péréquation directe'!F12/Effort!C6</f>
        <v>-15.479587033771349</v>
      </c>
      <c r="G6" s="630">
        <f>'Péréquation directe'!G12/Effort!C6</f>
        <v>-13.240886246001981</v>
      </c>
      <c r="H6" s="630">
        <f>'Péréquation directe'!J12/Effort!C6</f>
        <v>19.619554427615387</v>
      </c>
      <c r="I6" s="632">
        <f>SUM(D6:H6)</f>
        <v>-20.539784419872777</v>
      </c>
      <c r="J6" s="149">
        <f>IF(I6&gt;J$5,I6-J$5,0)</f>
        <v>0</v>
      </c>
      <c r="K6" s="41">
        <f>-J6*C6</f>
        <v>0</v>
      </c>
      <c r="L6" s="12"/>
    </row>
    <row r="7" spans="1:24" x14ac:dyDescent="0.25">
      <c r="A7" s="37">
        <f>Données!A7</f>
        <v>5402</v>
      </c>
      <c r="B7" s="125" t="str">
        <f>Données!B7</f>
        <v>Bex</v>
      </c>
      <c r="C7" s="247">
        <f>VPI!R7</f>
        <v>199600.34901408452</v>
      </c>
      <c r="D7" s="633">
        <f>(PCS!I13-PCS!F13)/C7</f>
        <v>11.042630695993058</v>
      </c>
      <c r="E7" s="634">
        <f>'Péréquation directe'!E13/C7</f>
        <v>-21.888760450232578</v>
      </c>
      <c r="F7" s="633">
        <f>'Péréquation directe'!F13/Effort!C7</f>
        <v>-24.272989066481319</v>
      </c>
      <c r="G7" s="633">
        <f>'Péréquation directe'!G13/Effort!C7</f>
        <v>-14.994971422766904</v>
      </c>
      <c r="H7" s="633">
        <f>'Péréquation directe'!J13/Effort!C7</f>
        <v>19.619554427615387</v>
      </c>
      <c r="I7" s="635">
        <f t="shared" ref="I7:I70" si="0">SUM(D7:H7)</f>
        <v>-30.494535815872357</v>
      </c>
      <c r="J7" s="149">
        <f t="shared" ref="J7:J70" si="1">IF(I7&gt;J$5,I7-J$5,0)</f>
        <v>0</v>
      </c>
      <c r="K7" s="41">
        <f t="shared" ref="K7:K70" si="2">-J7*C7</f>
        <v>0</v>
      </c>
      <c r="L7" s="159"/>
    </row>
    <row r="8" spans="1:24" x14ac:dyDescent="0.25">
      <c r="A8" s="37">
        <f>Données!A8</f>
        <v>5403</v>
      </c>
      <c r="B8" s="125" t="str">
        <f>Données!B8</f>
        <v>Chessel</v>
      </c>
      <c r="C8" s="247">
        <f>VPI!R8</f>
        <v>12200.842307692306</v>
      </c>
      <c r="D8" s="633">
        <f>(PCS!I14-PCS!F14)/C8</f>
        <v>11.042630695993056</v>
      </c>
      <c r="E8" s="634">
        <f>'Péréquation directe'!E14/C8</f>
        <v>-5.7523158501360774</v>
      </c>
      <c r="F8" s="633">
        <f>'Péréquation directe'!F14/Effort!C8</f>
        <v>-19.632827793390469</v>
      </c>
      <c r="G8" s="633">
        <f>'Péréquation directe'!G14/Effort!C8</f>
        <v>-1.6282668154207554</v>
      </c>
      <c r="H8" s="633">
        <f>'Péréquation directe'!J14/Effort!C8</f>
        <v>19.619554427615387</v>
      </c>
      <c r="I8" s="635">
        <f t="shared" si="0"/>
        <v>3.6487746646611434</v>
      </c>
      <c r="J8" s="149">
        <f t="shared" si="1"/>
        <v>0</v>
      </c>
      <c r="K8" s="41">
        <f t="shared" si="2"/>
        <v>0</v>
      </c>
      <c r="L8" s="159"/>
    </row>
    <row r="9" spans="1:24" x14ac:dyDescent="0.25">
      <c r="A9" s="37">
        <f>Données!A9</f>
        <v>5404</v>
      </c>
      <c r="B9" s="125" t="str">
        <f>Données!B9</f>
        <v>Corbeyrier</v>
      </c>
      <c r="C9" s="247">
        <f>VPI!R9</f>
        <v>12100.787342342343</v>
      </c>
      <c r="D9" s="633">
        <f>(PCS!I15-PCS!F15)/C9</f>
        <v>11.042630695993056</v>
      </c>
      <c r="E9" s="634">
        <f>'Péréquation directe'!E15/C9</f>
        <v>-4.9650476630773603</v>
      </c>
      <c r="F9" s="633">
        <f>'Péréquation directe'!F15/Effort!C9</f>
        <v>-18.967135349192624</v>
      </c>
      <c r="G9" s="633">
        <f>'Péréquation directe'!G15/Effort!C9</f>
        <v>-17.155761924405493</v>
      </c>
      <c r="H9" s="633">
        <f>'Péréquation directe'!J15/Effort!C9</f>
        <v>19.619554427615387</v>
      </c>
      <c r="I9" s="635">
        <f t="shared" si="0"/>
        <v>-10.425759813067035</v>
      </c>
      <c r="J9" s="149">
        <f t="shared" si="1"/>
        <v>0</v>
      </c>
      <c r="K9" s="41">
        <f t="shared" si="2"/>
        <v>0</v>
      </c>
      <c r="L9" s="159"/>
    </row>
    <row r="10" spans="1:24" x14ac:dyDescent="0.25">
      <c r="A10" s="37">
        <f>Données!A10</f>
        <v>5405</v>
      </c>
      <c r="B10" s="125" t="str">
        <f>Données!B10</f>
        <v>Gryon</v>
      </c>
      <c r="C10" s="247">
        <f>VPI!R10</f>
        <v>80049.808163265319</v>
      </c>
      <c r="D10" s="633">
        <f>(PCS!I16-PCS!F16)/C10</f>
        <v>11.750091074795032</v>
      </c>
      <c r="E10" s="634">
        <f>'Péréquation directe'!E16/C10</f>
        <v>-4.1014297161363551</v>
      </c>
      <c r="F10" s="633">
        <f>'Péréquation directe'!F16/Effort!C10</f>
        <v>0</v>
      </c>
      <c r="G10" s="633">
        <f>'Péréquation directe'!G16/Effort!C10</f>
        <v>-11.47689298220466</v>
      </c>
      <c r="H10" s="633">
        <f>'Péréquation directe'!J16/Effort!C10</f>
        <v>19.619554427615387</v>
      </c>
      <c r="I10" s="635">
        <f t="shared" si="0"/>
        <v>15.791322804069404</v>
      </c>
      <c r="J10" s="149">
        <f t="shared" si="1"/>
        <v>0</v>
      </c>
      <c r="K10" s="41">
        <f t="shared" si="2"/>
        <v>0</v>
      </c>
      <c r="L10" s="159"/>
    </row>
    <row r="11" spans="1:24" x14ac:dyDescent="0.25">
      <c r="A11" s="37">
        <f>Données!A11</f>
        <v>5406</v>
      </c>
      <c r="B11" s="125" t="str">
        <f>Données!B11</f>
        <v>Lavey-Morcles</v>
      </c>
      <c r="C11" s="247">
        <f>VPI!R11</f>
        <v>23811.433641742868</v>
      </c>
      <c r="D11" s="633">
        <f>(PCS!I17-PCS!F17)/C11</f>
        <v>11.042630695993056</v>
      </c>
      <c r="E11" s="634">
        <f>'Péréquation directe'!E17/C11</f>
        <v>-5.8011248154917352</v>
      </c>
      <c r="F11" s="633">
        <f>'Péréquation directe'!F17/Effort!C11</f>
        <v>-23.049932464984355</v>
      </c>
      <c r="G11" s="633">
        <f>'Péréquation directe'!G17/Effort!C11</f>
        <v>-10.607110076137921</v>
      </c>
      <c r="H11" s="633">
        <f>'Péréquation directe'!J17/Effort!C11</f>
        <v>19.619554427615387</v>
      </c>
      <c r="I11" s="635">
        <f t="shared" si="0"/>
        <v>-8.7959822330055673</v>
      </c>
      <c r="J11" s="149">
        <f t="shared" si="1"/>
        <v>0</v>
      </c>
      <c r="K11" s="41">
        <f t="shared" si="2"/>
        <v>0</v>
      </c>
      <c r="L11" s="159"/>
    </row>
    <row r="12" spans="1:24" x14ac:dyDescent="0.25">
      <c r="A12" s="37">
        <f>Données!A12</f>
        <v>5407</v>
      </c>
      <c r="B12" s="125" t="str">
        <f>Données!B12</f>
        <v>Leysin</v>
      </c>
      <c r="C12" s="247">
        <f>VPI!R12</f>
        <v>94315.702863247876</v>
      </c>
      <c r="D12" s="633">
        <f>(PCS!I18-PCS!F18)/C12</f>
        <v>11.042630695993056</v>
      </c>
      <c r="E12" s="634">
        <f>'Péréquation directe'!E18/C12</f>
        <v>-13.163200200854517</v>
      </c>
      <c r="F12" s="633">
        <f>'Péréquation directe'!F18/Effort!C12</f>
        <v>-23.160981648257081</v>
      </c>
      <c r="G12" s="633">
        <f>'Péréquation directe'!G18/Effort!C12</f>
        <v>-14.916617910865176</v>
      </c>
      <c r="H12" s="633">
        <f>'Péréquation directe'!J18/Effort!C12</f>
        <v>19.619554427615387</v>
      </c>
      <c r="I12" s="635">
        <f t="shared" si="0"/>
        <v>-20.578614636368332</v>
      </c>
      <c r="J12" s="149">
        <f t="shared" si="1"/>
        <v>0</v>
      </c>
      <c r="K12" s="41">
        <f t="shared" si="2"/>
        <v>0</v>
      </c>
      <c r="L12" s="159"/>
    </row>
    <row r="13" spans="1:24" x14ac:dyDescent="0.25">
      <c r="A13" s="37">
        <f>Données!A13</f>
        <v>5408</v>
      </c>
      <c r="B13" s="125" t="str">
        <f>Données!B13</f>
        <v>Noville</v>
      </c>
      <c r="C13" s="247">
        <f>VPI!R13</f>
        <v>41741.779422222215</v>
      </c>
      <c r="D13" s="633">
        <f>(PCS!I19-PCS!F19)/C13</f>
        <v>11.042630695993054</v>
      </c>
      <c r="E13" s="634">
        <f>'Péréquation directe'!E19/C13</f>
        <v>-5.0389950459642412</v>
      </c>
      <c r="F13" s="633">
        <f>'Péréquation directe'!F19/Effort!C13</f>
        <v>-10.029764462726657</v>
      </c>
      <c r="G13" s="633">
        <f>'Péréquation directe'!G19/Effort!C13</f>
        <v>-0.98464970960115172</v>
      </c>
      <c r="H13" s="633">
        <f>'Péréquation directe'!J19/Effort!C13</f>
        <v>19.619554427615387</v>
      </c>
      <c r="I13" s="635">
        <f t="shared" si="0"/>
        <v>14.608775905316392</v>
      </c>
      <c r="J13" s="149">
        <f t="shared" si="1"/>
        <v>0</v>
      </c>
      <c r="K13" s="41">
        <f t="shared" si="2"/>
        <v>0</v>
      </c>
      <c r="L13" s="159"/>
    </row>
    <row r="14" spans="1:24" x14ac:dyDescent="0.25">
      <c r="A14" s="37">
        <f>Données!A14</f>
        <v>5409</v>
      </c>
      <c r="B14" s="125" t="str">
        <f>Données!B14</f>
        <v>Ollon</v>
      </c>
      <c r="C14" s="247">
        <f>VPI!R14</f>
        <v>429709.0160746607</v>
      </c>
      <c r="D14" s="633">
        <f>(PCS!I20-PCS!F20)/C14</f>
        <v>11.64058832063016</v>
      </c>
      <c r="E14" s="634">
        <f>'Péréquation directe'!E20/C14</f>
        <v>-9.300237195752775</v>
      </c>
      <c r="F14" s="633">
        <f>'Péréquation directe'!F20/Effort!C14</f>
        <v>0</v>
      </c>
      <c r="G14" s="633">
        <f>'Péréquation directe'!G20/Effort!C14</f>
        <v>-8.1793355121291125</v>
      </c>
      <c r="H14" s="633">
        <f>'Péréquation directe'!J20/Effort!C14</f>
        <v>19.619554427615387</v>
      </c>
      <c r="I14" s="635">
        <f t="shared" si="0"/>
        <v>13.78057004036366</v>
      </c>
      <c r="J14" s="149">
        <f t="shared" si="1"/>
        <v>0</v>
      </c>
      <c r="K14" s="41">
        <f t="shared" si="2"/>
        <v>0</v>
      </c>
      <c r="L14" s="159"/>
    </row>
    <row r="15" spans="1:24" x14ac:dyDescent="0.25">
      <c r="A15" s="37">
        <f>Données!A15</f>
        <v>5410</v>
      </c>
      <c r="B15" s="125" t="str">
        <f>Données!B15</f>
        <v>Ormont-Dessous</v>
      </c>
      <c r="C15" s="247">
        <f>VPI!R15</f>
        <v>39461.333506493509</v>
      </c>
      <c r="D15" s="633">
        <f>(PCS!I21-PCS!F21)/C15</f>
        <v>11.042630695993058</v>
      </c>
      <c r="E15" s="634">
        <f>'Péréquation directe'!E21/C15</f>
        <v>-5.6697326569257758</v>
      </c>
      <c r="F15" s="633">
        <f>'Péréquation directe'!F21/Effort!C15</f>
        <v>-13.633098879192799</v>
      </c>
      <c r="G15" s="633">
        <f>'Péréquation directe'!G21/Effort!C15</f>
        <v>-44.448679715483799</v>
      </c>
      <c r="H15" s="633">
        <f>'Péréquation directe'!J21/Effort!C15</f>
        <v>19.619554427615387</v>
      </c>
      <c r="I15" s="635">
        <f t="shared" si="0"/>
        <v>-33.089326127993928</v>
      </c>
      <c r="J15" s="149">
        <f t="shared" si="1"/>
        <v>0</v>
      </c>
      <c r="K15" s="41">
        <f t="shared" si="2"/>
        <v>0</v>
      </c>
      <c r="L15" s="159"/>
    </row>
    <row r="16" spans="1:24" x14ac:dyDescent="0.25">
      <c r="A16" s="37">
        <f>Données!A16</f>
        <v>5411</v>
      </c>
      <c r="B16" s="125" t="str">
        <f>Données!B16</f>
        <v>Ormont-Dessus</v>
      </c>
      <c r="C16" s="247">
        <f>VPI!R16</f>
        <v>82773.582149122798</v>
      </c>
      <c r="D16" s="633">
        <f>(PCS!I22-PCS!F22)/C16</f>
        <v>13.076037999067992</v>
      </c>
      <c r="E16" s="634">
        <f>'Péréquation directe'!E22/C16</f>
        <v>-3.5617907965786393</v>
      </c>
      <c r="F16" s="633">
        <f>'Péréquation directe'!F22/Effort!C16</f>
        <v>0</v>
      </c>
      <c r="G16" s="633">
        <f>'Péréquation directe'!G22/Effort!C16</f>
        <v>-6.3873134388929911</v>
      </c>
      <c r="H16" s="633">
        <f>'Péréquation directe'!J22/Effort!C16</f>
        <v>19.619554427615387</v>
      </c>
      <c r="I16" s="635">
        <f t="shared" si="0"/>
        <v>22.74648819121175</v>
      </c>
      <c r="J16" s="149">
        <f t="shared" si="1"/>
        <v>0</v>
      </c>
      <c r="K16" s="41">
        <f t="shared" si="2"/>
        <v>0</v>
      </c>
      <c r="L16" s="159"/>
    </row>
    <row r="17" spans="1:12" x14ac:dyDescent="0.25">
      <c r="A17" s="37">
        <f>Données!A17</f>
        <v>5412</v>
      </c>
      <c r="B17" s="125" t="str">
        <f>Données!B17</f>
        <v>Rennaz</v>
      </c>
      <c r="C17" s="247">
        <f>VPI!R17</f>
        <v>31259.838939393936</v>
      </c>
      <c r="D17" s="633">
        <f>(PCS!I23-PCS!F23)/C17</f>
        <v>11.042630695993054</v>
      </c>
      <c r="E17" s="634">
        <f>'Péréquation directe'!E23/C17</f>
        <v>-4.0353210443616767</v>
      </c>
      <c r="F17" s="633">
        <f>'Péréquation directe'!F23/Effort!C17</f>
        <v>-9.0014698861921563</v>
      </c>
      <c r="G17" s="633">
        <f>'Péréquation directe'!G23/Effort!C17</f>
        <v>-3.556093899832244</v>
      </c>
      <c r="H17" s="633">
        <f>'Péréquation directe'!J23/Effort!C17</f>
        <v>19.619554427615387</v>
      </c>
      <c r="I17" s="635">
        <f t="shared" si="0"/>
        <v>14.069300293222366</v>
      </c>
      <c r="J17" s="149">
        <f t="shared" si="1"/>
        <v>0</v>
      </c>
      <c r="K17" s="41">
        <f t="shared" si="2"/>
        <v>0</v>
      </c>
      <c r="L17" s="159"/>
    </row>
    <row r="18" spans="1:12" x14ac:dyDescent="0.25">
      <c r="A18" s="37">
        <f>Données!A18</f>
        <v>5413</v>
      </c>
      <c r="B18" s="125" t="str">
        <f>Données!B18</f>
        <v>Roche</v>
      </c>
      <c r="C18" s="247">
        <f>VPI!R18</f>
        <v>41768.164926470592</v>
      </c>
      <c r="D18" s="633">
        <f>(PCS!I24-PCS!F24)/C18</f>
        <v>11.042630695993056</v>
      </c>
      <c r="E18" s="634">
        <f>'Péréquation directe'!E24/C18</f>
        <v>-12.057434227599575</v>
      </c>
      <c r="F18" s="633">
        <f>'Péréquation directe'!F24/Effort!C18</f>
        <v>-25.654529306010673</v>
      </c>
      <c r="G18" s="633">
        <f>'Péréquation directe'!G24/Effort!C18</f>
        <v>-3.0909910945362062</v>
      </c>
      <c r="H18" s="633">
        <f>'Péréquation directe'!J24/Effort!C18</f>
        <v>19.619554427615387</v>
      </c>
      <c r="I18" s="635">
        <f t="shared" si="0"/>
        <v>-10.14076950453801</v>
      </c>
      <c r="J18" s="149">
        <f t="shared" si="1"/>
        <v>0</v>
      </c>
      <c r="K18" s="41">
        <f t="shared" si="2"/>
        <v>0</v>
      </c>
      <c r="L18" s="159"/>
    </row>
    <row r="19" spans="1:12" x14ac:dyDescent="0.25">
      <c r="A19" s="37">
        <f>Données!A19</f>
        <v>5414</v>
      </c>
      <c r="B19" s="125" t="str">
        <f>Données!B19</f>
        <v>Villeneuve</v>
      </c>
      <c r="C19" s="247">
        <f>VPI!R19</f>
        <v>175995.0642105263</v>
      </c>
      <c r="D19" s="633">
        <f>(PCS!I25-PCS!F25)/C19</f>
        <v>11.042630695993058</v>
      </c>
      <c r="E19" s="634">
        <f>'Péréquation directe'!E25/C19</f>
        <v>-14.793484654636242</v>
      </c>
      <c r="F19" s="633">
        <f>'Péréquation directe'!F25/Effort!C19</f>
        <v>-12.632217553094243</v>
      </c>
      <c r="G19" s="633">
        <f>'Péréquation directe'!G25/Effort!C19</f>
        <v>-12.712884562170002</v>
      </c>
      <c r="H19" s="633">
        <f>'Péréquation directe'!J25/Effort!C19</f>
        <v>19.619554427615387</v>
      </c>
      <c r="I19" s="635">
        <f t="shared" si="0"/>
        <v>-9.4764016462920431</v>
      </c>
      <c r="J19" s="149">
        <f t="shared" si="1"/>
        <v>0</v>
      </c>
      <c r="K19" s="41">
        <f t="shared" si="2"/>
        <v>0</v>
      </c>
      <c r="L19" s="159"/>
    </row>
    <row r="20" spans="1:12" x14ac:dyDescent="0.25">
      <c r="A20" s="37">
        <f>Données!A20</f>
        <v>5415</v>
      </c>
      <c r="B20" s="125" t="str">
        <f>Données!B20</f>
        <v>Yvorne</v>
      </c>
      <c r="C20" s="247">
        <f>VPI!R20</f>
        <v>36884.950722610716</v>
      </c>
      <c r="D20" s="633">
        <f>(PCS!I26-PCS!F26)/C20</f>
        <v>11.042630695993056</v>
      </c>
      <c r="E20" s="634">
        <f>'Péréquation directe'!E26/C20</f>
        <v>-4.7136480502265945</v>
      </c>
      <c r="F20" s="633">
        <f>'Péréquation directe'!F26/Effort!C20</f>
        <v>-10.29373424610135</v>
      </c>
      <c r="G20" s="633">
        <f>'Péréquation directe'!G26/Effort!C20</f>
        <v>-7.7729185687583593</v>
      </c>
      <c r="H20" s="633">
        <f>'Péréquation directe'!J26/Effort!C20</f>
        <v>19.619554427615387</v>
      </c>
      <c r="I20" s="635">
        <f t="shared" si="0"/>
        <v>7.88188425852214</v>
      </c>
      <c r="J20" s="149">
        <f t="shared" si="1"/>
        <v>0</v>
      </c>
      <c r="K20" s="41">
        <f t="shared" si="2"/>
        <v>0</v>
      </c>
      <c r="L20" s="159"/>
    </row>
    <row r="21" spans="1:12" x14ac:dyDescent="0.25">
      <c r="A21" s="37">
        <f>Données!A21</f>
        <v>5422</v>
      </c>
      <c r="B21" s="125" t="str">
        <f>Données!B21</f>
        <v>Aubonne</v>
      </c>
      <c r="C21" s="247">
        <f>VPI!R21</f>
        <v>367761.87779411761</v>
      </c>
      <c r="D21" s="633">
        <f>(PCS!I27-PCS!F27)/C21</f>
        <v>21.473058089606653</v>
      </c>
      <c r="E21" s="634">
        <f>'Péréquation directe'!E27/C21</f>
        <v>-3.6317131123376591</v>
      </c>
      <c r="F21" s="633">
        <f>'Péréquation directe'!F27/Effort!C21</f>
        <v>0</v>
      </c>
      <c r="G21" s="633">
        <f>'Péréquation directe'!G27/Effort!C21</f>
        <v>0</v>
      </c>
      <c r="H21" s="633">
        <f>'Péréquation directe'!J27/Effort!C21</f>
        <v>19.619554427615387</v>
      </c>
      <c r="I21" s="635">
        <f t="shared" si="0"/>
        <v>37.46089940488438</v>
      </c>
      <c r="J21" s="149">
        <f t="shared" si="1"/>
        <v>0</v>
      </c>
      <c r="K21" s="41">
        <f t="shared" si="2"/>
        <v>0</v>
      </c>
      <c r="L21" s="159"/>
    </row>
    <row r="22" spans="1:12" x14ac:dyDescent="0.25">
      <c r="A22" s="37">
        <f>Données!A22</f>
        <v>5423</v>
      </c>
      <c r="B22" s="125" t="str">
        <f>Données!B22</f>
        <v>Ballens</v>
      </c>
      <c r="C22" s="247">
        <f>VPI!R22</f>
        <v>16526.279041095891</v>
      </c>
      <c r="D22" s="633">
        <f>(PCS!I28-PCS!F28)/C22</f>
        <v>11.042630695993056</v>
      </c>
      <c r="E22" s="634">
        <f>'Péréquation directe'!E28/C22</f>
        <v>-4.6569556096652001</v>
      </c>
      <c r="F22" s="633">
        <f>'Péréquation directe'!F28/Effort!C22</f>
        <v>-15.990575685279161</v>
      </c>
      <c r="G22" s="633">
        <f>'Péréquation directe'!G28/Effort!C22</f>
        <v>-10.403088356166533</v>
      </c>
      <c r="H22" s="633">
        <f>'Péréquation directe'!J28/Effort!C22</f>
        <v>19.619554427615387</v>
      </c>
      <c r="I22" s="635">
        <f t="shared" si="0"/>
        <v>-0.38843452750245078</v>
      </c>
      <c r="J22" s="149">
        <f t="shared" si="1"/>
        <v>0</v>
      </c>
      <c r="K22" s="41">
        <f t="shared" si="2"/>
        <v>0</v>
      </c>
      <c r="L22" s="159"/>
    </row>
    <row r="23" spans="1:12" x14ac:dyDescent="0.25">
      <c r="A23" s="37">
        <f>Données!A23</f>
        <v>5424</v>
      </c>
      <c r="B23" s="125" t="str">
        <f>Données!B23</f>
        <v>Berolle</v>
      </c>
      <c r="C23" s="247">
        <f>VPI!R23</f>
        <v>9736.045430463575</v>
      </c>
      <c r="D23" s="633">
        <f>(PCS!I29-PCS!F29)/C23</f>
        <v>11.042630695993058</v>
      </c>
      <c r="E23" s="634">
        <f>'Péréquation directe'!E29/C23</f>
        <v>-4.1367440668460791</v>
      </c>
      <c r="F23" s="633">
        <f>'Péréquation directe'!F29/Effort!C23</f>
        <v>-12.648146821341671</v>
      </c>
      <c r="G23" s="633">
        <f>'Péréquation directe'!G29/Effort!C23</f>
        <v>-9.4021144439762185</v>
      </c>
      <c r="H23" s="633">
        <f>'Péréquation directe'!J29/Effort!C23</f>
        <v>19.619554427615387</v>
      </c>
      <c r="I23" s="635">
        <f t="shared" si="0"/>
        <v>4.4751797914444769</v>
      </c>
      <c r="J23" s="149">
        <f t="shared" si="1"/>
        <v>0</v>
      </c>
      <c r="K23" s="41">
        <f t="shared" si="2"/>
        <v>0</v>
      </c>
      <c r="L23" s="159"/>
    </row>
    <row r="24" spans="1:12" x14ac:dyDescent="0.25">
      <c r="A24" s="37">
        <f>Données!A24</f>
        <v>5425</v>
      </c>
      <c r="B24" s="125" t="str">
        <f>Données!B24</f>
        <v>Bière</v>
      </c>
      <c r="C24" s="247">
        <f>VPI!R24</f>
        <v>44858.928245877061</v>
      </c>
      <c r="D24" s="633">
        <f>(PCS!I30-PCS!F30)/C24</f>
        <v>11.042630695993058</v>
      </c>
      <c r="E24" s="634">
        <f>'Péréquation directe'!E30/C24</f>
        <v>-8.6049100446129945</v>
      </c>
      <c r="F24" s="633">
        <f>'Péréquation directe'!F30/Effort!C24</f>
        <v>-16.583612599055154</v>
      </c>
      <c r="G24" s="633">
        <f>'Péréquation directe'!G30/Effort!C24</f>
        <v>-16.456095757126654</v>
      </c>
      <c r="H24" s="633">
        <f>'Péréquation directe'!J30/Effort!C24</f>
        <v>19.619554427615387</v>
      </c>
      <c r="I24" s="635">
        <f t="shared" si="0"/>
        <v>-10.982433277186356</v>
      </c>
      <c r="J24" s="149">
        <f t="shared" si="1"/>
        <v>0</v>
      </c>
      <c r="K24" s="41">
        <f t="shared" si="2"/>
        <v>0</v>
      </c>
      <c r="L24" s="159"/>
    </row>
    <row r="25" spans="1:12" x14ac:dyDescent="0.25">
      <c r="A25" s="37">
        <f>Données!A25</f>
        <v>5426</v>
      </c>
      <c r="B25" s="125" t="str">
        <f>Données!B25</f>
        <v>Bougy-Villars</v>
      </c>
      <c r="C25" s="247">
        <f>VPI!R25</f>
        <v>68704.794547803613</v>
      </c>
      <c r="D25" s="633">
        <f>(PCS!I31-PCS!F31)/C25</f>
        <v>27.232908274675079</v>
      </c>
      <c r="E25" s="634">
        <f>'Péréquation directe'!E31/C25</f>
        <v>-0.98862700834798056</v>
      </c>
      <c r="F25" s="633">
        <f>'Péréquation directe'!F31/Effort!C25</f>
        <v>0</v>
      </c>
      <c r="G25" s="633">
        <f>'Péréquation directe'!G31/Effort!C25</f>
        <v>0</v>
      </c>
      <c r="H25" s="633">
        <f>'Péréquation directe'!J31/Effort!C25</f>
        <v>19.619554427615387</v>
      </c>
      <c r="I25" s="635">
        <f t="shared" si="0"/>
        <v>45.863835693942491</v>
      </c>
      <c r="J25" s="149">
        <f t="shared" si="1"/>
        <v>0</v>
      </c>
      <c r="K25" s="41">
        <f t="shared" si="2"/>
        <v>0</v>
      </c>
      <c r="L25" s="159"/>
    </row>
    <row r="26" spans="1:12" x14ac:dyDescent="0.25">
      <c r="A26" s="37">
        <f>Données!A26</f>
        <v>5427</v>
      </c>
      <c r="B26" s="125" t="str">
        <f>Données!B26</f>
        <v>Féchy</v>
      </c>
      <c r="C26" s="247">
        <f>VPI!R26</f>
        <v>103018.21625</v>
      </c>
      <c r="D26" s="633">
        <f>(PCS!I32-PCS!F32)/C26</f>
        <v>23.929759871503535</v>
      </c>
      <c r="E26" s="634">
        <f>'Péréquation directe'!E32/C26</f>
        <v>-1.185769025185921</v>
      </c>
      <c r="F26" s="633">
        <f>'Péréquation directe'!F32/Effort!C26</f>
        <v>0</v>
      </c>
      <c r="G26" s="633">
        <f>'Péréquation directe'!G32/Effort!C26</f>
        <v>0</v>
      </c>
      <c r="H26" s="633">
        <f>'Péréquation directe'!J32/Effort!C26</f>
        <v>19.619554427615387</v>
      </c>
      <c r="I26" s="635">
        <f t="shared" si="0"/>
        <v>42.363545273932999</v>
      </c>
      <c r="J26" s="149">
        <f t="shared" si="1"/>
        <v>0</v>
      </c>
      <c r="K26" s="41">
        <f t="shared" si="2"/>
        <v>0</v>
      </c>
      <c r="L26" s="159"/>
    </row>
    <row r="27" spans="1:12" x14ac:dyDescent="0.25">
      <c r="A27" s="37">
        <f>Données!A27</f>
        <v>5428</v>
      </c>
      <c r="B27" s="125" t="str">
        <f>Données!B27</f>
        <v>Gimel</v>
      </c>
      <c r="C27" s="247">
        <f>VPI!R27</f>
        <v>75149.866461187237</v>
      </c>
      <c r="D27" s="633">
        <f>(PCS!I33-PCS!F33)/C27</f>
        <v>11.042630695993056</v>
      </c>
      <c r="E27" s="634">
        <f>'Péréquation directe'!E33/C27</f>
        <v>-8.9895767586846844</v>
      </c>
      <c r="F27" s="633">
        <f>'Péréquation directe'!F33/Effort!C27</f>
        <v>-13.513274811813009</v>
      </c>
      <c r="G27" s="633">
        <f>'Péréquation directe'!G33/Effort!C27</f>
        <v>-8.3760679000157463</v>
      </c>
      <c r="H27" s="633">
        <f>'Péréquation directe'!J33/Effort!C27</f>
        <v>19.619554427615387</v>
      </c>
      <c r="I27" s="635">
        <f t="shared" si="0"/>
        <v>-0.21673434690499604</v>
      </c>
      <c r="J27" s="149">
        <f t="shared" si="1"/>
        <v>0</v>
      </c>
      <c r="K27" s="41">
        <f t="shared" si="2"/>
        <v>0</v>
      </c>
      <c r="L27" s="159"/>
    </row>
    <row r="28" spans="1:12" x14ac:dyDescent="0.25">
      <c r="A28" s="37">
        <f>Données!A28</f>
        <v>5429</v>
      </c>
      <c r="B28" s="125" t="str">
        <f>Données!B28</f>
        <v>Longirod</v>
      </c>
      <c r="C28" s="247">
        <f>VPI!R28</f>
        <v>17947.478064516126</v>
      </c>
      <c r="D28" s="633">
        <f>(PCS!I34-PCS!F34)/C28</f>
        <v>11.042630695993056</v>
      </c>
      <c r="E28" s="634">
        <f>'Péréquation directe'!E34/C28</f>
        <v>-4.1104386241378279</v>
      </c>
      <c r="F28" s="633">
        <f>'Péréquation directe'!F34/Effort!C28</f>
        <v>-13.089678368012995</v>
      </c>
      <c r="G28" s="633">
        <f>'Péréquation directe'!G34/Effort!C28</f>
        <v>-6.1444481515963236</v>
      </c>
      <c r="H28" s="633">
        <f>'Péréquation directe'!J34/Effort!C28</f>
        <v>19.619554427615387</v>
      </c>
      <c r="I28" s="635">
        <f t="shared" si="0"/>
        <v>7.3176199798612966</v>
      </c>
      <c r="J28" s="149">
        <f t="shared" si="1"/>
        <v>0</v>
      </c>
      <c r="K28" s="41">
        <f t="shared" si="2"/>
        <v>0</v>
      </c>
      <c r="L28" s="159"/>
    </row>
    <row r="29" spans="1:12" x14ac:dyDescent="0.25">
      <c r="A29" s="37">
        <f>Données!A29</f>
        <v>5430</v>
      </c>
      <c r="B29" s="125" t="str">
        <f>Données!B29</f>
        <v>Marchissy</v>
      </c>
      <c r="C29" s="247">
        <f>VPI!R29</f>
        <v>16228.828774193547</v>
      </c>
      <c r="D29" s="633">
        <f>(PCS!I35-PCS!F35)/C29</f>
        <v>11.042630695993054</v>
      </c>
      <c r="E29" s="634">
        <f>'Péréquation directe'!E35/C29</f>
        <v>-4.177164840480927</v>
      </c>
      <c r="F29" s="633">
        <f>'Péréquation directe'!F35/Effort!C29</f>
        <v>-13.691978429748053</v>
      </c>
      <c r="G29" s="633">
        <f>'Péréquation directe'!G35/Effort!C29</f>
        <v>-4.6062939719132512</v>
      </c>
      <c r="H29" s="633">
        <f>'Péréquation directe'!J35/Effort!C29</f>
        <v>19.619554427615387</v>
      </c>
      <c r="I29" s="635">
        <f t="shared" si="0"/>
        <v>8.1867478814662107</v>
      </c>
      <c r="J29" s="149">
        <f t="shared" si="1"/>
        <v>0</v>
      </c>
      <c r="K29" s="41">
        <f t="shared" si="2"/>
        <v>0</v>
      </c>
      <c r="L29" s="159"/>
    </row>
    <row r="30" spans="1:12" x14ac:dyDescent="0.25">
      <c r="A30" s="37">
        <f>Données!A30</f>
        <v>5431</v>
      </c>
      <c r="B30" s="125" t="str">
        <f>Données!B30</f>
        <v>Mollens</v>
      </c>
      <c r="C30" s="247">
        <f>VPI!R30</f>
        <v>10701.336756756757</v>
      </c>
      <c r="D30" s="633">
        <f>(PCS!I36-PCS!F36)/C30</f>
        <v>11.042630695993054</v>
      </c>
      <c r="E30" s="634">
        <f>'Péréquation directe'!E36/C30</f>
        <v>-4.0244412812500769</v>
      </c>
      <c r="F30" s="633">
        <f>'Péréquation directe'!F36/Effort!C30</f>
        <v>-11.226361777498063</v>
      </c>
      <c r="G30" s="633">
        <f>'Péréquation directe'!G36/Effort!C30</f>
        <v>-8.0066028346761353</v>
      </c>
      <c r="H30" s="633">
        <f>'Péréquation directe'!J36/Effort!C30</f>
        <v>19.619554427615387</v>
      </c>
      <c r="I30" s="635">
        <f t="shared" si="0"/>
        <v>7.4047792301841664</v>
      </c>
      <c r="J30" s="149">
        <f t="shared" si="1"/>
        <v>0</v>
      </c>
      <c r="K30" s="41">
        <f t="shared" si="2"/>
        <v>0</v>
      </c>
      <c r="L30" s="159"/>
    </row>
    <row r="31" spans="1:12" x14ac:dyDescent="0.25">
      <c r="A31" s="37">
        <f>Données!A31</f>
        <v>5434</v>
      </c>
      <c r="B31" s="125" t="str">
        <f>Données!B31</f>
        <v>Saint-George</v>
      </c>
      <c r="C31" s="247">
        <f>VPI!R31</f>
        <v>50881.209304556367</v>
      </c>
      <c r="D31" s="633">
        <f>(PCS!I37-PCS!F37)/C31</f>
        <v>11.042630695993056</v>
      </c>
      <c r="E31" s="634">
        <f>'Péréquation directe'!E37/C31</f>
        <v>-3.2195329991831936</v>
      </c>
      <c r="F31" s="633">
        <f>'Péréquation directe'!F37/Effort!C31</f>
        <v>-1.2264190353215707</v>
      </c>
      <c r="G31" s="633">
        <f>'Péréquation directe'!G37/Effort!C31</f>
        <v>-1.1153262995089261</v>
      </c>
      <c r="H31" s="633">
        <f>'Péréquation directe'!J37/Effort!C31</f>
        <v>19.619554427615387</v>
      </c>
      <c r="I31" s="635">
        <f t="shared" si="0"/>
        <v>25.100906789594752</v>
      </c>
      <c r="J31" s="149">
        <f t="shared" si="1"/>
        <v>0</v>
      </c>
      <c r="K31" s="41">
        <f t="shared" si="2"/>
        <v>0</v>
      </c>
      <c r="L31" s="159"/>
    </row>
    <row r="32" spans="1:12" x14ac:dyDescent="0.25">
      <c r="A32" s="37">
        <f>Données!A32</f>
        <v>5435</v>
      </c>
      <c r="B32" s="125" t="str">
        <f>Données!B32</f>
        <v>Saint-Livres</v>
      </c>
      <c r="C32" s="247">
        <f>VPI!R32</f>
        <v>27013.42144927536</v>
      </c>
      <c r="D32" s="633">
        <f>(PCS!I38-PCS!F38)/C32</f>
        <v>11.042630695993056</v>
      </c>
      <c r="E32" s="634">
        <f>'Péréquation directe'!E38/C32</f>
        <v>-3.5182367718401615</v>
      </c>
      <c r="F32" s="633">
        <f>'Péréquation directe'!F38/Effort!C32</f>
        <v>-6.1386322614131847</v>
      </c>
      <c r="G32" s="633">
        <f>'Péréquation directe'!G38/Effort!C32</f>
        <v>-2.2866093461341577</v>
      </c>
      <c r="H32" s="633">
        <f>'Péréquation directe'!J38/Effort!C32</f>
        <v>19.619554427615384</v>
      </c>
      <c r="I32" s="635">
        <f t="shared" si="0"/>
        <v>18.718706744220935</v>
      </c>
      <c r="J32" s="149">
        <f t="shared" si="1"/>
        <v>0</v>
      </c>
      <c r="K32" s="41">
        <f t="shared" si="2"/>
        <v>0</v>
      </c>
      <c r="L32" s="159"/>
    </row>
    <row r="33" spans="1:12" x14ac:dyDescent="0.25">
      <c r="A33" s="37">
        <f>Données!A33</f>
        <v>5436</v>
      </c>
      <c r="B33" s="125" t="str">
        <f>Données!B33</f>
        <v>Saint-Oyens</v>
      </c>
      <c r="C33" s="247">
        <f>VPI!R33</f>
        <v>17587.95702531646</v>
      </c>
      <c r="D33" s="633">
        <f>(PCS!I39-PCS!F39)/C33</f>
        <v>11.042630695993054</v>
      </c>
      <c r="E33" s="634">
        <f>'Péréquation directe'!E39/C33</f>
        <v>-3.4538177745209886</v>
      </c>
      <c r="F33" s="633">
        <f>'Péréquation directe'!F39/Effort!C33</f>
        <v>-7.4426811432248163</v>
      </c>
      <c r="G33" s="633">
        <f>'Péréquation directe'!G39/Effort!C33</f>
        <v>0</v>
      </c>
      <c r="H33" s="633">
        <f>'Péréquation directe'!J39/Effort!C33</f>
        <v>19.619554427615387</v>
      </c>
      <c r="I33" s="635">
        <f t="shared" si="0"/>
        <v>19.765686205862636</v>
      </c>
      <c r="J33" s="149">
        <f t="shared" si="1"/>
        <v>0</v>
      </c>
      <c r="K33" s="41">
        <f t="shared" si="2"/>
        <v>0</v>
      </c>
      <c r="L33" s="159"/>
    </row>
    <row r="34" spans="1:12" x14ac:dyDescent="0.25">
      <c r="A34" s="37">
        <f>Données!A34</f>
        <v>5437</v>
      </c>
      <c r="B34" s="125" t="str">
        <f>Données!B34</f>
        <v>Saubraz</v>
      </c>
      <c r="C34" s="247">
        <f>VPI!R34</f>
        <v>13211.02075</v>
      </c>
      <c r="D34" s="633">
        <f>(PCS!I40-PCS!F40)/C34</f>
        <v>11.042630695993056</v>
      </c>
      <c r="E34" s="634">
        <f>'Péréquation directe'!E40/C34</f>
        <v>-4.4874239338565376</v>
      </c>
      <c r="F34" s="633">
        <f>'Péréquation directe'!F40/Effort!C34</f>
        <v>-17.573707848783886</v>
      </c>
      <c r="G34" s="633">
        <f>'Péréquation directe'!G40/Effort!C34</f>
        <v>-22.953248375542962</v>
      </c>
      <c r="H34" s="633">
        <f>'Péréquation directe'!J40/Effort!C34</f>
        <v>19.619554427615387</v>
      </c>
      <c r="I34" s="635">
        <f t="shared" si="0"/>
        <v>-14.352195034574944</v>
      </c>
      <c r="J34" s="149">
        <f t="shared" si="1"/>
        <v>0</v>
      </c>
      <c r="K34" s="41">
        <f t="shared" si="2"/>
        <v>0</v>
      </c>
      <c r="L34" s="159"/>
    </row>
    <row r="35" spans="1:12" x14ac:dyDescent="0.25">
      <c r="A35" s="37">
        <f>Données!A35</f>
        <v>5451</v>
      </c>
      <c r="B35" s="125" t="str">
        <f>Données!B35</f>
        <v>Avenches</v>
      </c>
      <c r="C35" s="247">
        <f>VPI!R35</f>
        <v>142009.89482051283</v>
      </c>
      <c r="D35" s="633">
        <f>(PCS!I41-PCS!F41)/C35</f>
        <v>11.042630695993056</v>
      </c>
      <c r="E35" s="634">
        <f>'Péréquation directe'!E41/C35</f>
        <v>-13.272607177676154</v>
      </c>
      <c r="F35" s="633">
        <f>'Péréquation directe'!F41/Effort!C35</f>
        <v>-12.200404962691897</v>
      </c>
      <c r="G35" s="633">
        <f>'Péréquation directe'!G41/Effort!C35</f>
        <v>-9.3948243471269617</v>
      </c>
      <c r="H35" s="633">
        <f>'Péréquation directe'!J41/Effort!C35</f>
        <v>19.619554427615387</v>
      </c>
      <c r="I35" s="635">
        <f t="shared" si="0"/>
        <v>-4.2056513638865702</v>
      </c>
      <c r="J35" s="149">
        <f t="shared" si="1"/>
        <v>0</v>
      </c>
      <c r="K35" s="41">
        <f t="shared" si="2"/>
        <v>0</v>
      </c>
      <c r="L35" s="159"/>
    </row>
    <row r="36" spans="1:12" x14ac:dyDescent="0.25">
      <c r="A36" s="37">
        <f>Données!A36</f>
        <v>5456</v>
      </c>
      <c r="B36" s="125" t="str">
        <f>Données!B36</f>
        <v>Cudrefin</v>
      </c>
      <c r="C36" s="247">
        <f>VPI!R36</f>
        <v>69270.195988700565</v>
      </c>
      <c r="D36" s="633">
        <f>(PCS!I42-PCS!F42)/C36</f>
        <v>11.042630695993056</v>
      </c>
      <c r="E36" s="634">
        <f>'Péréquation directe'!E42/C36</f>
        <v>-6.6739319972503086</v>
      </c>
      <c r="F36" s="633">
        <f>'Péréquation directe'!F42/Effort!C36</f>
        <v>-5.005578742534297</v>
      </c>
      <c r="G36" s="633">
        <f>'Péréquation directe'!G42/Effort!C36</f>
        <v>-3.2839497356952605</v>
      </c>
      <c r="H36" s="633">
        <f>'Péréquation directe'!J42/Effort!C36</f>
        <v>19.619554427615387</v>
      </c>
      <c r="I36" s="635">
        <f t="shared" si="0"/>
        <v>15.698724648128577</v>
      </c>
      <c r="J36" s="149">
        <f t="shared" si="1"/>
        <v>0</v>
      </c>
      <c r="K36" s="41">
        <f t="shared" si="2"/>
        <v>0</v>
      </c>
      <c r="L36" s="159"/>
    </row>
    <row r="37" spans="1:12" x14ac:dyDescent="0.25">
      <c r="A37" s="37">
        <f>Données!A37</f>
        <v>5458</v>
      </c>
      <c r="B37" s="125" t="str">
        <f>Données!B37</f>
        <v>Faoug</v>
      </c>
      <c r="C37" s="247">
        <f>VPI!R37</f>
        <v>33300.633333333331</v>
      </c>
      <c r="D37" s="633">
        <f>(PCS!I43-PCS!F43)/C37</f>
        <v>11.042630695993054</v>
      </c>
      <c r="E37" s="634">
        <f>'Péréquation directe'!E43/C37</f>
        <v>-3.5924326271114211</v>
      </c>
      <c r="F37" s="633">
        <f>'Péréquation directe'!F43/Effort!C37</f>
        <v>-5.9186432941592759</v>
      </c>
      <c r="G37" s="633">
        <f>'Péréquation directe'!G43/Effort!C37</f>
        <v>-3.0667298648311472</v>
      </c>
      <c r="H37" s="633">
        <f>'Péréquation directe'!J43/Effort!C37</f>
        <v>19.619554427615387</v>
      </c>
      <c r="I37" s="635">
        <f t="shared" si="0"/>
        <v>18.084379337506597</v>
      </c>
      <c r="J37" s="149">
        <f t="shared" si="1"/>
        <v>0</v>
      </c>
      <c r="K37" s="41">
        <f t="shared" si="2"/>
        <v>0</v>
      </c>
      <c r="L37" s="159"/>
    </row>
    <row r="38" spans="1:12" x14ac:dyDescent="0.25">
      <c r="A38" s="37">
        <f>Données!A38</f>
        <v>5464</v>
      </c>
      <c r="B38" s="125" t="str">
        <f>Données!B38</f>
        <v>Vully-les-Lacs</v>
      </c>
      <c r="C38" s="247">
        <f>VPI!R38</f>
        <v>124498.36985074625</v>
      </c>
      <c r="D38" s="633">
        <f>(PCS!I44-PCS!F44)/C38</f>
        <v>11.042630695993054</v>
      </c>
      <c r="E38" s="634">
        <f>'Péréquation directe'!E44/C38</f>
        <v>-9.7755395018697993</v>
      </c>
      <c r="F38" s="633">
        <f>'Péréquation directe'!F44/Effort!C38</f>
        <v>-8.2637725120666872</v>
      </c>
      <c r="G38" s="633">
        <f>'Péréquation directe'!G44/Effort!C38</f>
        <v>-6.2175020838279513</v>
      </c>
      <c r="H38" s="633">
        <f>'Péréquation directe'!J44/Effort!C38</f>
        <v>19.619554427615387</v>
      </c>
      <c r="I38" s="635">
        <f t="shared" si="0"/>
        <v>6.4053710258440049</v>
      </c>
      <c r="J38" s="149">
        <f t="shared" si="1"/>
        <v>0</v>
      </c>
      <c r="K38" s="41">
        <f t="shared" si="2"/>
        <v>0</v>
      </c>
      <c r="L38" s="159"/>
    </row>
    <row r="39" spans="1:12" x14ac:dyDescent="0.25">
      <c r="A39" s="37">
        <f>Données!A39</f>
        <v>5471</v>
      </c>
      <c r="B39" s="125" t="str">
        <f>Données!B39</f>
        <v>Bettens</v>
      </c>
      <c r="C39" s="247">
        <f>VPI!R39</f>
        <v>23785.854190476188</v>
      </c>
      <c r="D39" s="633">
        <f>(PCS!I45-PCS!F45)/C39</f>
        <v>11.042630695993056</v>
      </c>
      <c r="E39" s="634">
        <f>'Péréquation directe'!E45/C39</f>
        <v>-3.6491611694025963</v>
      </c>
      <c r="F39" s="633">
        <f>'Péréquation directe'!F45/Effort!C39</f>
        <v>-7.28196982692491</v>
      </c>
      <c r="G39" s="633">
        <f>'Péréquation directe'!G45/Effort!C39</f>
        <v>-0.17946343313099222</v>
      </c>
      <c r="H39" s="633">
        <f>'Péréquation directe'!J45/Effort!C39</f>
        <v>19.619554427615387</v>
      </c>
      <c r="I39" s="635">
        <f t="shared" si="0"/>
        <v>19.551590694149944</v>
      </c>
      <c r="J39" s="149">
        <f t="shared" si="1"/>
        <v>0</v>
      </c>
      <c r="K39" s="41">
        <f t="shared" si="2"/>
        <v>0</v>
      </c>
      <c r="L39" s="159"/>
    </row>
    <row r="40" spans="1:12" x14ac:dyDescent="0.25">
      <c r="A40" s="37">
        <f>Données!A40</f>
        <v>5472</v>
      </c>
      <c r="B40" s="125" t="str">
        <f>Données!B40</f>
        <v>Bournens</v>
      </c>
      <c r="C40" s="247">
        <f>VPI!R40</f>
        <v>19794.03169230769</v>
      </c>
      <c r="D40" s="633">
        <f>(PCS!I46-PCS!F46)/C40</f>
        <v>11.042630695993058</v>
      </c>
      <c r="E40" s="634">
        <f>'Péréquation directe'!E46/C40</f>
        <v>-3.5725308432175225</v>
      </c>
      <c r="F40" s="633">
        <f>'Péréquation directe'!F46/Effort!C40</f>
        <v>-5.792276862272951</v>
      </c>
      <c r="G40" s="633">
        <f>'Péréquation directe'!G46/Effort!C40</f>
        <v>-3.4448253139400613</v>
      </c>
      <c r="H40" s="633">
        <f>'Péréquation directe'!J46/Effort!C40</f>
        <v>19.619554427615387</v>
      </c>
      <c r="I40" s="635">
        <f t="shared" si="0"/>
        <v>17.85255210417791</v>
      </c>
      <c r="J40" s="149">
        <f t="shared" si="1"/>
        <v>0</v>
      </c>
      <c r="K40" s="41">
        <f t="shared" si="2"/>
        <v>0</v>
      </c>
      <c r="L40" s="159"/>
    </row>
    <row r="41" spans="1:12" x14ac:dyDescent="0.25">
      <c r="A41" s="37">
        <f>Données!A41</f>
        <v>5473</v>
      </c>
      <c r="B41" s="125" t="str">
        <f>Données!B41</f>
        <v>Boussens</v>
      </c>
      <c r="C41" s="247">
        <f>VPI!R41</f>
        <v>38638.005156250001</v>
      </c>
      <c r="D41" s="633">
        <f>(PCS!I47-PCS!F47)/C41</f>
        <v>11.042630695993056</v>
      </c>
      <c r="E41" s="634">
        <f>'Péréquation directe'!E47/C41</f>
        <v>-3.5076297638385125</v>
      </c>
      <c r="F41" s="633">
        <f>'Péréquation directe'!F47/Effort!C41</f>
        <v>-4.9490909204889988</v>
      </c>
      <c r="G41" s="633">
        <f>'Péréquation directe'!G47/Effort!C41</f>
        <v>0</v>
      </c>
      <c r="H41" s="633">
        <f>'Péréquation directe'!J47/Effort!C41</f>
        <v>19.619554427615387</v>
      </c>
      <c r="I41" s="635">
        <f t="shared" si="0"/>
        <v>22.205464439280931</v>
      </c>
      <c r="J41" s="149">
        <f t="shared" si="1"/>
        <v>0</v>
      </c>
      <c r="K41" s="41">
        <f t="shared" si="2"/>
        <v>0</v>
      </c>
      <c r="L41" s="159"/>
    </row>
    <row r="42" spans="1:12" x14ac:dyDescent="0.25">
      <c r="A42" s="37">
        <f>Données!A42</f>
        <v>5474</v>
      </c>
      <c r="B42" s="125" t="str">
        <f>Données!B42</f>
        <v>La Chaux (Cossonay)</v>
      </c>
      <c r="C42" s="247">
        <f>VPI!R42</f>
        <v>13264.060789473682</v>
      </c>
      <c r="D42" s="633">
        <f>(PCS!I48-PCS!F48)/C42</f>
        <v>11.042630695993056</v>
      </c>
      <c r="E42" s="634">
        <f>'Péréquation directe'!E48/C42</f>
        <v>-4.3692671702850578</v>
      </c>
      <c r="F42" s="633">
        <f>'Péréquation directe'!F48/Effort!C42</f>
        <v>-14.83462230093957</v>
      </c>
      <c r="G42" s="633">
        <f>'Péréquation directe'!G48/Effort!C42</f>
        <v>-8.1555955378101324</v>
      </c>
      <c r="H42" s="633">
        <f>'Péréquation directe'!J48/Effort!C42</f>
        <v>19.619554427615387</v>
      </c>
      <c r="I42" s="635">
        <f t="shared" si="0"/>
        <v>3.3027001145736854</v>
      </c>
      <c r="J42" s="149">
        <f t="shared" si="1"/>
        <v>0</v>
      </c>
      <c r="K42" s="41">
        <f t="shared" si="2"/>
        <v>0</v>
      </c>
      <c r="L42" s="159"/>
    </row>
    <row r="43" spans="1:12" x14ac:dyDescent="0.25">
      <c r="A43" s="37">
        <f>Données!A43</f>
        <v>5475</v>
      </c>
      <c r="B43" s="125" t="str">
        <f>Données!B43</f>
        <v>Chavannes-le-Veyron</v>
      </c>
      <c r="C43" s="247">
        <f>VPI!R43</f>
        <v>4088.5965333333334</v>
      </c>
      <c r="D43" s="633">
        <f>(PCS!I49-PCS!F49)/C43</f>
        <v>11.042630695993056</v>
      </c>
      <c r="E43" s="634">
        <f>'Péréquation directe'!E49/C43</f>
        <v>-5.2016885159524051</v>
      </c>
      <c r="F43" s="633">
        <f>'Péréquation directe'!F49/Effort!C43</f>
        <v>-21.483663033533805</v>
      </c>
      <c r="G43" s="633">
        <f>'Péréquation directe'!G49/Effort!C43</f>
        <v>-26.590930372686366</v>
      </c>
      <c r="H43" s="633">
        <f>'Péréquation directe'!J49/Effort!C43</f>
        <v>19.619554427615387</v>
      </c>
      <c r="I43" s="635">
        <f t="shared" si="0"/>
        <v>-22.61409679856413</v>
      </c>
      <c r="J43" s="149">
        <f t="shared" si="1"/>
        <v>0</v>
      </c>
      <c r="K43" s="41">
        <f t="shared" si="2"/>
        <v>0</v>
      </c>
      <c r="L43" s="159"/>
    </row>
    <row r="44" spans="1:12" x14ac:dyDescent="0.25">
      <c r="A44" s="37">
        <f>Données!A44</f>
        <v>5476</v>
      </c>
      <c r="B44" s="125" t="str">
        <f>Données!B44</f>
        <v>Chevilly</v>
      </c>
      <c r="C44" s="247">
        <f>VPI!R44</f>
        <v>11956.878714285715</v>
      </c>
      <c r="D44" s="633">
        <f>(PCS!I50-PCS!F50)/C44</f>
        <v>11.042630695993056</v>
      </c>
      <c r="E44" s="634">
        <f>'Péréquation directe'!E50/C44</f>
        <v>-3.8464216525128507</v>
      </c>
      <c r="F44" s="633">
        <f>'Péréquation directe'!F50/Effort!C44</f>
        <v>-8.7345803162789402</v>
      </c>
      <c r="G44" s="633">
        <f>'Péréquation directe'!G50/Effort!C44</f>
        <v>-9.5130192055786473</v>
      </c>
      <c r="H44" s="633">
        <f>'Péréquation directe'!J50/Effort!C44</f>
        <v>19.619554427615387</v>
      </c>
      <c r="I44" s="635">
        <f t="shared" si="0"/>
        <v>8.5681639492380057</v>
      </c>
      <c r="J44" s="149">
        <f t="shared" si="1"/>
        <v>0</v>
      </c>
      <c r="K44" s="41">
        <f t="shared" si="2"/>
        <v>0</v>
      </c>
      <c r="L44" s="159"/>
    </row>
    <row r="45" spans="1:12" x14ac:dyDescent="0.25">
      <c r="A45" s="37">
        <f>Données!A45</f>
        <v>5477</v>
      </c>
      <c r="B45" s="125" t="str">
        <f>Données!B45</f>
        <v>Cossonay</v>
      </c>
      <c r="C45" s="247">
        <f>VPI!R45</f>
        <v>181500.7204411765</v>
      </c>
      <c r="D45" s="633">
        <f>(PCS!I51-PCS!F51)/C45</f>
        <v>11.042630695993056</v>
      </c>
      <c r="E45" s="634">
        <f>'Péréquation directe'!E51/C45</f>
        <v>-10.405266577956995</v>
      </c>
      <c r="F45" s="633">
        <f>'Péréquation directe'!F51/Effort!C45</f>
        <v>-6.4606322095858246</v>
      </c>
      <c r="G45" s="633">
        <f>'Péréquation directe'!G51/Effort!C45</f>
        <v>-4.6216969710875908</v>
      </c>
      <c r="H45" s="633">
        <f>'Péréquation directe'!J51/Effort!C45</f>
        <v>19.619554427615387</v>
      </c>
      <c r="I45" s="635">
        <f t="shared" si="0"/>
        <v>9.1745893649780328</v>
      </c>
      <c r="J45" s="149">
        <f t="shared" si="1"/>
        <v>0</v>
      </c>
      <c r="K45" s="41">
        <f t="shared" si="2"/>
        <v>0</v>
      </c>
      <c r="L45" s="159"/>
    </row>
    <row r="46" spans="1:12" x14ac:dyDescent="0.25">
      <c r="A46" s="37">
        <f>Données!A46</f>
        <v>5479</v>
      </c>
      <c r="B46" s="125" t="str">
        <f>Données!B46</f>
        <v>Cuarnens</v>
      </c>
      <c r="C46" s="247">
        <f>VPI!R46</f>
        <v>19152.633421052633</v>
      </c>
      <c r="D46" s="633">
        <f>(PCS!I52-PCS!F52)/C46</f>
        <v>11.042630695993056</v>
      </c>
      <c r="E46" s="634">
        <f>'Péréquation directe'!E52/C46</f>
        <v>-3.8934354672895291</v>
      </c>
      <c r="F46" s="633">
        <f>'Péréquation directe'!F52/Effort!C46</f>
        <v>-10.704208509123314</v>
      </c>
      <c r="G46" s="633">
        <f>'Péréquation directe'!G52/Effort!C46</f>
        <v>-10.521179274686126</v>
      </c>
      <c r="H46" s="633">
        <f>'Péréquation directe'!J52/Effort!C46</f>
        <v>19.619554427615387</v>
      </c>
      <c r="I46" s="635">
        <f t="shared" si="0"/>
        <v>5.5433618725094753</v>
      </c>
      <c r="J46" s="149">
        <f t="shared" si="1"/>
        <v>0</v>
      </c>
      <c r="K46" s="41">
        <f t="shared" si="2"/>
        <v>0</v>
      </c>
      <c r="L46" s="159"/>
    </row>
    <row r="47" spans="1:12" x14ac:dyDescent="0.25">
      <c r="A47" s="37">
        <f>Données!A47</f>
        <v>5480</v>
      </c>
      <c r="B47" s="125" t="str">
        <f>Données!B47</f>
        <v>Daillens</v>
      </c>
      <c r="C47" s="247">
        <f>VPI!R47</f>
        <v>49509.108484848482</v>
      </c>
      <c r="D47" s="633">
        <f>(PCS!I53-PCS!F53)/C47</f>
        <v>11.042630695993056</v>
      </c>
      <c r="E47" s="634">
        <f>'Péréquation directe'!E53/C47</f>
        <v>-3.429038962068689</v>
      </c>
      <c r="F47" s="633">
        <f>'Péréquation directe'!F53/Effort!C47</f>
        <v>-1.9005176812153308</v>
      </c>
      <c r="G47" s="633">
        <f>'Péréquation directe'!G53/Effort!C47</f>
        <v>-1.9585704713625967</v>
      </c>
      <c r="H47" s="633">
        <f>'Péréquation directe'!J53/Effort!C47</f>
        <v>19.619554427615387</v>
      </c>
      <c r="I47" s="635">
        <f t="shared" si="0"/>
        <v>23.374058008961825</v>
      </c>
      <c r="J47" s="149">
        <f t="shared" si="1"/>
        <v>0</v>
      </c>
      <c r="K47" s="41">
        <f t="shared" si="2"/>
        <v>0</v>
      </c>
      <c r="L47" s="159"/>
    </row>
    <row r="48" spans="1:12" x14ac:dyDescent="0.25">
      <c r="A48" s="37">
        <f>Données!A48</f>
        <v>5481</v>
      </c>
      <c r="B48" s="125" t="str">
        <f>Données!B48</f>
        <v>Dizy</v>
      </c>
      <c r="C48" s="247">
        <f>VPI!R48</f>
        <v>12384.965733333334</v>
      </c>
      <c r="D48" s="633">
        <f>(PCS!I54-PCS!F54)/C48</f>
        <v>11.639958735832453</v>
      </c>
      <c r="E48" s="634">
        <f>'Péréquation directe'!E54/C48</f>
        <v>-2.5543521121852288</v>
      </c>
      <c r="F48" s="633">
        <f>'Péréquation directe'!F54/Effort!C48</f>
        <v>0</v>
      </c>
      <c r="G48" s="633">
        <f>'Péréquation directe'!G54/Effort!C48</f>
        <v>-0.58098590559222518</v>
      </c>
      <c r="H48" s="633">
        <f>'Péréquation directe'!J54/Effort!C48</f>
        <v>19.619554427615387</v>
      </c>
      <c r="I48" s="635">
        <f t="shared" si="0"/>
        <v>28.124175145670385</v>
      </c>
      <c r="J48" s="149">
        <f t="shared" si="1"/>
        <v>0</v>
      </c>
      <c r="K48" s="41">
        <f t="shared" si="2"/>
        <v>0</v>
      </c>
      <c r="L48" s="159"/>
    </row>
    <row r="49" spans="1:12" x14ac:dyDescent="0.25">
      <c r="A49" s="37">
        <f>Données!A49</f>
        <v>5482</v>
      </c>
      <c r="B49" s="125" t="str">
        <f>Données!B49</f>
        <v>Eclépens</v>
      </c>
      <c r="C49" s="247">
        <f>VPI!R49</f>
        <v>54393.337391304347</v>
      </c>
      <c r="D49" s="633">
        <f>(PCS!I55-PCS!F55)/C49</f>
        <v>11.042630695993056</v>
      </c>
      <c r="E49" s="634">
        <f>'Péréquation directe'!E55/C49</f>
        <v>-3.8874829005783473</v>
      </c>
      <c r="F49" s="633">
        <f>'Péréquation directe'!F55/Effort!C49</f>
        <v>-0.95103035794917201</v>
      </c>
      <c r="G49" s="633">
        <f>'Péréquation directe'!G55/Effort!C49</f>
        <v>-2.8981987374700591</v>
      </c>
      <c r="H49" s="633">
        <f>'Péréquation directe'!J55/Effort!C49</f>
        <v>19.619554427615384</v>
      </c>
      <c r="I49" s="635">
        <f t="shared" si="0"/>
        <v>22.925473127610861</v>
      </c>
      <c r="J49" s="149">
        <f t="shared" si="1"/>
        <v>0</v>
      </c>
      <c r="K49" s="41">
        <f t="shared" si="2"/>
        <v>0</v>
      </c>
      <c r="L49" s="159"/>
    </row>
    <row r="50" spans="1:12" x14ac:dyDescent="0.25">
      <c r="A50" s="37">
        <f>Données!A50</f>
        <v>5483</v>
      </c>
      <c r="B50" s="125" t="str">
        <f>Données!B50</f>
        <v>Ferreyres</v>
      </c>
      <c r="C50" s="247">
        <f>VPI!R50</f>
        <v>11195.615526315791</v>
      </c>
      <c r="D50" s="633">
        <f>(PCS!I56-PCS!F56)/C50</f>
        <v>11.042630695993056</v>
      </c>
      <c r="E50" s="634">
        <f>'Péréquation directe'!E56/C50</f>
        <v>-3.6686739807862843</v>
      </c>
      <c r="F50" s="633">
        <f>'Péréquation directe'!F56/Effort!C50</f>
        <v>-8.7531868813549512</v>
      </c>
      <c r="G50" s="633">
        <f>'Péréquation directe'!G56/Effort!C50</f>
        <v>-0.25594834021592089</v>
      </c>
      <c r="H50" s="633">
        <f>'Péréquation directe'!J56/Effort!C50</f>
        <v>19.619554427615387</v>
      </c>
      <c r="I50" s="635">
        <f t="shared" si="0"/>
        <v>17.984375921251289</v>
      </c>
      <c r="J50" s="149">
        <f t="shared" si="1"/>
        <v>0</v>
      </c>
      <c r="K50" s="41">
        <f t="shared" si="2"/>
        <v>0</v>
      </c>
      <c r="L50" s="159"/>
    </row>
    <row r="51" spans="1:12" x14ac:dyDescent="0.25">
      <c r="A51" s="37">
        <f>Données!A51</f>
        <v>5484</v>
      </c>
      <c r="B51" s="125" t="str">
        <f>Données!B51</f>
        <v>Gollion</v>
      </c>
      <c r="C51" s="247">
        <f>VPI!R51</f>
        <v>33718.962837837833</v>
      </c>
      <c r="D51" s="633">
        <f>(PCS!I57-PCS!F57)/C51</f>
        <v>11.042630695993058</v>
      </c>
      <c r="E51" s="634">
        <f>'Péréquation directe'!E57/C51</f>
        <v>-4.6484897615308016</v>
      </c>
      <c r="F51" s="633">
        <f>'Péréquation directe'!F57/Effort!C51</f>
        <v>-12.624743991410728</v>
      </c>
      <c r="G51" s="633">
        <f>'Péréquation directe'!G57/Effort!C51</f>
        <v>-12.46771679803391</v>
      </c>
      <c r="H51" s="633">
        <f>'Péréquation directe'!J57/Effort!C51</f>
        <v>19.619554427615387</v>
      </c>
      <c r="I51" s="635">
        <f t="shared" si="0"/>
        <v>0.92123457263300423</v>
      </c>
      <c r="J51" s="296">
        <f t="shared" si="1"/>
        <v>0</v>
      </c>
      <c r="K51" s="41">
        <f t="shared" si="2"/>
        <v>0</v>
      </c>
      <c r="L51" s="159"/>
    </row>
    <row r="52" spans="1:12" x14ac:dyDescent="0.25">
      <c r="A52" s="37">
        <f>Données!A52</f>
        <v>5485</v>
      </c>
      <c r="B52" s="125" t="str">
        <f>Données!B52</f>
        <v>Grancy</v>
      </c>
      <c r="C52" s="247">
        <f>VPI!R52</f>
        <v>26449.499428571431</v>
      </c>
      <c r="D52" s="633">
        <f>(PCS!I58-PCS!F58)/C52</f>
        <v>11.042630695993056</v>
      </c>
      <c r="E52" s="634">
        <f>'Péréquation directe'!E58/C52</f>
        <v>-2.7137817563589834</v>
      </c>
      <c r="F52" s="633">
        <f>'Péréquation directe'!F58/Effort!C52</f>
        <v>-0.39391031551463207</v>
      </c>
      <c r="G52" s="633">
        <f>'Péréquation directe'!G58/Effort!C52</f>
        <v>-3.4818144335657593</v>
      </c>
      <c r="H52" s="633">
        <f>'Péréquation directe'!J58/Effort!C52</f>
        <v>19.619554427615387</v>
      </c>
      <c r="I52" s="635">
        <f t="shared" si="0"/>
        <v>24.072678618169068</v>
      </c>
      <c r="J52" s="149">
        <f t="shared" si="1"/>
        <v>0</v>
      </c>
      <c r="K52" s="41">
        <f t="shared" si="2"/>
        <v>0</v>
      </c>
      <c r="L52" s="159"/>
    </row>
    <row r="53" spans="1:12" x14ac:dyDescent="0.25">
      <c r="A53" s="37">
        <f>Données!A53</f>
        <v>5486</v>
      </c>
      <c r="B53" s="125" t="str">
        <f>Données!B53</f>
        <v>L'Isle</v>
      </c>
      <c r="C53" s="30">
        <f>VPI!R53</f>
        <v>36962.66320000001</v>
      </c>
      <c r="D53" s="633">
        <f>(PCS!I59-PCS!F59)/C53</f>
        <v>11.042630695993058</v>
      </c>
      <c r="E53" s="634">
        <f>'Péréquation directe'!E59/C53</f>
        <v>-4.5627695105058415</v>
      </c>
      <c r="F53" s="633">
        <f>'Péréquation directe'!F59/Effort!C53</f>
        <v>-10.829486558357607</v>
      </c>
      <c r="G53" s="633">
        <f>'Péréquation directe'!G59/Effort!C53</f>
        <v>-7.3216123723095183</v>
      </c>
      <c r="H53" s="633">
        <f>'Péréquation directe'!J59/Effort!C53</f>
        <v>19.619554427615387</v>
      </c>
      <c r="I53" s="635">
        <f t="shared" si="0"/>
        <v>7.948316682435479</v>
      </c>
      <c r="J53" s="161">
        <f t="shared" si="1"/>
        <v>0</v>
      </c>
      <c r="K53" s="41">
        <f t="shared" si="2"/>
        <v>0</v>
      </c>
      <c r="L53" s="369"/>
    </row>
    <row r="54" spans="1:12" x14ac:dyDescent="0.25">
      <c r="A54" s="37">
        <f>Données!A54</f>
        <v>5487</v>
      </c>
      <c r="B54" s="125" t="str">
        <f>Données!B54</f>
        <v>Lussery-Villars</v>
      </c>
      <c r="C54" s="247">
        <f>VPI!R54</f>
        <v>15075.076666666666</v>
      </c>
      <c r="D54" s="633">
        <f>(PCS!I60-PCS!F60)/C54</f>
        <v>11.042630695993056</v>
      </c>
      <c r="E54" s="634">
        <f>'Péréquation directe'!E60/C54</f>
        <v>-4.1265293606382922</v>
      </c>
      <c r="F54" s="633">
        <f>'Péréquation directe'!F60/Effort!C54</f>
        <v>-12.394826602054088</v>
      </c>
      <c r="G54" s="633">
        <f>'Péréquation directe'!G60/Effort!C54</f>
        <v>0</v>
      </c>
      <c r="H54" s="633">
        <f>'Péréquation directe'!J60/Effort!C54</f>
        <v>19.619554427615387</v>
      </c>
      <c r="I54" s="635">
        <f t="shared" si="0"/>
        <v>14.140829160916063</v>
      </c>
      <c r="J54" s="149">
        <f t="shared" si="1"/>
        <v>0</v>
      </c>
      <c r="K54" s="41">
        <f t="shared" si="2"/>
        <v>0</v>
      </c>
      <c r="L54" s="159"/>
    </row>
    <row r="55" spans="1:12" x14ac:dyDescent="0.25">
      <c r="A55" s="37">
        <f>Données!A55</f>
        <v>5488</v>
      </c>
      <c r="B55" s="125" t="str">
        <f>Données!B55</f>
        <v>Mauraz</v>
      </c>
      <c r="C55" s="247">
        <f>VPI!R55</f>
        <v>1889.5633766233766</v>
      </c>
      <c r="D55" s="633">
        <f>(PCS!I61-PCS!F61)/C55</f>
        <v>11.042630695993056</v>
      </c>
      <c r="E55" s="634">
        <f>'Péréquation directe'!E61/C55</f>
        <v>-4.7131575311697063</v>
      </c>
      <c r="F55" s="633">
        <f>'Péréquation directe'!F61/Effort!C55</f>
        <v>-18.291756711101073</v>
      </c>
      <c r="G55" s="633">
        <f>'Péréquation directe'!G61/Effort!C55</f>
        <v>-21.717798799409884</v>
      </c>
      <c r="H55" s="633">
        <f>'Péréquation directe'!J61/Effort!C55</f>
        <v>19.619554427615387</v>
      </c>
      <c r="I55" s="635">
        <f t="shared" si="0"/>
        <v>-14.060527918072221</v>
      </c>
      <c r="J55" s="149">
        <f t="shared" si="1"/>
        <v>0</v>
      </c>
      <c r="K55" s="41">
        <f t="shared" si="2"/>
        <v>0</v>
      </c>
      <c r="L55" s="159"/>
    </row>
    <row r="56" spans="1:12" x14ac:dyDescent="0.25">
      <c r="A56" s="37">
        <f>Données!A56</f>
        <v>5489</v>
      </c>
      <c r="B56" s="125" t="str">
        <f>Données!B56</f>
        <v>Mex</v>
      </c>
      <c r="C56" s="247">
        <f>VPI!R56</f>
        <v>77108.405546218492</v>
      </c>
      <c r="D56" s="633">
        <f>(PCS!I62-PCS!F62)/C56</f>
        <v>20.182721346862998</v>
      </c>
      <c r="E56" s="634">
        <f>'Péréquation directe'!E62/C56</f>
        <v>-1.394586364795986</v>
      </c>
      <c r="F56" s="633">
        <f>'Péréquation directe'!F62/Effort!C56</f>
        <v>0</v>
      </c>
      <c r="G56" s="633">
        <f>'Péréquation directe'!G62/Effort!C56</f>
        <v>-15.431082811658589</v>
      </c>
      <c r="H56" s="633">
        <f>'Péréquation directe'!J62/Effort!C56</f>
        <v>19.619554427615387</v>
      </c>
      <c r="I56" s="635">
        <f t="shared" si="0"/>
        <v>22.976606598023807</v>
      </c>
      <c r="J56" s="149">
        <f t="shared" si="1"/>
        <v>0</v>
      </c>
      <c r="K56" s="41">
        <f t="shared" si="2"/>
        <v>0</v>
      </c>
      <c r="L56" s="159"/>
    </row>
    <row r="57" spans="1:12" x14ac:dyDescent="0.25">
      <c r="A57" s="37">
        <f>Données!A57</f>
        <v>5490</v>
      </c>
      <c r="B57" s="125" t="str">
        <f>Données!B57</f>
        <v>Moiry</v>
      </c>
      <c r="C57" s="247">
        <f>VPI!R57</f>
        <v>8086.7260526315777</v>
      </c>
      <c r="D57" s="633">
        <f>(PCS!I63-PCS!F63)/C57</f>
        <v>11.042630695993054</v>
      </c>
      <c r="E57" s="634">
        <f>'Péréquation directe'!E63/C57</f>
        <v>-4.9147006797931034</v>
      </c>
      <c r="F57" s="633">
        <f>'Péréquation directe'!F63/Effort!C57</f>
        <v>-19.569208239640552</v>
      </c>
      <c r="G57" s="633">
        <f>'Péréquation directe'!G63/Effort!C57</f>
        <v>-5.8906630588079851</v>
      </c>
      <c r="H57" s="633">
        <f>'Péréquation directe'!J63/Effort!C57</f>
        <v>19.619554427615387</v>
      </c>
      <c r="I57" s="635">
        <f t="shared" si="0"/>
        <v>0.2876131453668016</v>
      </c>
      <c r="J57" s="149">
        <f t="shared" si="1"/>
        <v>0</v>
      </c>
      <c r="K57" s="41">
        <f t="shared" si="2"/>
        <v>0</v>
      </c>
      <c r="L57" s="159"/>
    </row>
    <row r="58" spans="1:12" x14ac:dyDescent="0.25">
      <c r="A58" s="37">
        <f>Données!A58</f>
        <v>5491</v>
      </c>
      <c r="B58" s="125" t="str">
        <f>Données!B58</f>
        <v>Mont-la-Ville</v>
      </c>
      <c r="C58" s="247">
        <f>VPI!R58</f>
        <v>14059.996578947368</v>
      </c>
      <c r="D58" s="633">
        <f>(PCS!I64-PCS!F64)/C58</f>
        <v>11.042630695993058</v>
      </c>
      <c r="E58" s="634">
        <f>'Péréquation directe'!E64/C58</f>
        <v>-4.6797063256827238</v>
      </c>
      <c r="F58" s="633">
        <f>'Péréquation directe'!F64/Effort!C58</f>
        <v>-17.529361135914506</v>
      </c>
      <c r="G58" s="633">
        <f>'Péréquation directe'!G64/Effort!C58</f>
        <v>-54.287037868993451</v>
      </c>
      <c r="H58" s="633">
        <f>'Péréquation directe'!J64/Effort!C58</f>
        <v>19.619554427615387</v>
      </c>
      <c r="I58" s="635">
        <f t="shared" si="0"/>
        <v>-45.833920206982242</v>
      </c>
      <c r="J58" s="149">
        <f t="shared" si="1"/>
        <v>0</v>
      </c>
      <c r="K58" s="41">
        <f t="shared" si="2"/>
        <v>0</v>
      </c>
      <c r="L58" s="159"/>
    </row>
    <row r="59" spans="1:12" x14ac:dyDescent="0.25">
      <c r="A59" s="37">
        <f>Données!A59</f>
        <v>5492</v>
      </c>
      <c r="B59" s="125" t="str">
        <f>Données!B59</f>
        <v>Montricher</v>
      </c>
      <c r="C59" s="247">
        <f>VPI!R59</f>
        <v>198155.03156250002</v>
      </c>
      <c r="D59" s="633">
        <f>(PCS!I65-PCS!F65)/C59</f>
        <v>34.681216755160975</v>
      </c>
      <c r="E59" s="634">
        <f>'Péréquation directe'!E65/C59</f>
        <v>-0.63256506643228994</v>
      </c>
      <c r="F59" s="633">
        <f>'Péréquation directe'!F65/Effort!C59</f>
        <v>0</v>
      </c>
      <c r="G59" s="633">
        <f>'Péréquation directe'!G65/Effort!C59</f>
        <v>-0.2346837773266465</v>
      </c>
      <c r="H59" s="633">
        <f>'Péréquation directe'!J65/Effort!C59</f>
        <v>19.619554427615387</v>
      </c>
      <c r="I59" s="635">
        <f t="shared" si="0"/>
        <v>53.433522339017429</v>
      </c>
      <c r="J59" s="149">
        <f t="shared" si="1"/>
        <v>5.4335223390174292</v>
      </c>
      <c r="K59" s="41">
        <f t="shared" si="2"/>
        <v>-1076679.7905835477</v>
      </c>
      <c r="L59" s="159"/>
    </row>
    <row r="60" spans="1:12" x14ac:dyDescent="0.25">
      <c r="A60" s="37">
        <f>Données!A60</f>
        <v>5493</v>
      </c>
      <c r="B60" s="125" t="str">
        <f>Données!B60</f>
        <v>Orny</v>
      </c>
      <c r="C60" s="247">
        <f>VPI!R60</f>
        <v>16121.406280295052</v>
      </c>
      <c r="D60" s="633">
        <f>(PCS!I66-PCS!F66)/C60</f>
        <v>11.042630695993056</v>
      </c>
      <c r="E60" s="634">
        <f>'Péréquation directe'!E66/C60</f>
        <v>-4.0978124892706891</v>
      </c>
      <c r="F60" s="633">
        <f>'Péréquation directe'!F66/Effort!C60</f>
        <v>-11.512600223034978</v>
      </c>
      <c r="G60" s="633">
        <f>'Péréquation directe'!G66/Effort!C60</f>
        <v>-5.0269914451611459</v>
      </c>
      <c r="H60" s="633">
        <f>'Péréquation directe'!J66/Effort!C60</f>
        <v>19.619554427615387</v>
      </c>
      <c r="I60" s="635">
        <f t="shared" si="0"/>
        <v>10.024780966141631</v>
      </c>
      <c r="J60" s="149">
        <f t="shared" si="1"/>
        <v>0</v>
      </c>
      <c r="K60" s="41">
        <f t="shared" si="2"/>
        <v>0</v>
      </c>
      <c r="L60" s="159"/>
    </row>
    <row r="61" spans="1:12" x14ac:dyDescent="0.25">
      <c r="A61" s="37">
        <f>Données!A61</f>
        <v>5495</v>
      </c>
      <c r="B61" s="125" t="str">
        <f>Données!B61</f>
        <v>Penthalaz</v>
      </c>
      <c r="C61" s="247">
        <f>VPI!R61</f>
        <v>96624.252827586228</v>
      </c>
      <c r="D61" s="633">
        <f>(PCS!I67-PCS!F67)/C61</f>
        <v>11.042630695993056</v>
      </c>
      <c r="E61" s="634">
        <f>'Péréquation directe'!E67/C61</f>
        <v>-10.053354710615775</v>
      </c>
      <c r="F61" s="633">
        <f>'Péréquation directe'!F67/Effort!C61</f>
        <v>-13.50936127577269</v>
      </c>
      <c r="G61" s="633">
        <f>'Péréquation directe'!G67/Effort!C61</f>
        <v>-6.8879795308774669</v>
      </c>
      <c r="H61" s="633">
        <f>'Péréquation directe'!J67/Effort!C61</f>
        <v>19.619554427615387</v>
      </c>
      <c r="I61" s="635">
        <f t="shared" si="0"/>
        <v>0.21148960634251068</v>
      </c>
      <c r="J61" s="149">
        <f t="shared" si="1"/>
        <v>0</v>
      </c>
      <c r="K61" s="41">
        <f t="shared" si="2"/>
        <v>0</v>
      </c>
      <c r="L61" s="159"/>
    </row>
    <row r="62" spans="1:12" x14ac:dyDescent="0.25">
      <c r="A62" s="37">
        <f>Données!A62</f>
        <v>5496</v>
      </c>
      <c r="B62" s="125" t="str">
        <f>Données!B62</f>
        <v>Penthaz</v>
      </c>
      <c r="C62" s="247">
        <f>VPI!R62</f>
        <v>63424.403453237413</v>
      </c>
      <c r="D62" s="633">
        <f>(PCS!I68-PCS!F68)/C62</f>
        <v>11.042630695993056</v>
      </c>
      <c r="E62" s="634">
        <f>'Péréquation directe'!E68/C62</f>
        <v>-7.6470210214348748</v>
      </c>
      <c r="F62" s="633">
        <f>'Péréquation directe'!F68/Effort!C62</f>
        <v>-10.293875311235301</v>
      </c>
      <c r="G62" s="633">
        <f>'Péréquation directe'!G68/Effort!C62</f>
        <v>-4.0919675687818984</v>
      </c>
      <c r="H62" s="633">
        <f>'Péréquation directe'!J68/Effort!C62</f>
        <v>19.619554427615387</v>
      </c>
      <c r="I62" s="635">
        <f t="shared" si="0"/>
        <v>8.6293212221563707</v>
      </c>
      <c r="J62" s="149">
        <f t="shared" si="1"/>
        <v>0</v>
      </c>
      <c r="K62" s="41">
        <f t="shared" si="2"/>
        <v>0</v>
      </c>
      <c r="L62" s="159"/>
    </row>
    <row r="63" spans="1:12" x14ac:dyDescent="0.25">
      <c r="A63" s="37">
        <f>Données!A63</f>
        <v>5497</v>
      </c>
      <c r="B63" s="125" t="str">
        <f>Données!B63</f>
        <v>Pompaples</v>
      </c>
      <c r="C63" s="247">
        <f>VPI!R63</f>
        <v>29282.771666666667</v>
      </c>
      <c r="D63" s="633">
        <f>(PCS!I69-PCS!F69)/C63</f>
        <v>11.042630695993056</v>
      </c>
      <c r="E63" s="634">
        <f>'Péréquation directe'!E69/C63</f>
        <v>-4.2215251736978283</v>
      </c>
      <c r="F63" s="633">
        <f>'Péréquation directe'!F69/Effort!C63</f>
        <v>-10.220431929029719</v>
      </c>
      <c r="G63" s="633">
        <f>'Péréquation directe'!G69/Effort!C63</f>
        <v>-6.902781664021334</v>
      </c>
      <c r="H63" s="633">
        <f>'Péréquation directe'!J69/Effort!C63</f>
        <v>19.619554427615387</v>
      </c>
      <c r="I63" s="635">
        <f t="shared" si="0"/>
        <v>9.3174463568595627</v>
      </c>
      <c r="J63" s="149">
        <f t="shared" si="1"/>
        <v>0</v>
      </c>
      <c r="K63" s="41">
        <f t="shared" si="2"/>
        <v>0</v>
      </c>
      <c r="L63" s="159"/>
    </row>
    <row r="64" spans="1:12" x14ac:dyDescent="0.25">
      <c r="A64" s="37">
        <f>Données!A64</f>
        <v>5498</v>
      </c>
      <c r="B64" s="125" t="str">
        <f>Données!B64</f>
        <v>La Sarraz</v>
      </c>
      <c r="C64" s="247">
        <f>VPI!R64</f>
        <v>76599.208428571437</v>
      </c>
      <c r="D64" s="633">
        <f>(PCS!I70-PCS!F70)/C64</f>
        <v>11.042630695993054</v>
      </c>
      <c r="E64" s="634">
        <f>'Péréquation directe'!E70/C64</f>
        <v>-9.5968979812354984</v>
      </c>
      <c r="F64" s="633">
        <f>'Péréquation directe'!F70/Effort!C64</f>
        <v>-13.86422328802095</v>
      </c>
      <c r="G64" s="633">
        <f>'Péréquation directe'!G70/Effort!C64</f>
        <v>-5.1565762996899656</v>
      </c>
      <c r="H64" s="633">
        <f>'Péréquation directe'!J70/Effort!C64</f>
        <v>19.619554427615387</v>
      </c>
      <c r="I64" s="635">
        <f t="shared" si="0"/>
        <v>2.0444875546620267</v>
      </c>
      <c r="J64" s="149">
        <f t="shared" si="1"/>
        <v>0</v>
      </c>
      <c r="K64" s="41">
        <f t="shared" si="2"/>
        <v>0</v>
      </c>
      <c r="L64" s="159"/>
    </row>
    <row r="65" spans="1:12" x14ac:dyDescent="0.25">
      <c r="A65" s="37">
        <f>Données!A65</f>
        <v>5499</v>
      </c>
      <c r="B65" s="125" t="str">
        <f>Données!B65</f>
        <v>Senarclens</v>
      </c>
      <c r="C65" s="247">
        <f>VPI!R65</f>
        <v>21136.176934306572</v>
      </c>
      <c r="D65" s="633">
        <f>(PCS!I71-PCS!F71)/C65</f>
        <v>11.042630695993056</v>
      </c>
      <c r="E65" s="634">
        <f>'Péréquation directe'!E71/C65</f>
        <v>-3.0186545608372892</v>
      </c>
      <c r="F65" s="633">
        <f>'Péréquation directe'!F71/Effort!C65</f>
        <v>-2.5270824543887036</v>
      </c>
      <c r="G65" s="633">
        <f>'Péréquation directe'!G71/Effort!C65</f>
        <v>-9.6770991050647162</v>
      </c>
      <c r="H65" s="633">
        <f>'Péréquation directe'!J71/Effort!C65</f>
        <v>19.619554427615387</v>
      </c>
      <c r="I65" s="635">
        <f t="shared" si="0"/>
        <v>15.439349003317734</v>
      </c>
      <c r="J65" s="149">
        <f t="shared" si="1"/>
        <v>0</v>
      </c>
      <c r="K65" s="41">
        <f t="shared" si="2"/>
        <v>0</v>
      </c>
      <c r="L65" s="159"/>
    </row>
    <row r="66" spans="1:12" x14ac:dyDescent="0.25">
      <c r="A66" s="37">
        <f>Données!A66</f>
        <v>5501</v>
      </c>
      <c r="B66" s="125" t="str">
        <f>Données!B66</f>
        <v>Sullens</v>
      </c>
      <c r="C66" s="247">
        <f>VPI!R66</f>
        <v>57751.835468749996</v>
      </c>
      <c r="D66" s="633">
        <f>(PCS!I72-PCS!F72)/C66</f>
        <v>11.042630695993054</v>
      </c>
      <c r="E66" s="634">
        <f>'Péréquation directe'!E72/C66</f>
        <v>-3.7516337036873009</v>
      </c>
      <c r="F66" s="633">
        <f>'Péréquation directe'!F72/Effort!C66</f>
        <v>-0.97991260915774925</v>
      </c>
      <c r="G66" s="633">
        <f>'Péréquation directe'!G72/Effort!C66</f>
        <v>0</v>
      </c>
      <c r="H66" s="633">
        <f>'Péréquation directe'!J72/Effort!C66</f>
        <v>19.619554427615387</v>
      </c>
      <c r="I66" s="635">
        <f t="shared" si="0"/>
        <v>25.930638810763391</v>
      </c>
      <c r="J66" s="149">
        <f t="shared" si="1"/>
        <v>0</v>
      </c>
      <c r="K66" s="41">
        <f t="shared" si="2"/>
        <v>0</v>
      </c>
      <c r="L66" s="159"/>
    </row>
    <row r="67" spans="1:12" x14ac:dyDescent="0.25">
      <c r="A67" s="37">
        <f>Données!A67</f>
        <v>5503</v>
      </c>
      <c r="B67" s="125" t="str">
        <f>Données!B67</f>
        <v>Vufflens-la-Ville</v>
      </c>
      <c r="C67" s="247">
        <f>VPI!R67</f>
        <v>68821.666815920398</v>
      </c>
      <c r="D67" s="633">
        <f>(PCS!I73-PCS!F73)/C67</f>
        <v>11.38688176320178</v>
      </c>
      <c r="E67" s="634">
        <f>'Péréquation directe'!E73/C67</f>
        <v>-3.7809191053969604</v>
      </c>
      <c r="F67" s="633">
        <f>'Péréquation directe'!F73/Effort!C67</f>
        <v>0</v>
      </c>
      <c r="G67" s="633">
        <f>'Péréquation directe'!G73/Effort!C67</f>
        <v>-5.4334355311817895</v>
      </c>
      <c r="H67" s="633">
        <f>'Péréquation directe'!J73/Effort!C67</f>
        <v>19.619554427615387</v>
      </c>
      <c r="I67" s="635">
        <f t="shared" si="0"/>
        <v>21.792081554238418</v>
      </c>
      <c r="J67" s="149">
        <f t="shared" si="1"/>
        <v>0</v>
      </c>
      <c r="K67" s="41">
        <f t="shared" si="2"/>
        <v>0</v>
      </c>
      <c r="L67" s="159"/>
    </row>
    <row r="68" spans="1:12" x14ac:dyDescent="0.25">
      <c r="A68" s="37">
        <f>Données!A68</f>
        <v>5511</v>
      </c>
      <c r="B68" s="125" t="str">
        <f>Données!B68</f>
        <v>Assens</v>
      </c>
      <c r="C68" s="247">
        <f>VPI!R68</f>
        <v>69828.319999999992</v>
      </c>
      <c r="D68" s="633">
        <f>(PCS!I74-PCS!F74)/C68</f>
        <v>11.042630695993056</v>
      </c>
      <c r="E68" s="634">
        <f>'Péréquation directe'!E74/C68</f>
        <v>-5.6931731754374031</v>
      </c>
      <c r="F68" s="633">
        <f>'Péréquation directe'!F74/Effort!C68</f>
        <v>-4.3940860781711253</v>
      </c>
      <c r="G68" s="633">
        <f>'Péréquation directe'!G74/Effort!C68</f>
        <v>-2.8836148144154858</v>
      </c>
      <c r="H68" s="633">
        <f>'Péréquation directe'!J74/Effort!C68</f>
        <v>19.619554427615387</v>
      </c>
      <c r="I68" s="635">
        <f t="shared" si="0"/>
        <v>17.691311055584428</v>
      </c>
      <c r="J68" s="149">
        <f t="shared" si="1"/>
        <v>0</v>
      </c>
      <c r="K68" s="41">
        <f t="shared" si="2"/>
        <v>0</v>
      </c>
      <c r="L68" s="159"/>
    </row>
    <row r="69" spans="1:12" x14ac:dyDescent="0.25">
      <c r="A69" s="37">
        <f>Données!A69</f>
        <v>5512</v>
      </c>
      <c r="B69" s="125" t="str">
        <f>Données!B69</f>
        <v>Bercher</v>
      </c>
      <c r="C69" s="247">
        <f>VPI!R69</f>
        <v>41189.844430379737</v>
      </c>
      <c r="D69" s="633">
        <f>(PCS!I75-PCS!F75)/C69</f>
        <v>11.042630695993056</v>
      </c>
      <c r="E69" s="634">
        <f>'Péréquation directe'!E75/C69</f>
        <v>-6.33538496528754</v>
      </c>
      <c r="F69" s="633">
        <f>'Péréquation directe'!F75/Effort!C69</f>
        <v>-15.727965469173991</v>
      </c>
      <c r="G69" s="633">
        <f>'Péréquation directe'!G75/Effort!C69</f>
        <v>-6.4674867176084074</v>
      </c>
      <c r="H69" s="633">
        <f>'Péréquation directe'!J75/Effort!C69</f>
        <v>19.619554427615387</v>
      </c>
      <c r="I69" s="635">
        <f t="shared" si="0"/>
        <v>2.1313479715385064</v>
      </c>
      <c r="J69" s="149">
        <f t="shared" si="1"/>
        <v>0</v>
      </c>
      <c r="K69" s="41">
        <f t="shared" si="2"/>
        <v>0</v>
      </c>
      <c r="L69" s="159"/>
    </row>
    <row r="70" spans="1:12" x14ac:dyDescent="0.25">
      <c r="A70" s="37">
        <f>Données!A70</f>
        <v>5514</v>
      </c>
      <c r="B70" s="125" t="str">
        <f>Données!B70</f>
        <v>Bottens</v>
      </c>
      <c r="C70" s="247">
        <f>VPI!R70</f>
        <v>45955.362896551727</v>
      </c>
      <c r="D70" s="633">
        <f>(PCS!I76-PCS!F76)/C70</f>
        <v>11.042630695993054</v>
      </c>
      <c r="E70" s="634">
        <f>'Péréquation directe'!E76/C70</f>
        <v>-5.791795945691768</v>
      </c>
      <c r="F70" s="633">
        <f>'Péréquation directe'!F76/Effort!C70</f>
        <v>-10.013368450807018</v>
      </c>
      <c r="G70" s="633">
        <f>'Péréquation directe'!G76/Effort!C70</f>
        <v>-1.0156326739671691</v>
      </c>
      <c r="H70" s="633">
        <f>'Péréquation directe'!J76/Effort!C70</f>
        <v>19.619554427615387</v>
      </c>
      <c r="I70" s="635">
        <f t="shared" si="0"/>
        <v>13.841388053142486</v>
      </c>
      <c r="J70" s="149">
        <f t="shared" si="1"/>
        <v>0</v>
      </c>
      <c r="K70" s="41">
        <f t="shared" si="2"/>
        <v>0</v>
      </c>
      <c r="L70" s="159"/>
    </row>
    <row r="71" spans="1:12" x14ac:dyDescent="0.25">
      <c r="A71" s="37">
        <f>Données!A71</f>
        <v>5515</v>
      </c>
      <c r="B71" s="125" t="str">
        <f>Données!B71</f>
        <v>Bretigny-sur-Morrens</v>
      </c>
      <c r="C71" s="247">
        <f>VPI!R71</f>
        <v>32116.031538461531</v>
      </c>
      <c r="D71" s="633">
        <f>(PCS!I77-PCS!F77)/C71</f>
        <v>11.042630695993056</v>
      </c>
      <c r="E71" s="634">
        <f>'Péréquation directe'!E77/C71</f>
        <v>-3.7166620812652331</v>
      </c>
      <c r="F71" s="633">
        <f>'Péréquation directe'!F77/Effort!C71</f>
        <v>-9.6587115220087583</v>
      </c>
      <c r="G71" s="633">
        <f>'Péréquation directe'!G77/Effort!C71</f>
        <v>-2.3346110082259876E-2</v>
      </c>
      <c r="H71" s="633">
        <f>'Péréquation directe'!J77/Effort!C71</f>
        <v>19.619554427615387</v>
      </c>
      <c r="I71" s="635">
        <f t="shared" ref="I71:I134" si="3">SUM(D71:H71)</f>
        <v>17.263465410252191</v>
      </c>
      <c r="J71" s="149">
        <f t="shared" ref="J71:J134" si="4">IF(I71&gt;J$5,I71-J$5,0)</f>
        <v>0</v>
      </c>
      <c r="K71" s="41">
        <f t="shared" ref="K71:K134" si="5">-J71*C71</f>
        <v>0</v>
      </c>
      <c r="L71" s="159"/>
    </row>
    <row r="72" spans="1:12" x14ac:dyDescent="0.25">
      <c r="A72" s="37">
        <f>Données!A72</f>
        <v>5516</v>
      </c>
      <c r="B72" s="125" t="str">
        <f>Données!B72</f>
        <v>Cugy</v>
      </c>
      <c r="C72" s="247">
        <f>VPI!R72</f>
        <v>112038.1875</v>
      </c>
      <c r="D72" s="633">
        <f>(PCS!I78-PCS!F78)/C72</f>
        <v>11.042630695993056</v>
      </c>
      <c r="E72" s="634">
        <f>'Péréquation directe'!E78/C72</f>
        <v>-7.1326598503759326</v>
      </c>
      <c r="F72" s="633">
        <f>'Péréquation directe'!F78/Effort!C72</f>
        <v>-5.6403289920109243</v>
      </c>
      <c r="G72" s="633">
        <f>'Péréquation directe'!G78/Effort!C72</f>
        <v>-3.3955073336002055</v>
      </c>
      <c r="H72" s="633">
        <f>'Péréquation directe'!J78/Effort!C72</f>
        <v>19.619554427615387</v>
      </c>
      <c r="I72" s="635">
        <f t="shared" si="3"/>
        <v>14.493688947621381</v>
      </c>
      <c r="J72" s="149">
        <f t="shared" si="4"/>
        <v>0</v>
      </c>
      <c r="K72" s="41">
        <f t="shared" si="5"/>
        <v>0</v>
      </c>
      <c r="L72" s="159"/>
    </row>
    <row r="73" spans="1:12" x14ac:dyDescent="0.25">
      <c r="A73" s="37">
        <f>Données!A73</f>
        <v>5518</v>
      </c>
      <c r="B73" s="125" t="str">
        <f>Données!B73</f>
        <v>Echallens</v>
      </c>
      <c r="C73" s="247">
        <f>VPI!R73</f>
        <v>216867.084137931</v>
      </c>
      <c r="D73" s="633">
        <f>(PCS!I79-PCS!F79)/C73</f>
        <v>11.042630695993056</v>
      </c>
      <c r="E73" s="634">
        <f>'Péréquation directe'!E79/C73</f>
        <v>-14.014821719988092</v>
      </c>
      <c r="F73" s="633">
        <f>'Péréquation directe'!F79/Effort!C73</f>
        <v>-11.531169128477616</v>
      </c>
      <c r="G73" s="633">
        <f>'Péréquation directe'!G79/Effort!C73</f>
        <v>-6.8627764659816677</v>
      </c>
      <c r="H73" s="633">
        <f>'Péréquation directe'!J79/Effort!C73</f>
        <v>19.619554427615391</v>
      </c>
      <c r="I73" s="635">
        <f t="shared" si="3"/>
        <v>-1.7465821908389287</v>
      </c>
      <c r="J73" s="149">
        <f t="shared" si="4"/>
        <v>0</v>
      </c>
      <c r="K73" s="41">
        <f t="shared" si="5"/>
        <v>0</v>
      </c>
      <c r="L73" s="159"/>
    </row>
    <row r="74" spans="1:12" x14ac:dyDescent="0.25">
      <c r="A74" s="37">
        <f>Données!A74</f>
        <v>5520</v>
      </c>
      <c r="B74" s="125" t="str">
        <f>Données!B74</f>
        <v>Essertines-sur-Yverdon</v>
      </c>
      <c r="C74" s="247">
        <f>VPI!R74</f>
        <v>35335.874054054053</v>
      </c>
      <c r="D74" s="633">
        <f>(PCS!I80-PCS!F80)/C74</f>
        <v>11.042630695993056</v>
      </c>
      <c r="E74" s="634">
        <f>'Péréquation directe'!E80/C74</f>
        <v>-5.3205315797543475</v>
      </c>
      <c r="F74" s="633">
        <f>'Péréquation directe'!F80/Effort!C74</f>
        <v>-13.645658895428802</v>
      </c>
      <c r="G74" s="633">
        <f>'Péréquation directe'!G80/Effort!C74</f>
        <v>-24.782003497413889</v>
      </c>
      <c r="H74" s="633">
        <f>'Péréquation directe'!J80/Effort!C74</f>
        <v>19.619554427615387</v>
      </c>
      <c r="I74" s="635">
        <f t="shared" si="3"/>
        <v>-13.086008848988595</v>
      </c>
      <c r="J74" s="149">
        <f t="shared" si="4"/>
        <v>0</v>
      </c>
      <c r="K74" s="41">
        <f t="shared" si="5"/>
        <v>0</v>
      </c>
      <c r="L74" s="159"/>
    </row>
    <row r="75" spans="1:12" x14ac:dyDescent="0.25">
      <c r="A75" s="37">
        <f>Données!A75</f>
        <v>5521</v>
      </c>
      <c r="B75" s="125" t="str">
        <f>Données!B75</f>
        <v>Etagnières</v>
      </c>
      <c r="C75" s="247">
        <f>VPI!R75</f>
        <v>46868.677397260268</v>
      </c>
      <c r="D75" s="633">
        <f>(PCS!I81-PCS!F81)/C75</f>
        <v>11.042630695993056</v>
      </c>
      <c r="E75" s="634">
        <f>'Péréquation directe'!E81/C75</f>
        <v>-4.3369079763482379</v>
      </c>
      <c r="F75" s="633">
        <f>'Péréquation directe'!F81/Effort!C75</f>
        <v>-5.7004645920221622</v>
      </c>
      <c r="G75" s="633">
        <f>'Péréquation directe'!G81/Effort!C75</f>
        <v>-3.2807965889071116</v>
      </c>
      <c r="H75" s="633">
        <f>'Péréquation directe'!J81/Effort!C75</f>
        <v>19.619554427615387</v>
      </c>
      <c r="I75" s="635">
        <f t="shared" si="3"/>
        <v>17.344015966330932</v>
      </c>
      <c r="J75" s="149">
        <f t="shared" si="4"/>
        <v>0</v>
      </c>
      <c r="K75" s="41">
        <f t="shared" si="5"/>
        <v>0</v>
      </c>
      <c r="L75" s="159"/>
    </row>
    <row r="76" spans="1:12" x14ac:dyDescent="0.25">
      <c r="A76" s="37">
        <f>Données!A76</f>
        <v>5522</v>
      </c>
      <c r="B76" s="125" t="str">
        <f>Données!B76</f>
        <v>Fey</v>
      </c>
      <c r="C76" s="247">
        <f>VPI!R76</f>
        <v>25183.4012</v>
      </c>
      <c r="D76" s="633">
        <f>(PCS!I82-PCS!F82)/C76</f>
        <v>11.042630695993056</v>
      </c>
      <c r="E76" s="634">
        <f>'Péréquation directe'!E82/C76</f>
        <v>-4.1644843541503098</v>
      </c>
      <c r="F76" s="633">
        <f>'Péréquation directe'!F82/Effort!C76</f>
        <v>-12.715678381145171</v>
      </c>
      <c r="G76" s="633">
        <f>'Péréquation directe'!G82/Effort!C76</f>
        <v>-8.1781842379549836</v>
      </c>
      <c r="H76" s="633">
        <f>'Péréquation directe'!J82/Effort!C76</f>
        <v>19.619554427615387</v>
      </c>
      <c r="I76" s="635">
        <f t="shared" si="3"/>
        <v>5.6038381503579799</v>
      </c>
      <c r="J76" s="149">
        <f t="shared" si="4"/>
        <v>0</v>
      </c>
      <c r="K76" s="41">
        <f t="shared" si="5"/>
        <v>0</v>
      </c>
      <c r="L76" s="159"/>
    </row>
    <row r="77" spans="1:12" x14ac:dyDescent="0.25">
      <c r="A77" s="37">
        <f>Données!A77</f>
        <v>5523</v>
      </c>
      <c r="B77" s="125" t="str">
        <f>Données!B77</f>
        <v>Froideville</v>
      </c>
      <c r="C77" s="247">
        <f>VPI!R77</f>
        <v>89218.615555555531</v>
      </c>
      <c r="D77" s="633">
        <f>(PCS!I83-PCS!F83)/C77</f>
        <v>11.042630695993056</v>
      </c>
      <c r="E77" s="634">
        <f>'Péréquation directe'!E83/C77</f>
        <v>-8.7108668301325807</v>
      </c>
      <c r="F77" s="633">
        <f>'Péréquation directe'!F83/Effort!C77</f>
        <v>-10.97320853216817</v>
      </c>
      <c r="G77" s="633">
        <f>'Péréquation directe'!G83/Effort!C77</f>
        <v>-2.8403808068692613</v>
      </c>
      <c r="H77" s="633">
        <f>'Péréquation directe'!J83/Effort!C77</f>
        <v>19.619554427615387</v>
      </c>
      <c r="I77" s="635">
        <f t="shared" si="3"/>
        <v>8.1377289544384315</v>
      </c>
      <c r="J77" s="149">
        <f t="shared" si="4"/>
        <v>0</v>
      </c>
      <c r="K77" s="41">
        <f t="shared" si="5"/>
        <v>0</v>
      </c>
      <c r="L77" s="159"/>
    </row>
    <row r="78" spans="1:12" x14ac:dyDescent="0.25">
      <c r="A78" s="37">
        <f>Données!A78</f>
        <v>5527</v>
      </c>
      <c r="B78" s="125" t="str">
        <f>Données!B78</f>
        <v>Morrens</v>
      </c>
      <c r="C78" s="247">
        <f>VPI!R78</f>
        <v>42618.641486486493</v>
      </c>
      <c r="D78" s="633">
        <f>(PCS!I84-PCS!F84)/C78</f>
        <v>11.042630695993058</v>
      </c>
      <c r="E78" s="634">
        <f>'Péréquation directe'!E84/C78</f>
        <v>-4.455011766528914</v>
      </c>
      <c r="F78" s="633">
        <f>'Péréquation directe'!F84/Effort!C78</f>
        <v>-7.7010685736031004</v>
      </c>
      <c r="G78" s="633">
        <f>'Péréquation directe'!G84/Effort!C78</f>
        <v>-0.80185162988621428</v>
      </c>
      <c r="H78" s="633">
        <f>'Péréquation directe'!J84/Effort!C78</f>
        <v>19.619554427615387</v>
      </c>
      <c r="I78" s="635">
        <f t="shared" si="3"/>
        <v>17.704253153590216</v>
      </c>
      <c r="J78" s="149">
        <f t="shared" si="4"/>
        <v>0</v>
      </c>
      <c r="K78" s="41">
        <f t="shared" si="5"/>
        <v>0</v>
      </c>
      <c r="L78" s="159"/>
    </row>
    <row r="79" spans="1:12" x14ac:dyDescent="0.25">
      <c r="A79" s="37">
        <f>Données!A79</f>
        <v>5529</v>
      </c>
      <c r="B79" s="125" t="str">
        <f>Données!B79</f>
        <v>Oulens-sous-Echallens</v>
      </c>
      <c r="C79" s="247">
        <f>VPI!R79</f>
        <v>21320.008028169017</v>
      </c>
      <c r="D79" s="633">
        <f>(PCS!I85-PCS!F85)/C79</f>
        <v>11.042630695993056</v>
      </c>
      <c r="E79" s="634">
        <f>'Péréquation directe'!E85/C79</f>
        <v>-3.7844253513711572</v>
      </c>
      <c r="F79" s="633">
        <f>'Péréquation directe'!F85/Effort!C79</f>
        <v>-8.5162494453051831</v>
      </c>
      <c r="G79" s="633">
        <f>'Péréquation directe'!G85/Effort!C79</f>
        <v>-5.4176786428529518</v>
      </c>
      <c r="H79" s="633">
        <f>'Péréquation directe'!J85/Effort!C79</f>
        <v>19.619554427615387</v>
      </c>
      <c r="I79" s="635">
        <f t="shared" si="3"/>
        <v>12.943831684079152</v>
      </c>
      <c r="J79" s="149">
        <f t="shared" si="4"/>
        <v>0</v>
      </c>
      <c r="K79" s="41">
        <f t="shared" si="5"/>
        <v>0</v>
      </c>
      <c r="L79" s="159"/>
    </row>
    <row r="80" spans="1:12" x14ac:dyDescent="0.25">
      <c r="A80" s="37">
        <f>Données!A80</f>
        <v>5530</v>
      </c>
      <c r="B80" s="125" t="str">
        <f>Données!B80</f>
        <v>Pailly</v>
      </c>
      <c r="C80" s="247">
        <f>VPI!R80</f>
        <v>18985.526425438595</v>
      </c>
      <c r="D80" s="633">
        <f>(PCS!I86-PCS!F86)/C80</f>
        <v>11.042630695993056</v>
      </c>
      <c r="E80" s="634">
        <f>'Péréquation directe'!E86/C80</f>
        <v>-4.0327235898554443</v>
      </c>
      <c r="F80" s="633">
        <f>'Péréquation directe'!F86/Effort!C80</f>
        <v>-11.913286380271074</v>
      </c>
      <c r="G80" s="633">
        <f>'Péréquation directe'!G86/Effort!C80</f>
        <v>-15.132745648025701</v>
      </c>
      <c r="H80" s="633">
        <f>'Péréquation directe'!J86/Effort!C80</f>
        <v>19.619554427615387</v>
      </c>
      <c r="I80" s="635">
        <f t="shared" si="3"/>
        <v>-0.4165704945437767</v>
      </c>
      <c r="J80" s="149">
        <f t="shared" si="4"/>
        <v>0</v>
      </c>
      <c r="K80" s="41">
        <f t="shared" si="5"/>
        <v>0</v>
      </c>
      <c r="L80" s="159"/>
    </row>
    <row r="81" spans="1:12" x14ac:dyDescent="0.25">
      <c r="A81" s="37">
        <f>Données!A81</f>
        <v>5531</v>
      </c>
      <c r="B81" s="125" t="str">
        <f>Données!B81</f>
        <v>Penthéréaz</v>
      </c>
      <c r="C81" s="247">
        <f>VPI!R81</f>
        <v>16979.020135135139</v>
      </c>
      <c r="D81" s="633">
        <f>(PCS!I87-PCS!F87)/C81</f>
        <v>11.042630695993056</v>
      </c>
      <c r="E81" s="634">
        <f>'Péréquation directe'!E87/C81</f>
        <v>-3.3663126426576997</v>
      </c>
      <c r="F81" s="633">
        <f>'Péréquation directe'!F87/Effort!C81</f>
        <v>-5.8102548162690519</v>
      </c>
      <c r="G81" s="633">
        <f>'Péréquation directe'!G87/Effort!C81</f>
        <v>-2.6467772045359705</v>
      </c>
      <c r="H81" s="633">
        <f>'Péréquation directe'!J87/Effort!C81</f>
        <v>19.619554427615387</v>
      </c>
      <c r="I81" s="635">
        <f t="shared" si="3"/>
        <v>18.838840460145722</v>
      </c>
      <c r="J81" s="149">
        <f t="shared" si="4"/>
        <v>0</v>
      </c>
      <c r="K81" s="41">
        <f t="shared" si="5"/>
        <v>0</v>
      </c>
      <c r="L81" s="159"/>
    </row>
    <row r="82" spans="1:12" x14ac:dyDescent="0.25">
      <c r="A82" s="37">
        <f>Données!A82</f>
        <v>5533</v>
      </c>
      <c r="B82" s="125" t="str">
        <f>Données!B82</f>
        <v>Poliez-Pittet</v>
      </c>
      <c r="C82" s="247">
        <f>VPI!R82</f>
        <v>27367.358493150681</v>
      </c>
      <c r="D82" s="633">
        <f>(PCS!I88-PCS!F88)/C82</f>
        <v>11.042630695993056</v>
      </c>
      <c r="E82" s="634">
        <f>'Péréquation directe'!E88/C82</f>
        <v>-4.128427482610511</v>
      </c>
      <c r="F82" s="633">
        <f>'Péréquation directe'!F88/Effort!C82</f>
        <v>-11.757784656057712</v>
      </c>
      <c r="G82" s="633">
        <f>'Péréquation directe'!G88/Effort!C82</f>
        <v>-2.829572425934693</v>
      </c>
      <c r="H82" s="633">
        <f>'Péréquation directe'!J88/Effort!C82</f>
        <v>19.619554427615387</v>
      </c>
      <c r="I82" s="635">
        <f t="shared" si="3"/>
        <v>11.946400559005527</v>
      </c>
      <c r="J82" s="149">
        <f t="shared" si="4"/>
        <v>0</v>
      </c>
      <c r="K82" s="41">
        <f t="shared" si="5"/>
        <v>0</v>
      </c>
      <c r="L82" s="159"/>
    </row>
    <row r="83" spans="1:12" x14ac:dyDescent="0.25">
      <c r="A83" s="37">
        <f>Données!A83</f>
        <v>5534</v>
      </c>
      <c r="B83" s="125" t="str">
        <f>Données!B83</f>
        <v>Rueyres</v>
      </c>
      <c r="C83" s="247">
        <f>VPI!R83</f>
        <v>17982.384452054797</v>
      </c>
      <c r="D83" s="633">
        <f>(PCS!I89-PCS!F89)/C83</f>
        <v>13.310196028872433</v>
      </c>
      <c r="E83" s="634">
        <f>'Péréquation directe'!E89/C83</f>
        <v>-2.2471130462127333</v>
      </c>
      <c r="F83" s="633">
        <f>'Péréquation directe'!F89/Effort!C83</f>
        <v>0</v>
      </c>
      <c r="G83" s="633">
        <f>'Péréquation directe'!G89/Effort!C83</f>
        <v>0</v>
      </c>
      <c r="H83" s="633">
        <f>'Péréquation directe'!J89/Effort!C83</f>
        <v>19.619554427615387</v>
      </c>
      <c r="I83" s="635">
        <f t="shared" si="3"/>
        <v>30.682637410275085</v>
      </c>
      <c r="J83" s="149">
        <f t="shared" si="4"/>
        <v>0</v>
      </c>
      <c r="K83" s="41">
        <f t="shared" si="5"/>
        <v>0</v>
      </c>
      <c r="L83" s="159"/>
    </row>
    <row r="84" spans="1:12" x14ac:dyDescent="0.25">
      <c r="A84" s="37">
        <f>Données!A84</f>
        <v>5535</v>
      </c>
      <c r="B84" s="125" t="str">
        <f>Données!B84</f>
        <v>Saint-Barthélemy</v>
      </c>
      <c r="C84" s="247">
        <f>VPI!R84</f>
        <v>26523.088000000003</v>
      </c>
      <c r="D84" s="633">
        <f>(PCS!I90-PCS!F90)/C84</f>
        <v>11.042630695993056</v>
      </c>
      <c r="E84" s="634">
        <f>'Péréquation directe'!E90/C84</f>
        <v>-4.1946911299254053</v>
      </c>
      <c r="F84" s="633">
        <f>'Péréquation directe'!F90/Effort!C84</f>
        <v>-12.971030756451896</v>
      </c>
      <c r="G84" s="633">
        <f>'Péréquation directe'!G90/Effort!C84</f>
        <v>-0.63435457394967387</v>
      </c>
      <c r="H84" s="633">
        <f>'Péréquation directe'!J90/Effort!C84</f>
        <v>19.619554427615387</v>
      </c>
      <c r="I84" s="635">
        <f t="shared" si="3"/>
        <v>12.862108663281468</v>
      </c>
      <c r="J84" s="149">
        <f t="shared" si="4"/>
        <v>0</v>
      </c>
      <c r="K84" s="41">
        <f t="shared" si="5"/>
        <v>0</v>
      </c>
      <c r="L84" s="159"/>
    </row>
    <row r="85" spans="1:12" x14ac:dyDescent="0.25">
      <c r="A85" s="37">
        <f>Données!A85</f>
        <v>5537</v>
      </c>
      <c r="B85" s="125" t="str">
        <f>Données!B85</f>
        <v>Villars-le-Terroir</v>
      </c>
      <c r="C85" s="247">
        <f>VPI!R85</f>
        <v>36821.563947368428</v>
      </c>
      <c r="D85" s="633">
        <f>(PCS!I91-PCS!F91)/C85</f>
        <v>11.042630695993056</v>
      </c>
      <c r="E85" s="634">
        <f>'Péréquation directe'!E91/C85</f>
        <v>-6.7129888027621094</v>
      </c>
      <c r="F85" s="633">
        <f>'Péréquation directe'!F91/Effort!C85</f>
        <v>-17.863089541992611</v>
      </c>
      <c r="G85" s="633">
        <f>'Péréquation directe'!G91/Effort!C85</f>
        <v>-3.3105369292429514</v>
      </c>
      <c r="H85" s="633">
        <f>'Péréquation directe'!J91/Effort!C85</f>
        <v>19.619554427615387</v>
      </c>
      <c r="I85" s="635">
        <f t="shared" si="3"/>
        <v>2.7755698496107719</v>
      </c>
      <c r="J85" s="149">
        <f t="shared" si="4"/>
        <v>0</v>
      </c>
      <c r="K85" s="41">
        <f t="shared" si="5"/>
        <v>0</v>
      </c>
      <c r="L85" s="159"/>
    </row>
    <row r="86" spans="1:12" x14ac:dyDescent="0.25">
      <c r="A86" s="37">
        <f>Données!A86</f>
        <v>5539</v>
      </c>
      <c r="B86" s="125" t="str">
        <f>Données!B86</f>
        <v>Vuarrens</v>
      </c>
      <c r="C86" s="247">
        <f>VPI!R86</f>
        <v>34903.7481632653</v>
      </c>
      <c r="D86" s="633">
        <f>(PCS!I92-PCS!F92)/C86</f>
        <v>11.042630695993058</v>
      </c>
      <c r="E86" s="634">
        <f>'Péréquation directe'!E92/C86</f>
        <v>-5.087834871246109</v>
      </c>
      <c r="F86" s="633">
        <f>'Péréquation directe'!F92/Effort!C86</f>
        <v>-13.030232219724159</v>
      </c>
      <c r="G86" s="633">
        <f>'Péréquation directe'!G92/Effort!C86</f>
        <v>-0.91548670293790468</v>
      </c>
      <c r="H86" s="633">
        <f>'Péréquation directe'!J92/Effort!C86</f>
        <v>19.619554427615387</v>
      </c>
      <c r="I86" s="635">
        <f t="shared" si="3"/>
        <v>11.628631329700273</v>
      </c>
      <c r="J86" s="149">
        <f t="shared" si="4"/>
        <v>0</v>
      </c>
      <c r="K86" s="41">
        <f t="shared" si="5"/>
        <v>0</v>
      </c>
      <c r="L86" s="159"/>
    </row>
    <row r="87" spans="1:12" x14ac:dyDescent="0.25">
      <c r="A87" s="37">
        <f>Données!A87</f>
        <v>5540</v>
      </c>
      <c r="B87" s="125" t="str">
        <f>Données!B87</f>
        <v>Montilliez</v>
      </c>
      <c r="C87" s="247">
        <f>VPI!R87</f>
        <v>65033.644896551712</v>
      </c>
      <c r="D87" s="633">
        <f>(PCS!I93-PCS!F93)/C87</f>
        <v>11.042630695993056</v>
      </c>
      <c r="E87" s="634">
        <f>'Péréquation directe'!E93/C87</f>
        <v>-7.0457463073021973</v>
      </c>
      <c r="F87" s="633">
        <f>'Péréquation directe'!F93/Effort!C87</f>
        <v>-9.2420831250681417</v>
      </c>
      <c r="G87" s="633">
        <f>'Péréquation directe'!G93/Effort!C87</f>
        <v>-1.8635049118576996</v>
      </c>
      <c r="H87" s="633">
        <f>'Péréquation directe'!J93/Effort!C87</f>
        <v>19.619554427615387</v>
      </c>
      <c r="I87" s="635">
        <f t="shared" si="3"/>
        <v>12.510850779380405</v>
      </c>
      <c r="J87" s="149">
        <f t="shared" si="4"/>
        <v>0</v>
      </c>
      <c r="K87" s="41">
        <f t="shared" si="5"/>
        <v>0</v>
      </c>
      <c r="L87" s="159"/>
    </row>
    <row r="88" spans="1:12" x14ac:dyDescent="0.25">
      <c r="A88" s="37">
        <f>Données!A88</f>
        <v>5541</v>
      </c>
      <c r="B88" s="125" t="str">
        <f>Données!B88</f>
        <v>Goumoëns</v>
      </c>
      <c r="C88" s="247">
        <f>VPI!R88</f>
        <v>41006.934834437088</v>
      </c>
      <c r="D88" s="633">
        <f>(PCS!I94-PCS!F94)/C88</f>
        <v>11.042630695993056</v>
      </c>
      <c r="E88" s="634">
        <f>'Péréquation directe'!E94/C88</f>
        <v>-5.1565221801583885</v>
      </c>
      <c r="F88" s="633">
        <f>'Péréquation directe'!F94/Effort!C88</f>
        <v>-10.83777202194668</v>
      </c>
      <c r="G88" s="633">
        <f>'Péréquation directe'!G94/Effort!C88</f>
        <v>-1.3070081335276791</v>
      </c>
      <c r="H88" s="633">
        <f>'Péréquation directe'!J94/Effort!C88</f>
        <v>19.619554427615387</v>
      </c>
      <c r="I88" s="635">
        <f t="shared" si="3"/>
        <v>13.360882787975696</v>
      </c>
      <c r="J88" s="149">
        <f t="shared" si="4"/>
        <v>0</v>
      </c>
      <c r="K88" s="41">
        <f t="shared" si="5"/>
        <v>0</v>
      </c>
      <c r="L88" s="159"/>
    </row>
    <row r="89" spans="1:12" x14ac:dyDescent="0.25">
      <c r="A89" s="37">
        <f>Données!A89</f>
        <v>5551</v>
      </c>
      <c r="B89" s="125" t="str">
        <f>Données!B89</f>
        <v>Bonvillars</v>
      </c>
      <c r="C89" s="247">
        <f>VPI!R89</f>
        <v>19467.158771929826</v>
      </c>
      <c r="D89" s="633">
        <f>(PCS!I95-PCS!F95)/C89</f>
        <v>11.042630695993058</v>
      </c>
      <c r="E89" s="634">
        <f>'Péréquation directe'!E95/C89</f>
        <v>-3.5369246250109545</v>
      </c>
      <c r="F89" s="633">
        <f>'Péréquation directe'!F95/Effort!C89</f>
        <v>-4.2803710814364173</v>
      </c>
      <c r="G89" s="633">
        <f>'Péréquation directe'!G95/Effort!C89</f>
        <v>-3.1667096395917338</v>
      </c>
      <c r="H89" s="633">
        <f>'Péréquation directe'!J95/Effort!C89</f>
        <v>19.619554427615387</v>
      </c>
      <c r="I89" s="635">
        <f t="shared" si="3"/>
        <v>19.678179777569341</v>
      </c>
      <c r="J89" s="149">
        <f t="shared" si="4"/>
        <v>0</v>
      </c>
      <c r="K89" s="41">
        <f t="shared" si="5"/>
        <v>0</v>
      </c>
      <c r="L89" s="159"/>
    </row>
    <row r="90" spans="1:12" x14ac:dyDescent="0.25">
      <c r="A90" s="37">
        <f>Données!A90</f>
        <v>5552</v>
      </c>
      <c r="B90" s="125" t="str">
        <f>Données!B90</f>
        <v>Bullet</v>
      </c>
      <c r="C90" s="247">
        <f>VPI!R90</f>
        <v>20081.650000000001</v>
      </c>
      <c r="D90" s="633">
        <f>(PCS!I96-PCS!F96)/C90</f>
        <v>11.042630695993054</v>
      </c>
      <c r="E90" s="634">
        <f>'Péréquation directe'!E96/C90</f>
        <v>-4.5142291103611747</v>
      </c>
      <c r="F90" s="633">
        <f>'Péréquation directe'!F96/Effort!C90</f>
        <v>-14.44353517470225</v>
      </c>
      <c r="G90" s="633">
        <f>'Péréquation directe'!G96/Effort!C90</f>
        <v>-11.940002551407229</v>
      </c>
      <c r="H90" s="633">
        <f>'Péréquation directe'!J96/Effort!C90</f>
        <v>19.619554427615387</v>
      </c>
      <c r="I90" s="635">
        <f t="shared" si="3"/>
        <v>-0.23558171286220997</v>
      </c>
      <c r="J90" s="149">
        <f t="shared" si="4"/>
        <v>0</v>
      </c>
      <c r="K90" s="41">
        <f t="shared" si="5"/>
        <v>0</v>
      </c>
      <c r="L90" s="159"/>
    </row>
    <row r="91" spans="1:12" x14ac:dyDescent="0.25">
      <c r="A91" s="37">
        <f>Données!A91</f>
        <v>5553</v>
      </c>
      <c r="B91" s="125" t="str">
        <f>Données!B91</f>
        <v>Champagne</v>
      </c>
      <c r="C91" s="247">
        <f>VPI!R91</f>
        <v>38368.423846153841</v>
      </c>
      <c r="D91" s="633">
        <f>(PCS!I97-PCS!F97)/C91</f>
        <v>11.042630695993056</v>
      </c>
      <c r="E91" s="634">
        <f>'Péréquation directe'!E97/C91</f>
        <v>-4.1530904644455715</v>
      </c>
      <c r="F91" s="633">
        <f>'Péréquation directe'!F97/Effort!C91</f>
        <v>-6.6673192353771578</v>
      </c>
      <c r="G91" s="633">
        <f>'Péréquation directe'!G97/Effort!C91</f>
        <v>-11.095185895890038</v>
      </c>
      <c r="H91" s="633">
        <f>'Péréquation directe'!J97/Effort!C91</f>
        <v>19.619554427615387</v>
      </c>
      <c r="I91" s="635">
        <f t="shared" si="3"/>
        <v>8.7465895278956758</v>
      </c>
      <c r="J91" s="149">
        <f t="shared" si="4"/>
        <v>0</v>
      </c>
      <c r="K91" s="41">
        <f t="shared" si="5"/>
        <v>0</v>
      </c>
      <c r="L91" s="159"/>
    </row>
    <row r="92" spans="1:12" x14ac:dyDescent="0.25">
      <c r="A92" s="37">
        <f>Données!A92</f>
        <v>5554</v>
      </c>
      <c r="B92" s="125" t="str">
        <f>Données!B92</f>
        <v>Concise</v>
      </c>
      <c r="C92" s="247">
        <f>VPI!R92</f>
        <v>33009.838309859158</v>
      </c>
      <c r="D92" s="633">
        <f>(PCS!I98-PCS!F98)/C92</f>
        <v>11.042630695993054</v>
      </c>
      <c r="E92" s="634">
        <f>'Péréquation directe'!E98/C92</f>
        <v>-4.3086279714850004</v>
      </c>
      <c r="F92" s="633">
        <f>'Péréquation directe'!F98/Effort!C92</f>
        <v>-11.114745722438888</v>
      </c>
      <c r="G92" s="633">
        <f>'Péréquation directe'!G98/Effort!C92</f>
        <v>-7.4315556700330569</v>
      </c>
      <c r="H92" s="633">
        <f>'Péréquation directe'!J98/Effort!C92</f>
        <v>19.619554427615387</v>
      </c>
      <c r="I92" s="635">
        <f t="shared" si="3"/>
        <v>7.8072557596514969</v>
      </c>
      <c r="J92" s="149">
        <f t="shared" si="4"/>
        <v>0</v>
      </c>
      <c r="K92" s="41">
        <f t="shared" si="5"/>
        <v>0</v>
      </c>
      <c r="L92" s="159"/>
    </row>
    <row r="93" spans="1:12" x14ac:dyDescent="0.25">
      <c r="A93" s="37">
        <f>Données!A93</f>
        <v>5555</v>
      </c>
      <c r="B93" s="125" t="str">
        <f>Données!B93</f>
        <v>Corcelles-près-Concise</v>
      </c>
      <c r="C93" s="247">
        <f>VPI!R93</f>
        <v>14189.979565217391</v>
      </c>
      <c r="D93" s="633">
        <f>(PCS!I99-PCS!F99)/C93</f>
        <v>11.042630695993054</v>
      </c>
      <c r="E93" s="634">
        <f>'Péréquation directe'!E99/C93</f>
        <v>-4.1029002300499977</v>
      </c>
      <c r="F93" s="633">
        <f>'Péréquation directe'!F99/Effort!C93</f>
        <v>-10.3219142044551</v>
      </c>
      <c r="G93" s="633">
        <f>'Péréquation directe'!G99/Effort!C93</f>
        <v>-14.601271989001438</v>
      </c>
      <c r="H93" s="633">
        <f>'Péréquation directe'!J99/Effort!C93</f>
        <v>19.619554427615387</v>
      </c>
      <c r="I93" s="635">
        <f t="shared" si="3"/>
        <v>1.6360987001019076</v>
      </c>
      <c r="J93" s="149">
        <f t="shared" si="4"/>
        <v>0</v>
      </c>
      <c r="K93" s="41">
        <f t="shared" si="5"/>
        <v>0</v>
      </c>
      <c r="L93" s="159"/>
    </row>
    <row r="94" spans="1:12" x14ac:dyDescent="0.25">
      <c r="A94" s="37">
        <f>Données!A94</f>
        <v>5556</v>
      </c>
      <c r="B94" s="125" t="str">
        <f>Données!B94</f>
        <v>Fiez</v>
      </c>
      <c r="C94" s="247">
        <f>VPI!R94</f>
        <v>12811.352608695654</v>
      </c>
      <c r="D94" s="633">
        <f>(PCS!I100-PCS!F100)/C94</f>
        <v>11.042630695993056</v>
      </c>
      <c r="E94" s="634">
        <f>'Péréquation directe'!E100/C94</f>
        <v>-4.4717848634633031</v>
      </c>
      <c r="F94" s="633">
        <f>'Péréquation directe'!F100/Effort!C94</f>
        <v>-12.961293157175078</v>
      </c>
      <c r="G94" s="633">
        <f>'Péréquation directe'!G100/Effort!C94</f>
        <v>-3.2998455719308324</v>
      </c>
      <c r="H94" s="633">
        <f>'Péréquation directe'!J100/Effort!C94</f>
        <v>19.619554427615387</v>
      </c>
      <c r="I94" s="635">
        <f t="shared" si="3"/>
        <v>9.9292615310392307</v>
      </c>
      <c r="J94" s="149">
        <f t="shared" si="4"/>
        <v>0</v>
      </c>
      <c r="K94" s="41">
        <f t="shared" si="5"/>
        <v>0</v>
      </c>
      <c r="L94" s="159"/>
    </row>
    <row r="95" spans="1:12" x14ac:dyDescent="0.25">
      <c r="A95" s="37">
        <f>Données!A95</f>
        <v>5557</v>
      </c>
      <c r="B95" s="125" t="str">
        <f>Données!B95</f>
        <v>Fontaines-sur-Grandson</v>
      </c>
      <c r="C95" s="247">
        <f>VPI!R95</f>
        <v>5164.2157971014494</v>
      </c>
      <c r="D95" s="633">
        <f>(PCS!I101-PCS!F101)/C95</f>
        <v>11.042630695993056</v>
      </c>
      <c r="E95" s="634">
        <f>'Péréquation directe'!E101/C95</f>
        <v>-5.6626134335618277</v>
      </c>
      <c r="F95" s="633">
        <f>'Péréquation directe'!F101/Effort!C95</f>
        <v>-21.481701923278756</v>
      </c>
      <c r="G95" s="633">
        <f>'Péréquation directe'!G101/Effort!C95</f>
        <v>-12.555884688898866</v>
      </c>
      <c r="H95" s="633">
        <f>'Péréquation directe'!J101/Effort!C95</f>
        <v>19.619554427615387</v>
      </c>
      <c r="I95" s="635">
        <f t="shared" si="3"/>
        <v>-9.0380149221310084</v>
      </c>
      <c r="J95" s="149">
        <f t="shared" si="4"/>
        <v>0</v>
      </c>
      <c r="K95" s="41">
        <f t="shared" si="5"/>
        <v>0</v>
      </c>
      <c r="L95" s="159"/>
    </row>
    <row r="96" spans="1:12" x14ac:dyDescent="0.25">
      <c r="A96" s="37">
        <f>Données!A96</f>
        <v>5559</v>
      </c>
      <c r="B96" s="125" t="str">
        <f>Données!B96</f>
        <v>Giez</v>
      </c>
      <c r="C96" s="247">
        <f>VPI!R96</f>
        <v>23273.261029411766</v>
      </c>
      <c r="D96" s="633">
        <f>(PCS!I102-PCS!F102)/C96</f>
        <v>11.094814036163191</v>
      </c>
      <c r="E96" s="634">
        <f>'Péréquation directe'!E102/C96</f>
        <v>-2.6500822665154042</v>
      </c>
      <c r="F96" s="633">
        <f>'Péréquation directe'!F102/Effort!C96</f>
        <v>0</v>
      </c>
      <c r="G96" s="633">
        <f>'Péréquation directe'!G102/Effort!C96</f>
        <v>-1.8626525887621053</v>
      </c>
      <c r="H96" s="633">
        <f>'Péréquation directe'!J102/Effort!C96</f>
        <v>19.619554427615387</v>
      </c>
      <c r="I96" s="635">
        <f t="shared" si="3"/>
        <v>26.201633608501069</v>
      </c>
      <c r="J96" s="149">
        <f t="shared" si="4"/>
        <v>0</v>
      </c>
      <c r="K96" s="41">
        <f t="shared" si="5"/>
        <v>0</v>
      </c>
      <c r="L96" s="159"/>
    </row>
    <row r="97" spans="1:12" x14ac:dyDescent="0.25">
      <c r="A97" s="37">
        <f>Données!A97</f>
        <v>5560</v>
      </c>
      <c r="B97" s="125" t="str">
        <f>Données!B97</f>
        <v>Grandevent</v>
      </c>
      <c r="C97" s="247">
        <f>VPI!R97</f>
        <v>8016.4264285714298</v>
      </c>
      <c r="D97" s="633">
        <f>(PCS!I103-PCS!F103)/C97</f>
        <v>11.042630695993056</v>
      </c>
      <c r="E97" s="634">
        <f>'Péréquation directe'!E103/C97</f>
        <v>-3.9960861951831292</v>
      </c>
      <c r="F97" s="633">
        <f>'Péréquation directe'!F103/Effort!C97</f>
        <v>-9.836698090398496</v>
      </c>
      <c r="G97" s="633">
        <f>'Péréquation directe'!G103/Effort!C97</f>
        <v>-21.55526930961393</v>
      </c>
      <c r="H97" s="633">
        <f>'Péréquation directe'!J103/Effort!C97</f>
        <v>19.619554427615387</v>
      </c>
      <c r="I97" s="635">
        <f t="shared" si="3"/>
        <v>-4.7258684715871127</v>
      </c>
      <c r="J97" s="149">
        <f t="shared" si="4"/>
        <v>0</v>
      </c>
      <c r="K97" s="41">
        <f t="shared" si="5"/>
        <v>0</v>
      </c>
      <c r="L97" s="159"/>
    </row>
    <row r="98" spans="1:12" x14ac:dyDescent="0.25">
      <c r="A98" s="37">
        <f>Données!A98</f>
        <v>5561</v>
      </c>
      <c r="B98" s="125" t="str">
        <f>Données!B98</f>
        <v>Grandson</v>
      </c>
      <c r="C98" s="247">
        <f>VPI!R98</f>
        <v>125721.38057971014</v>
      </c>
      <c r="D98" s="633">
        <f>(PCS!I104-PCS!F104)/C98</f>
        <v>11.042630695993056</v>
      </c>
      <c r="E98" s="634">
        <f>'Péréquation directe'!E104/C98</f>
        <v>-8.6527687108820821</v>
      </c>
      <c r="F98" s="633">
        <f>'Péréquation directe'!F104/Effort!C98</f>
        <v>-6.6558091149380463</v>
      </c>
      <c r="G98" s="633">
        <f>'Péréquation directe'!G104/Effort!C98</f>
        <v>-8.8971194991290918</v>
      </c>
      <c r="H98" s="633">
        <f>'Péréquation directe'!J104/Effort!C98</f>
        <v>19.619554427615387</v>
      </c>
      <c r="I98" s="635">
        <f t="shared" si="3"/>
        <v>6.4564877986592233</v>
      </c>
      <c r="J98" s="149">
        <f t="shared" si="4"/>
        <v>0</v>
      </c>
      <c r="K98" s="41">
        <f t="shared" si="5"/>
        <v>0</v>
      </c>
      <c r="L98" s="159"/>
    </row>
    <row r="99" spans="1:12" x14ac:dyDescent="0.25">
      <c r="A99" s="37">
        <f>Données!A99</f>
        <v>5562</v>
      </c>
      <c r="B99" s="125" t="str">
        <f>Données!B99</f>
        <v>Mauborget</v>
      </c>
      <c r="C99" s="247">
        <f>VPI!R99</f>
        <v>4554.1072619047618</v>
      </c>
      <c r="D99" s="633">
        <f>(PCS!I105-PCS!F105)/C99</f>
        <v>11.042630695993056</v>
      </c>
      <c r="E99" s="634">
        <f>'Péréquation directe'!E105/C99</f>
        <v>-4.2321725197075217</v>
      </c>
      <c r="F99" s="633">
        <f>'Péréquation directe'!F105/Effort!C99</f>
        <v>-11.5752189841423</v>
      </c>
      <c r="G99" s="633">
        <f>'Péréquation directe'!G105/Effort!C99</f>
        <v>-9.8230249539329364</v>
      </c>
      <c r="H99" s="633">
        <f>'Péréquation directe'!J105/Effort!C99</f>
        <v>19.619554427615387</v>
      </c>
      <c r="I99" s="635">
        <f t="shared" si="3"/>
        <v>5.0317686658256857</v>
      </c>
      <c r="J99" s="149">
        <f t="shared" si="4"/>
        <v>0</v>
      </c>
      <c r="K99" s="41">
        <f t="shared" si="5"/>
        <v>0</v>
      </c>
      <c r="L99" s="159"/>
    </row>
    <row r="100" spans="1:12" x14ac:dyDescent="0.25">
      <c r="A100" s="37">
        <f>Données!A100</f>
        <v>5563</v>
      </c>
      <c r="B100" s="125" t="str">
        <f>Données!B100</f>
        <v>Mutrux</v>
      </c>
      <c r="C100" s="247">
        <f>VPI!R100</f>
        <v>4029.343875</v>
      </c>
      <c r="D100" s="633">
        <f>(PCS!I106-PCS!F106)/C100</f>
        <v>11.042630695993056</v>
      </c>
      <c r="E100" s="634">
        <f>'Péréquation directe'!E106/C100</f>
        <v>-4.7503627548846357</v>
      </c>
      <c r="F100" s="633">
        <f>'Péréquation directe'!F106/Effort!C100</f>
        <v>-20.102701206727975</v>
      </c>
      <c r="G100" s="633">
        <f>'Péréquation directe'!G106/Effort!C100</f>
        <v>-14.845711932544466</v>
      </c>
      <c r="H100" s="633">
        <f>'Péréquation directe'!J106/Effort!C100</f>
        <v>19.619554427615387</v>
      </c>
      <c r="I100" s="635">
        <f t="shared" si="3"/>
        <v>-9.0365907705486315</v>
      </c>
      <c r="J100" s="149">
        <f t="shared" si="4"/>
        <v>0</v>
      </c>
      <c r="K100" s="41">
        <f t="shared" si="5"/>
        <v>0</v>
      </c>
      <c r="L100" s="159"/>
    </row>
    <row r="101" spans="1:12" x14ac:dyDescent="0.25">
      <c r="A101" s="37">
        <f>Données!A101</f>
        <v>5564</v>
      </c>
      <c r="B101" s="125" t="str">
        <f>Données!B101</f>
        <v>Novalles</v>
      </c>
      <c r="C101" s="247">
        <f>VPI!R101</f>
        <v>2464.3180592105264</v>
      </c>
      <c r="D101" s="633">
        <f>(PCS!I107-PCS!F107)/C101</f>
        <v>11.042630695993058</v>
      </c>
      <c r="E101" s="634">
        <f>'Péréquation directe'!E107/C101</f>
        <v>-5.7175203824575291</v>
      </c>
      <c r="F101" s="633">
        <f>'Péréquation directe'!F107/Effort!C101</f>
        <v>-26.538011602997223</v>
      </c>
      <c r="G101" s="633">
        <f>'Péréquation directe'!G107/Effort!C101</f>
        <v>-4.5954709846254387</v>
      </c>
      <c r="H101" s="633">
        <f>'Péréquation directe'!J107/Effort!C101</f>
        <v>19.619554427615387</v>
      </c>
      <c r="I101" s="635">
        <f t="shared" si="3"/>
        <v>-6.1888178464717463</v>
      </c>
      <c r="J101" s="149">
        <f t="shared" si="4"/>
        <v>0</v>
      </c>
      <c r="K101" s="41">
        <f t="shared" si="5"/>
        <v>0</v>
      </c>
      <c r="L101" s="159"/>
    </row>
    <row r="102" spans="1:12" x14ac:dyDescent="0.25">
      <c r="A102" s="37">
        <f>Données!A102</f>
        <v>5565</v>
      </c>
      <c r="B102" s="125" t="str">
        <f>Données!B102</f>
        <v>Onnens</v>
      </c>
      <c r="C102" s="247">
        <f>VPI!R102</f>
        <v>20188.105039370083</v>
      </c>
      <c r="D102" s="633">
        <f>(PCS!I108-PCS!F108)/C102</f>
        <v>11.042630695993056</v>
      </c>
      <c r="E102" s="634">
        <f>'Péréquation directe'!E108/C102</f>
        <v>-3.4237843608929355</v>
      </c>
      <c r="F102" s="633">
        <f>'Péréquation directe'!F108/Effort!C102</f>
        <v>-4.626647228165111</v>
      </c>
      <c r="G102" s="633">
        <f>'Péréquation directe'!G108/Effort!C102</f>
        <v>-3.4044635800901775</v>
      </c>
      <c r="H102" s="633">
        <f>'Péréquation directe'!J108/Effort!C102</f>
        <v>19.619554427615387</v>
      </c>
      <c r="I102" s="635">
        <f t="shared" si="3"/>
        <v>19.207289954460219</v>
      </c>
      <c r="J102" s="149">
        <f t="shared" si="4"/>
        <v>0</v>
      </c>
      <c r="K102" s="41">
        <f t="shared" si="5"/>
        <v>0</v>
      </c>
      <c r="L102" s="159"/>
    </row>
    <row r="103" spans="1:12" x14ac:dyDescent="0.25">
      <c r="A103" s="37">
        <f>Données!A103</f>
        <v>5566</v>
      </c>
      <c r="B103" s="125" t="str">
        <f>Données!B103</f>
        <v>Provence</v>
      </c>
      <c r="C103" s="247">
        <f>VPI!R103</f>
        <v>11354.81353909465</v>
      </c>
      <c r="D103" s="633">
        <f>(PCS!I109-PCS!F109)/C103</f>
        <v>11.042630695993056</v>
      </c>
      <c r="E103" s="634">
        <f>'Péréquation directe'!E109/C103</f>
        <v>-4.8112777707653027</v>
      </c>
      <c r="F103" s="633">
        <f>'Péréquation directe'!F109/Effort!C103</f>
        <v>-21.209040313121658</v>
      </c>
      <c r="G103" s="633">
        <f>'Péréquation directe'!G109/Effort!C103</f>
        <v>-36.466443664684448</v>
      </c>
      <c r="H103" s="633">
        <f>'Péréquation directe'!J109/Effort!C103</f>
        <v>19.619554427615387</v>
      </c>
      <c r="I103" s="635">
        <f t="shared" si="3"/>
        <v>-31.824576624962969</v>
      </c>
      <c r="J103" s="149">
        <f t="shared" si="4"/>
        <v>0</v>
      </c>
      <c r="K103" s="41">
        <f t="shared" si="5"/>
        <v>0</v>
      </c>
      <c r="L103" s="159"/>
    </row>
    <row r="104" spans="1:12" x14ac:dyDescent="0.25">
      <c r="A104" s="37">
        <f>Données!A104</f>
        <v>5568</v>
      </c>
      <c r="B104" s="125" t="str">
        <f>Données!B104</f>
        <v>Sainte-Croix</v>
      </c>
      <c r="C104" s="247">
        <f>VPI!R104</f>
        <v>114571.34028571429</v>
      </c>
      <c r="D104" s="633">
        <f>(PCS!I110-PCS!F110)/C104</f>
        <v>11.042630695993056</v>
      </c>
      <c r="E104" s="634">
        <f>'Péréquation directe'!E110/C104</f>
        <v>-17.662468388777839</v>
      </c>
      <c r="F104" s="633">
        <f>'Péréquation directe'!F110/Effort!C104</f>
        <v>-24.237576988431833</v>
      </c>
      <c r="G104" s="633">
        <f>'Péréquation directe'!G110/Effort!C104</f>
        <v>-15.288585957825587</v>
      </c>
      <c r="H104" s="633">
        <f>'Péréquation directe'!J110/Effort!C104</f>
        <v>19.619554427615391</v>
      </c>
      <c r="I104" s="635">
        <f t="shared" si="3"/>
        <v>-26.526446211426816</v>
      </c>
      <c r="J104" s="149">
        <f t="shared" si="4"/>
        <v>0</v>
      </c>
      <c r="K104" s="41">
        <f t="shared" si="5"/>
        <v>0</v>
      </c>
      <c r="L104" s="159"/>
    </row>
    <row r="105" spans="1:12" x14ac:dyDescent="0.25">
      <c r="A105" s="37">
        <f>Données!A105</f>
        <v>5571</v>
      </c>
      <c r="B105" s="125" t="str">
        <f>Données!B105</f>
        <v>Tévenon</v>
      </c>
      <c r="C105" s="247">
        <f>VPI!R105</f>
        <v>26145.544382284381</v>
      </c>
      <c r="D105" s="633">
        <f>(PCS!I111-PCS!F111)/C105</f>
        <v>11.042630695993058</v>
      </c>
      <c r="E105" s="634">
        <f>'Péréquation directe'!E111/C105</f>
        <v>-4.3772774872665323</v>
      </c>
      <c r="F105" s="633">
        <f>'Péréquation directe'!F111/Effort!C105</f>
        <v>-13.191441664735494</v>
      </c>
      <c r="G105" s="633">
        <f>'Péréquation directe'!G111/Effort!C105</f>
        <v>-5.3788879193463659</v>
      </c>
      <c r="H105" s="633">
        <f>'Péréquation directe'!J111/Effort!C105</f>
        <v>19.619554427615387</v>
      </c>
      <c r="I105" s="635">
        <f t="shared" si="3"/>
        <v>7.7145780522600518</v>
      </c>
      <c r="J105" s="149">
        <f t="shared" si="4"/>
        <v>0</v>
      </c>
      <c r="K105" s="41">
        <f t="shared" si="5"/>
        <v>0</v>
      </c>
      <c r="L105" s="159"/>
    </row>
    <row r="106" spans="1:12" x14ac:dyDescent="0.25">
      <c r="A106" s="37">
        <f>Données!A106</f>
        <v>5581</v>
      </c>
      <c r="B106" s="125" t="str">
        <f>Données!B106</f>
        <v>Belmont-sur-Lausanne</v>
      </c>
      <c r="C106" s="247">
        <f>VPI!R106</f>
        <v>246930.40333333338</v>
      </c>
      <c r="D106" s="633">
        <f>(PCS!I112-PCS!F112)/C106</f>
        <v>14.358043466540883</v>
      </c>
      <c r="E106" s="634">
        <f>'Péréquation directe'!E112/C106</f>
        <v>-5.5380261960189321</v>
      </c>
      <c r="F106" s="633">
        <f>'Péréquation directe'!F112/Effort!C106</f>
        <v>0</v>
      </c>
      <c r="G106" s="633">
        <f>'Péréquation directe'!G112/Effort!C106</f>
        <v>-4.562864993134224</v>
      </c>
      <c r="H106" s="633">
        <f>'Péréquation directe'!J112/Effort!C106</f>
        <v>19.619554427615387</v>
      </c>
      <c r="I106" s="635">
        <f t="shared" si="3"/>
        <v>23.876706705003116</v>
      </c>
      <c r="J106" s="149">
        <f t="shared" si="4"/>
        <v>0</v>
      </c>
      <c r="K106" s="41">
        <f t="shared" si="5"/>
        <v>0</v>
      </c>
      <c r="L106" s="159"/>
    </row>
    <row r="107" spans="1:12" x14ac:dyDescent="0.25">
      <c r="A107" s="37">
        <f>Données!A107</f>
        <v>5582</v>
      </c>
      <c r="B107" s="125" t="str">
        <f>Données!B107</f>
        <v>Cheseaux-sur-Lausanne</v>
      </c>
      <c r="C107" s="247">
        <f>VPI!R107</f>
        <v>179580.92342465755</v>
      </c>
      <c r="D107" s="633">
        <f>(PCS!I113-PCS!F113)/C107</f>
        <v>11.042630695993056</v>
      </c>
      <c r="E107" s="634">
        <f>'Péréquation directe'!E113/C107</f>
        <v>-10.377349153368321</v>
      </c>
      <c r="F107" s="633">
        <f>'Péréquation directe'!F113/Effort!C107</f>
        <v>-7.4744062037424905</v>
      </c>
      <c r="G107" s="633">
        <f>'Péréquation directe'!G113/Effort!C107</f>
        <v>-3.1498334424502379</v>
      </c>
      <c r="H107" s="633">
        <f>'Péréquation directe'!J113/Effort!C107</f>
        <v>19.619554427615387</v>
      </c>
      <c r="I107" s="635">
        <f t="shared" si="3"/>
        <v>9.6605963240473933</v>
      </c>
      <c r="J107" s="149">
        <f t="shared" si="4"/>
        <v>0</v>
      </c>
      <c r="K107" s="41">
        <f t="shared" si="5"/>
        <v>0</v>
      </c>
      <c r="L107" s="159"/>
    </row>
    <row r="108" spans="1:12" x14ac:dyDescent="0.25">
      <c r="A108" s="37">
        <f>Données!A108</f>
        <v>5583</v>
      </c>
      <c r="B108" s="125" t="str">
        <f>Données!B108</f>
        <v>Crissier</v>
      </c>
      <c r="C108" s="247">
        <f>VPI!R108</f>
        <v>456346.42330708652</v>
      </c>
      <c r="D108" s="633">
        <f>(PCS!I114-PCS!F114)/C108</f>
        <v>11.042630695993056</v>
      </c>
      <c r="E108" s="634">
        <f>'Péréquation directe'!E114/C108</f>
        <v>-13.172643468598471</v>
      </c>
      <c r="F108" s="633">
        <f>'Péréquation directe'!F114/Effort!C108</f>
        <v>-2.7301508946096891</v>
      </c>
      <c r="G108" s="633">
        <f>'Péréquation directe'!G114/Effort!C108</f>
        <v>-7.9304476550032019</v>
      </c>
      <c r="H108" s="633">
        <f>'Péréquation directe'!J114/Effort!C108</f>
        <v>19.619554427615384</v>
      </c>
      <c r="I108" s="635">
        <f t="shared" si="3"/>
        <v>6.8289431053970766</v>
      </c>
      <c r="J108" s="149">
        <f t="shared" si="4"/>
        <v>0</v>
      </c>
      <c r="K108" s="41">
        <f t="shared" si="5"/>
        <v>0</v>
      </c>
      <c r="L108" s="159"/>
    </row>
    <row r="109" spans="1:12" x14ac:dyDescent="0.25">
      <c r="A109" s="37">
        <f>Données!A109</f>
        <v>5584</v>
      </c>
      <c r="B109" s="125" t="str">
        <f>Données!B109</f>
        <v>Epalinges</v>
      </c>
      <c r="C109" s="247">
        <f>VPI!R109</f>
        <v>527681.12604651169</v>
      </c>
      <c r="D109" s="633">
        <f>(PCS!I115-PCS!F115)/C109</f>
        <v>11.84383085839117</v>
      </c>
      <c r="E109" s="634">
        <f>'Péréquation directe'!E115/C109</f>
        <v>-10.064386823194573</v>
      </c>
      <c r="F109" s="633">
        <f>'Péréquation directe'!F115/Effort!C109</f>
        <v>0</v>
      </c>
      <c r="G109" s="633">
        <f>'Péréquation directe'!G115/Effort!C109</f>
        <v>-8.1332712834892629</v>
      </c>
      <c r="H109" s="633">
        <f>'Péréquation directe'!J115/Effort!C109</f>
        <v>19.619554427615387</v>
      </c>
      <c r="I109" s="635">
        <f t="shared" si="3"/>
        <v>13.265727179322722</v>
      </c>
      <c r="J109" s="149">
        <f t="shared" si="4"/>
        <v>0</v>
      </c>
      <c r="K109" s="41">
        <f t="shared" si="5"/>
        <v>0</v>
      </c>
      <c r="L109" s="159"/>
    </row>
    <row r="110" spans="1:12" x14ac:dyDescent="0.25">
      <c r="A110" s="37">
        <f>Données!A110</f>
        <v>5585</v>
      </c>
      <c r="B110" s="125" t="str">
        <f>Données!B110</f>
        <v>Jouxtens-Mézery</v>
      </c>
      <c r="C110" s="247">
        <f>VPI!R110</f>
        <v>207839.61429378533</v>
      </c>
      <c r="D110" s="633">
        <f>(PCS!I116-PCS!F116)/C110</f>
        <v>26.458944085875764</v>
      </c>
      <c r="E110" s="634">
        <f>'Péréquation directe'!E116/C110</f>
        <v>-1.5026720954694004</v>
      </c>
      <c r="F110" s="633">
        <f>'Péréquation directe'!F116/Effort!C110</f>
        <v>0</v>
      </c>
      <c r="G110" s="633">
        <f>'Péréquation directe'!G116/Effort!C110</f>
        <v>0</v>
      </c>
      <c r="H110" s="633">
        <f>'Péréquation directe'!J116/Effort!C110</f>
        <v>19.619554427615387</v>
      </c>
      <c r="I110" s="635">
        <f t="shared" si="3"/>
        <v>44.575826418021748</v>
      </c>
      <c r="J110" s="149">
        <f t="shared" si="4"/>
        <v>0</v>
      </c>
      <c r="K110" s="41">
        <f t="shared" si="5"/>
        <v>0</v>
      </c>
      <c r="L110" s="159"/>
    </row>
    <row r="111" spans="1:12" x14ac:dyDescent="0.25">
      <c r="A111" s="37">
        <f>Données!A111</f>
        <v>5586</v>
      </c>
      <c r="B111" s="125" t="str">
        <f>Données!B111</f>
        <v>Lausanne</v>
      </c>
      <c r="C111" s="247">
        <f>VPI!R111</f>
        <v>7026947.2679830147</v>
      </c>
      <c r="D111" s="633">
        <f>(PCS!I117-PCS!F117)/C111</f>
        <v>11.042630695993056</v>
      </c>
      <c r="E111" s="634">
        <f>'Péréquation directe'!E117/C111</f>
        <v>-22.141515667418425</v>
      </c>
      <c r="F111" s="633">
        <f>'Péréquation directe'!F117/Effort!C111</f>
        <v>-0.77093680887459093</v>
      </c>
      <c r="G111" s="633">
        <f>'Péréquation directe'!G117/Effort!C111</f>
        <v>-7.3514085846864692</v>
      </c>
      <c r="H111" s="633">
        <f>'Péréquation directe'!J117/Effort!C111</f>
        <v>19.619554427615387</v>
      </c>
      <c r="I111" s="635">
        <f t="shared" si="3"/>
        <v>0.39832406262895859</v>
      </c>
      <c r="J111" s="149">
        <f t="shared" si="4"/>
        <v>0</v>
      </c>
      <c r="K111" s="41">
        <f t="shared" si="5"/>
        <v>0</v>
      </c>
      <c r="L111" s="159"/>
    </row>
    <row r="112" spans="1:12" x14ac:dyDescent="0.25">
      <c r="A112" s="37">
        <f>Données!A112</f>
        <v>5587</v>
      </c>
      <c r="B112" s="125" t="str">
        <f>Données!B112</f>
        <v>Le Mont-sur-Lausanne</v>
      </c>
      <c r="C112" s="247">
        <f>VPI!R112</f>
        <v>515123.14148148138</v>
      </c>
      <c r="D112" s="633">
        <f>(PCS!I118-PCS!F118)/C112</f>
        <v>12.113371362352263</v>
      </c>
      <c r="E112" s="634">
        <f>'Péréquation directe'!E118/C112</f>
        <v>-9.6745505255738706</v>
      </c>
      <c r="F112" s="633">
        <f>'Péréquation directe'!F118/Effort!C112</f>
        <v>0</v>
      </c>
      <c r="G112" s="633">
        <f>'Péréquation directe'!G118/Effort!C112</f>
        <v>-4.7327091464708086</v>
      </c>
      <c r="H112" s="633">
        <f>'Péréquation directe'!J118/Effort!C112</f>
        <v>19.619554427615387</v>
      </c>
      <c r="I112" s="635">
        <f t="shared" si="3"/>
        <v>17.325666117922971</v>
      </c>
      <c r="J112" s="149">
        <f t="shared" si="4"/>
        <v>0</v>
      </c>
      <c r="K112" s="41">
        <f t="shared" si="5"/>
        <v>0</v>
      </c>
      <c r="L112" s="159"/>
    </row>
    <row r="113" spans="1:12" x14ac:dyDescent="0.25">
      <c r="A113" s="37">
        <f>Données!A113</f>
        <v>5588</v>
      </c>
      <c r="B113" s="125" t="str">
        <f>Données!B113</f>
        <v>Paudex</v>
      </c>
      <c r="C113" s="247">
        <f>VPI!R113</f>
        <v>151788.7450912997</v>
      </c>
      <c r="D113" s="633">
        <f>(PCS!I119-PCS!F119)/C113</f>
        <v>22.116879972201417</v>
      </c>
      <c r="E113" s="634">
        <f>'Péréquation directe'!E119/C113</f>
        <v>-2.1311216552687755</v>
      </c>
      <c r="F113" s="633">
        <f>'Péréquation directe'!F119/Effort!C113</f>
        <v>0</v>
      </c>
      <c r="G113" s="633">
        <f>'Péréquation directe'!G119/Effort!C113</f>
        <v>0</v>
      </c>
      <c r="H113" s="633">
        <f>'Péréquation directe'!J119/Effort!C113</f>
        <v>19.619554427615387</v>
      </c>
      <c r="I113" s="635">
        <f t="shared" si="3"/>
        <v>39.60531274454803</v>
      </c>
      <c r="J113" s="149">
        <f t="shared" si="4"/>
        <v>0</v>
      </c>
      <c r="K113" s="41">
        <f t="shared" si="5"/>
        <v>0</v>
      </c>
      <c r="L113" s="159"/>
    </row>
    <row r="114" spans="1:12" x14ac:dyDescent="0.25">
      <c r="A114" s="37">
        <f>Données!A114</f>
        <v>5589</v>
      </c>
      <c r="B114" s="125" t="str">
        <f>Données!B114</f>
        <v>Prilly</v>
      </c>
      <c r="C114" s="247">
        <f>VPI!R114</f>
        <v>442584.39482228115</v>
      </c>
      <c r="D114" s="633">
        <f>(PCS!I120-PCS!F120)/C114</f>
        <v>11.042630695993058</v>
      </c>
      <c r="E114" s="634">
        <f>'Péréquation directe'!E120/C114</f>
        <v>-18.11846689137186</v>
      </c>
      <c r="F114" s="633">
        <f>'Péréquation directe'!F120/Effort!C114</f>
        <v>-9.2718636548083211</v>
      </c>
      <c r="G114" s="633">
        <f>'Péréquation directe'!G120/Effort!C114</f>
        <v>-8.4252551706440109</v>
      </c>
      <c r="H114" s="633">
        <f>'Péréquation directe'!J120/Effort!C114</f>
        <v>19.619554427615384</v>
      </c>
      <c r="I114" s="635">
        <f t="shared" si="3"/>
        <v>-5.1534005932157498</v>
      </c>
      <c r="J114" s="149">
        <f t="shared" si="4"/>
        <v>0</v>
      </c>
      <c r="K114" s="41">
        <f t="shared" si="5"/>
        <v>0</v>
      </c>
      <c r="L114" s="159"/>
    </row>
    <row r="115" spans="1:12" x14ac:dyDescent="0.25">
      <c r="A115" s="37">
        <f>Données!A115</f>
        <v>5590</v>
      </c>
      <c r="B115" s="125" t="str">
        <f>Données!B115</f>
        <v>Pully</v>
      </c>
      <c r="C115" s="247">
        <f>VPI!R115</f>
        <v>1670113.1662763469</v>
      </c>
      <c r="D115" s="633">
        <f>(PCS!I121-PCS!F121)/C115</f>
        <v>18.678264830417994</v>
      </c>
      <c r="E115" s="634">
        <f>'Péréquation directe'!E121/C115</f>
        <v>-9.262401563665815</v>
      </c>
      <c r="F115" s="633">
        <f>'Péréquation directe'!F121/Effort!C115</f>
        <v>0</v>
      </c>
      <c r="G115" s="633">
        <f>'Péréquation directe'!G121/Effort!C115</f>
        <v>-1.6167725722619128</v>
      </c>
      <c r="H115" s="633">
        <f>'Péréquation directe'!J121/Effort!C115</f>
        <v>19.619554427615387</v>
      </c>
      <c r="I115" s="635">
        <f t="shared" si="3"/>
        <v>27.418645122105655</v>
      </c>
      <c r="J115" s="149">
        <f t="shared" si="4"/>
        <v>0</v>
      </c>
      <c r="K115" s="41">
        <f t="shared" si="5"/>
        <v>0</v>
      </c>
      <c r="L115" s="159"/>
    </row>
    <row r="116" spans="1:12" x14ac:dyDescent="0.25">
      <c r="A116" s="37">
        <f>Données!A116</f>
        <v>5591</v>
      </c>
      <c r="B116" s="125" t="str">
        <f>Données!B116</f>
        <v>Renens</v>
      </c>
      <c r="C116" s="247">
        <f>VPI!R116</f>
        <v>627232.40092764387</v>
      </c>
      <c r="D116" s="633">
        <f>(PCS!I122-PCS!F122)/C116</f>
        <v>11.042630695993056</v>
      </c>
      <c r="E116" s="634">
        <f>'Péréquation directe'!E122/C116</f>
        <v>-28.263906650788726</v>
      </c>
      <c r="F116" s="633">
        <f>'Péréquation directe'!F122/Effort!C116</f>
        <v>-17.022156933723537</v>
      </c>
      <c r="G116" s="633">
        <f>'Péréquation directe'!G122/Effort!C116</f>
        <v>-11.790504339883608</v>
      </c>
      <c r="H116" s="633">
        <f>'Péréquation directe'!J122/Effort!C116</f>
        <v>19.619554427615387</v>
      </c>
      <c r="I116" s="635">
        <f t="shared" si="3"/>
        <v>-26.414382800787433</v>
      </c>
      <c r="J116" s="149">
        <f t="shared" si="4"/>
        <v>0</v>
      </c>
      <c r="K116" s="41">
        <f t="shared" si="5"/>
        <v>0</v>
      </c>
      <c r="L116" s="159"/>
    </row>
    <row r="117" spans="1:12" x14ac:dyDescent="0.25">
      <c r="A117" s="37">
        <f>Données!A117</f>
        <v>5592</v>
      </c>
      <c r="B117" s="125" t="str">
        <f>Données!B117</f>
        <v>Romanel-sur-Lausanne</v>
      </c>
      <c r="C117" s="247">
        <f>VPI!R117</f>
        <v>146863.22056737586</v>
      </c>
      <c r="D117" s="633">
        <f>(PCS!I123-PCS!F123)/C117</f>
        <v>11.042630695993056</v>
      </c>
      <c r="E117" s="634">
        <f>'Péréquation directe'!E123/C117</f>
        <v>-10.770417282851414</v>
      </c>
      <c r="F117" s="633">
        <f>'Péréquation directe'!F123/Effort!C117</f>
        <v>-9.3680056851980495</v>
      </c>
      <c r="G117" s="633">
        <f>'Péréquation directe'!G123/Effort!C117</f>
        <v>-1.2075486872970616</v>
      </c>
      <c r="H117" s="633">
        <f>'Péréquation directe'!J123/Effort!C117</f>
        <v>19.619554427615387</v>
      </c>
      <c r="I117" s="635">
        <f t="shared" si="3"/>
        <v>9.3162134682619193</v>
      </c>
      <c r="J117" s="149">
        <f t="shared" si="4"/>
        <v>0</v>
      </c>
      <c r="K117" s="41">
        <f t="shared" si="5"/>
        <v>0</v>
      </c>
      <c r="L117" s="159"/>
    </row>
    <row r="118" spans="1:12" x14ac:dyDescent="0.25">
      <c r="A118" s="37">
        <f>Données!A118</f>
        <v>5601</v>
      </c>
      <c r="B118" s="125" t="str">
        <f>Données!B118</f>
        <v>Chexbres</v>
      </c>
      <c r="C118" s="247">
        <f>VPI!R118</f>
        <v>111006.30192592592</v>
      </c>
      <c r="D118" s="633">
        <f>(PCS!I124-PCS!F124)/C118</f>
        <v>11.042630695993056</v>
      </c>
      <c r="E118" s="634">
        <f>'Péréquation directe'!E124/C118</f>
        <v>-5.4320320402599043</v>
      </c>
      <c r="F118" s="633">
        <f>'Péréquation directe'!F124/Effort!C118</f>
        <v>-0.33893917246025895</v>
      </c>
      <c r="G118" s="633">
        <f>'Péréquation directe'!G124/Effort!C118</f>
        <v>-2.6689615597156187</v>
      </c>
      <c r="H118" s="633">
        <f>'Péréquation directe'!J124/Effort!C118</f>
        <v>19.619554427615387</v>
      </c>
      <c r="I118" s="635">
        <f t="shared" si="3"/>
        <v>22.22225235117266</v>
      </c>
      <c r="J118" s="149">
        <f t="shared" si="4"/>
        <v>0</v>
      </c>
      <c r="K118" s="41">
        <f t="shared" si="5"/>
        <v>0</v>
      </c>
      <c r="L118" s="159"/>
    </row>
    <row r="119" spans="1:12" x14ac:dyDescent="0.25">
      <c r="A119" s="37">
        <f>Données!A119</f>
        <v>5604</v>
      </c>
      <c r="B119" s="125" t="str">
        <f>Données!B119</f>
        <v>Forel (Lavaux)</v>
      </c>
      <c r="C119" s="247">
        <f>VPI!R119</f>
        <v>74097.487681159415</v>
      </c>
      <c r="D119" s="633">
        <f>(PCS!I125-PCS!F125)/C119</f>
        <v>11.042630695993056</v>
      </c>
      <c r="E119" s="634">
        <f>'Péréquation directe'!E125/C119</f>
        <v>-7.2587851938147825</v>
      </c>
      <c r="F119" s="633">
        <f>'Péréquation directe'!F125/Effort!C119</f>
        <v>-7.7656830249532076</v>
      </c>
      <c r="G119" s="633">
        <f>'Péréquation directe'!G125/Effort!C119</f>
        <v>-4.887024765019401</v>
      </c>
      <c r="H119" s="633">
        <f>'Péréquation directe'!J125/Effort!C119</f>
        <v>19.619554427615387</v>
      </c>
      <c r="I119" s="635">
        <f t="shared" si="3"/>
        <v>10.750692139821052</v>
      </c>
      <c r="J119" s="149">
        <f t="shared" si="4"/>
        <v>0</v>
      </c>
      <c r="K119" s="41">
        <f t="shared" si="5"/>
        <v>0</v>
      </c>
      <c r="L119" s="159"/>
    </row>
    <row r="120" spans="1:12" x14ac:dyDescent="0.25">
      <c r="A120" s="37">
        <f>Données!A120</f>
        <v>5606</v>
      </c>
      <c r="B120" s="125" t="str">
        <f>Données!B120</f>
        <v>Lutry</v>
      </c>
      <c r="C120" s="247">
        <f>VPI!R120</f>
        <v>967121.48857142858</v>
      </c>
      <c r="D120" s="633">
        <f>(PCS!I126-PCS!F126)/C120</f>
        <v>18.546863727586217</v>
      </c>
      <c r="E120" s="634">
        <f>'Péréquation directe'!E126/C120</f>
        <v>-6.2810721620175034</v>
      </c>
      <c r="F120" s="633">
        <f>'Péréquation directe'!F126/Effort!C120</f>
        <v>0</v>
      </c>
      <c r="G120" s="633">
        <f>'Péréquation directe'!G126/Effort!C120</f>
        <v>-2.0052167965433441</v>
      </c>
      <c r="H120" s="633">
        <f>'Péréquation directe'!J126/Effort!C120</f>
        <v>19.619554427615387</v>
      </c>
      <c r="I120" s="635">
        <f t="shared" si="3"/>
        <v>29.880129196640759</v>
      </c>
      <c r="J120" s="149">
        <f t="shared" si="4"/>
        <v>0</v>
      </c>
      <c r="K120" s="41">
        <f t="shared" si="5"/>
        <v>0</v>
      </c>
      <c r="L120" s="159"/>
    </row>
    <row r="121" spans="1:12" x14ac:dyDescent="0.25">
      <c r="A121" s="37">
        <f>Données!A121</f>
        <v>5607</v>
      </c>
      <c r="B121" s="125" t="str">
        <f>Données!B121</f>
        <v>Puidoux</v>
      </c>
      <c r="C121" s="247">
        <f>VPI!R121</f>
        <v>136783.21297365916</v>
      </c>
      <c r="D121" s="633">
        <f>(PCS!I127-PCS!F127)/C121</f>
        <v>11.042630695993056</v>
      </c>
      <c r="E121" s="634">
        <f>'Péréquation directe'!E127/C121</f>
        <v>-6.3484130775272218</v>
      </c>
      <c r="F121" s="633">
        <f>'Péréquation directe'!F127/Effort!C121</f>
        <v>-1.6339731175808669</v>
      </c>
      <c r="G121" s="633">
        <f>'Péréquation directe'!G127/Effort!C121</f>
        <v>-6.5025192572274335</v>
      </c>
      <c r="H121" s="633">
        <f>'Péréquation directe'!J127/Effort!C121</f>
        <v>19.619554427615387</v>
      </c>
      <c r="I121" s="635">
        <f t="shared" si="3"/>
        <v>16.17727967127292</v>
      </c>
      <c r="J121" s="149">
        <f t="shared" si="4"/>
        <v>0</v>
      </c>
      <c r="K121" s="41">
        <f t="shared" si="5"/>
        <v>0</v>
      </c>
      <c r="L121" s="159"/>
    </row>
    <row r="122" spans="1:12" x14ac:dyDescent="0.25">
      <c r="A122" s="37">
        <f>Données!A122</f>
        <v>5609</v>
      </c>
      <c r="B122" s="125" t="str">
        <f>Données!B122</f>
        <v>Rivaz</v>
      </c>
      <c r="C122" s="247">
        <f>VPI!R122</f>
        <v>15606.865161290323</v>
      </c>
      <c r="D122" s="633">
        <f>(PCS!I128-PCS!F128)/C122</f>
        <v>11.042630695993056</v>
      </c>
      <c r="E122" s="634">
        <f>'Péréquation directe'!E128/C122</f>
        <v>-2.8020690659245409</v>
      </c>
      <c r="F122" s="633">
        <f>'Péréquation directe'!F128/Effort!C122</f>
        <v>-0.81904738153198442</v>
      </c>
      <c r="G122" s="633">
        <f>'Péréquation directe'!G128/Effort!C122</f>
        <v>-3.8958450132345424</v>
      </c>
      <c r="H122" s="633">
        <f>'Péréquation directe'!J128/Effort!C122</f>
        <v>19.619554427615387</v>
      </c>
      <c r="I122" s="635">
        <f t="shared" si="3"/>
        <v>23.145223662917378</v>
      </c>
      <c r="J122" s="149">
        <f t="shared" si="4"/>
        <v>0</v>
      </c>
      <c r="K122" s="41">
        <f t="shared" si="5"/>
        <v>0</v>
      </c>
      <c r="L122" s="159"/>
    </row>
    <row r="123" spans="1:12" x14ac:dyDescent="0.25">
      <c r="A123" s="37">
        <f>Données!A123</f>
        <v>5610</v>
      </c>
      <c r="B123" s="125" t="str">
        <f>Données!B123</f>
        <v>St-Saphorin (Lavaux)</v>
      </c>
      <c r="C123" s="247">
        <f>VPI!R123</f>
        <v>17690.752229729729</v>
      </c>
      <c r="D123" s="633">
        <f>(PCS!I129-PCS!F129)/C123</f>
        <v>11.042630695993058</v>
      </c>
      <c r="E123" s="634">
        <f>'Péréquation directe'!E129/C123</f>
        <v>-2.9228189692402378</v>
      </c>
      <c r="F123" s="633">
        <f>'Péréquation directe'!F129/Effort!C123</f>
        <v>-2.1604984753281338</v>
      </c>
      <c r="G123" s="633">
        <f>'Péréquation directe'!G129/Effort!C123</f>
        <v>-10.925615461326345</v>
      </c>
      <c r="H123" s="633">
        <f>'Péréquation directe'!J129/Effort!C123</f>
        <v>19.619554427615387</v>
      </c>
      <c r="I123" s="635">
        <f t="shared" si="3"/>
        <v>14.653252217713728</v>
      </c>
      <c r="J123" s="149">
        <f t="shared" si="4"/>
        <v>0</v>
      </c>
      <c r="K123" s="41">
        <f t="shared" si="5"/>
        <v>0</v>
      </c>
      <c r="L123" s="159"/>
    </row>
    <row r="124" spans="1:12" x14ac:dyDescent="0.25">
      <c r="A124" s="37">
        <f>Données!A124</f>
        <v>5611</v>
      </c>
      <c r="B124" s="125" t="str">
        <f>Données!B124</f>
        <v>Savigny</v>
      </c>
      <c r="C124" s="247">
        <f>VPI!R124</f>
        <v>157298.88888888891</v>
      </c>
      <c r="D124" s="633">
        <f>(PCS!I130-PCS!F130)/C124</f>
        <v>11.042630695993056</v>
      </c>
      <c r="E124" s="634">
        <f>'Péréquation directe'!E130/C124</f>
        <v>-7.2875527078369871</v>
      </c>
      <c r="F124" s="633">
        <f>'Péréquation directe'!F130/Effort!C124</f>
        <v>-2.1636156017434836</v>
      </c>
      <c r="G124" s="633">
        <f>'Péréquation directe'!G130/Effort!C124</f>
        <v>-3.4602272798972331</v>
      </c>
      <c r="H124" s="633">
        <f>'Péréquation directe'!J130/Effort!C124</f>
        <v>19.619554427615387</v>
      </c>
      <c r="I124" s="635">
        <f t="shared" si="3"/>
        <v>17.750789534130739</v>
      </c>
      <c r="J124" s="149">
        <f t="shared" si="4"/>
        <v>0</v>
      </c>
      <c r="K124" s="41">
        <f t="shared" si="5"/>
        <v>0</v>
      </c>
      <c r="L124" s="159"/>
    </row>
    <row r="125" spans="1:12" x14ac:dyDescent="0.25">
      <c r="A125" s="37">
        <f>Données!A125</f>
        <v>5613</v>
      </c>
      <c r="B125" s="125" t="str">
        <f>Données!B125</f>
        <v>Bourg-en-Lavaux</v>
      </c>
      <c r="C125" s="247">
        <f>VPI!R125</f>
        <v>362275.1242133333</v>
      </c>
      <c r="D125" s="633">
        <f>(PCS!I131-PCS!F131)/C125</f>
        <v>14.717839328278743</v>
      </c>
      <c r="E125" s="634">
        <f>'Péréquation directe'!E131/C125</f>
        <v>-6.1758369900069221</v>
      </c>
      <c r="F125" s="633">
        <f>'Péréquation directe'!F131/Effort!C125</f>
        <v>0</v>
      </c>
      <c r="G125" s="633">
        <f>'Péréquation directe'!G131/Effort!C125</f>
        <v>0</v>
      </c>
      <c r="H125" s="633">
        <f>'Péréquation directe'!J131/Effort!C125</f>
        <v>19.619554427615387</v>
      </c>
      <c r="I125" s="635">
        <f t="shared" si="3"/>
        <v>28.161556765887209</v>
      </c>
      <c r="J125" s="149">
        <f t="shared" si="4"/>
        <v>0</v>
      </c>
      <c r="K125" s="41">
        <f t="shared" si="5"/>
        <v>0</v>
      </c>
      <c r="L125" s="159"/>
    </row>
    <row r="126" spans="1:12" x14ac:dyDescent="0.25">
      <c r="A126" s="37">
        <f>Données!A126</f>
        <v>5621</v>
      </c>
      <c r="B126" s="125" t="str">
        <f>Données!B126</f>
        <v>Aclens</v>
      </c>
      <c r="C126" s="247">
        <f>VPI!R126</f>
        <v>31275.873303030305</v>
      </c>
      <c r="D126" s="633">
        <f>(PCS!I132-PCS!F132)/C126</f>
        <v>11.789339306352522</v>
      </c>
      <c r="E126" s="634">
        <f>'Péréquation directe'!E132/C126</f>
        <v>-2.4947513827361045</v>
      </c>
      <c r="F126" s="633">
        <f>'Péréquation directe'!F132/Effort!C126</f>
        <v>0</v>
      </c>
      <c r="G126" s="633">
        <f>'Péréquation directe'!G132/Effort!C126</f>
        <v>-2.9100154060888199</v>
      </c>
      <c r="H126" s="633">
        <f>'Péréquation directe'!J132/Effort!C126</f>
        <v>19.619554427615387</v>
      </c>
      <c r="I126" s="635">
        <f t="shared" si="3"/>
        <v>26.004126945142986</v>
      </c>
      <c r="J126" s="149">
        <f t="shared" si="4"/>
        <v>0</v>
      </c>
      <c r="K126" s="41">
        <f t="shared" si="5"/>
        <v>0</v>
      </c>
      <c r="L126" s="159"/>
    </row>
    <row r="127" spans="1:12" x14ac:dyDescent="0.25">
      <c r="A127" s="37">
        <f>Données!A127</f>
        <v>5622</v>
      </c>
      <c r="B127" s="125" t="str">
        <f>Données!B127</f>
        <v>Bremblens</v>
      </c>
      <c r="C127" s="247">
        <f>VPI!R127</f>
        <v>29645.912352941177</v>
      </c>
      <c r="D127" s="633">
        <f>(PCS!I133-PCS!F133)/C127</f>
        <v>11.042630695993056</v>
      </c>
      <c r="E127" s="634">
        <f>'Péréquation directe'!E133/C127</f>
        <v>-2.7574580327199611</v>
      </c>
      <c r="F127" s="633">
        <f>'Péréquation directe'!F133/Effort!C127</f>
        <v>-0.67523511078572707</v>
      </c>
      <c r="G127" s="633">
        <f>'Péréquation directe'!G133/Effort!C127</f>
        <v>0</v>
      </c>
      <c r="H127" s="633">
        <f>'Péréquation directe'!J133/Effort!C127</f>
        <v>19.619554427615387</v>
      </c>
      <c r="I127" s="635">
        <f t="shared" si="3"/>
        <v>27.229491980102754</v>
      </c>
      <c r="J127" s="149">
        <f t="shared" si="4"/>
        <v>0</v>
      </c>
      <c r="K127" s="41">
        <f t="shared" si="5"/>
        <v>0</v>
      </c>
      <c r="L127" s="159"/>
    </row>
    <row r="128" spans="1:12" x14ac:dyDescent="0.25">
      <c r="A128" s="37">
        <f>Données!A128</f>
        <v>5623</v>
      </c>
      <c r="B128" s="125" t="str">
        <f>Données!B128</f>
        <v>Buchillon</v>
      </c>
      <c r="C128" s="247">
        <f>VPI!R128</f>
        <v>102629.43480769232</v>
      </c>
      <c r="D128" s="633">
        <f>(PCS!I134-PCS!F134)/C128</f>
        <v>25.406730508526049</v>
      </c>
      <c r="E128" s="634">
        <f>'Péréquation directe'!E134/C128</f>
        <v>-0.88848642035096781</v>
      </c>
      <c r="F128" s="633">
        <f>'Péréquation directe'!F134/Effort!C128</f>
        <v>0</v>
      </c>
      <c r="G128" s="633">
        <f>'Péréquation directe'!G134/Effort!C128</f>
        <v>0</v>
      </c>
      <c r="H128" s="633">
        <f>'Péréquation directe'!J134/Effort!C128</f>
        <v>19.619554427615387</v>
      </c>
      <c r="I128" s="635">
        <f t="shared" si="3"/>
        <v>44.137798515790465</v>
      </c>
      <c r="J128" s="149">
        <f t="shared" si="4"/>
        <v>0</v>
      </c>
      <c r="K128" s="41">
        <f t="shared" si="5"/>
        <v>0</v>
      </c>
      <c r="L128" s="159"/>
    </row>
    <row r="129" spans="1:12" x14ac:dyDescent="0.25">
      <c r="A129" s="37">
        <f>Données!A129</f>
        <v>5624</v>
      </c>
      <c r="B129" s="125" t="str">
        <f>Données!B129</f>
        <v>Bussigny</v>
      </c>
      <c r="C129" s="247">
        <f>VPI!R129</f>
        <v>450667.46672000003</v>
      </c>
      <c r="D129" s="633">
        <f>(PCS!I135-PCS!F135)/C129</f>
        <v>11.042630695993058</v>
      </c>
      <c r="E129" s="634">
        <f>'Péréquation directe'!E135/C129</f>
        <v>-15.318193855797901</v>
      </c>
      <c r="F129" s="633">
        <f>'Péréquation directe'!F135/Effort!C129</f>
        <v>-4.5839250295475003</v>
      </c>
      <c r="G129" s="633">
        <f>'Péréquation directe'!G135/Effort!C129</f>
        <v>-5.6268250072674526</v>
      </c>
      <c r="H129" s="633">
        <f>'Péréquation directe'!J135/Effort!C129</f>
        <v>19.619554427615387</v>
      </c>
      <c r="I129" s="635">
        <f t="shared" si="3"/>
        <v>5.1332412309955906</v>
      </c>
      <c r="J129" s="149">
        <f t="shared" si="4"/>
        <v>0</v>
      </c>
      <c r="K129" s="41">
        <f t="shared" si="5"/>
        <v>0</v>
      </c>
      <c r="L129" s="159"/>
    </row>
    <row r="130" spans="1:12" x14ac:dyDescent="0.25">
      <c r="A130" s="37">
        <f>Données!A130</f>
        <v>5627</v>
      </c>
      <c r="B130" s="125" t="str">
        <f>Données!B130</f>
        <v>Chavannes-près-Renens</v>
      </c>
      <c r="C130" s="247">
        <f>VPI!R130</f>
        <v>202046.51840860216</v>
      </c>
      <c r="D130" s="633">
        <f>(PCS!I136-PCS!F136)/C130</f>
        <v>11.042630695993056</v>
      </c>
      <c r="E130" s="634">
        <f>'Péréquation directe'!E136/C130</f>
        <v>-25.685510438993674</v>
      </c>
      <c r="F130" s="633">
        <f>'Péréquation directe'!F136/Effort!C130</f>
        <v>-34.010390787674041</v>
      </c>
      <c r="G130" s="633">
        <f>'Péréquation directe'!G136/Effort!C130</f>
        <v>-13.809637590038648</v>
      </c>
      <c r="H130" s="633">
        <f>'Péréquation directe'!J136/Effort!C130</f>
        <v>19.619554427615387</v>
      </c>
      <c r="I130" s="635">
        <f t="shared" si="3"/>
        <v>-42.843353693097924</v>
      </c>
      <c r="J130" s="149">
        <f t="shared" si="4"/>
        <v>0</v>
      </c>
      <c r="K130" s="41">
        <f t="shared" si="5"/>
        <v>0</v>
      </c>
      <c r="L130" s="159"/>
    </row>
    <row r="131" spans="1:12" x14ac:dyDescent="0.25">
      <c r="A131" s="37">
        <f>Données!A131</f>
        <v>5628</v>
      </c>
      <c r="B131" s="125" t="str">
        <f>Données!B131</f>
        <v>Chigny</v>
      </c>
      <c r="C131" s="247">
        <f>VPI!R131</f>
        <v>31766.144193548385</v>
      </c>
      <c r="D131" s="633">
        <f>(PCS!I137-PCS!F137)/C131</f>
        <v>16.592042788155037</v>
      </c>
      <c r="E131" s="634">
        <f>'Péréquation directe'!E137/C131</f>
        <v>-1.7574517211966441</v>
      </c>
      <c r="F131" s="633">
        <f>'Péréquation directe'!F137/Effort!C131</f>
        <v>0</v>
      </c>
      <c r="G131" s="633">
        <f>'Péréquation directe'!G137/Effort!C131</f>
        <v>0</v>
      </c>
      <c r="H131" s="633">
        <f>'Péréquation directe'!J137/Effort!C131</f>
        <v>19.619554427615387</v>
      </c>
      <c r="I131" s="635">
        <f t="shared" si="3"/>
        <v>34.45414549457378</v>
      </c>
      <c r="J131" s="149">
        <f t="shared" si="4"/>
        <v>0</v>
      </c>
      <c r="K131" s="41">
        <f t="shared" si="5"/>
        <v>0</v>
      </c>
      <c r="L131" s="159"/>
    </row>
    <row r="132" spans="1:12" x14ac:dyDescent="0.25">
      <c r="A132" s="37">
        <f>Données!A132</f>
        <v>5629</v>
      </c>
      <c r="B132" s="125" t="str">
        <f>Données!B132</f>
        <v>Clarmont</v>
      </c>
      <c r="C132" s="247">
        <f>VPI!R132</f>
        <v>8028.6466666666693</v>
      </c>
      <c r="D132" s="633">
        <f>(PCS!I138-PCS!F138)/C132</f>
        <v>11.042630695993054</v>
      </c>
      <c r="E132" s="634">
        <f>'Péréquation directe'!E138/C132</f>
        <v>-3.7747754119003454</v>
      </c>
      <c r="F132" s="633">
        <f>'Péréquation directe'!F138/Effort!C132</f>
        <v>-8.6826531469815098</v>
      </c>
      <c r="G132" s="633">
        <f>'Péréquation directe'!G138/Effort!C132</f>
        <v>-8.1284352835247606</v>
      </c>
      <c r="H132" s="633">
        <f>'Péréquation directe'!J138/Effort!C132</f>
        <v>19.619554427615387</v>
      </c>
      <c r="I132" s="635">
        <f t="shared" si="3"/>
        <v>10.076321281201826</v>
      </c>
      <c r="J132" s="149">
        <f t="shared" si="4"/>
        <v>0</v>
      </c>
      <c r="K132" s="41">
        <f t="shared" si="5"/>
        <v>0</v>
      </c>
      <c r="L132" s="159"/>
    </row>
    <row r="133" spans="1:12" x14ac:dyDescent="0.25">
      <c r="A133" s="37">
        <f>Données!A133</f>
        <v>5631</v>
      </c>
      <c r="B133" s="125" t="str">
        <f>Données!B133</f>
        <v>Denens</v>
      </c>
      <c r="C133" s="247">
        <f>VPI!R133</f>
        <v>46857.544615384613</v>
      </c>
      <c r="D133" s="633">
        <f>(PCS!I139-PCS!F139)/C133</f>
        <v>14.085376574999446</v>
      </c>
      <c r="E133" s="634">
        <f>'Péréquation directe'!E139/C133</f>
        <v>-2.1048589279767365</v>
      </c>
      <c r="F133" s="633">
        <f>'Péréquation directe'!F139/Effort!C133</f>
        <v>0</v>
      </c>
      <c r="G133" s="633">
        <f>'Péréquation directe'!G139/Effort!C133</f>
        <v>0</v>
      </c>
      <c r="H133" s="633">
        <f>'Péréquation directe'!J139/Effort!C133</f>
        <v>19.619554427615387</v>
      </c>
      <c r="I133" s="635">
        <f t="shared" si="3"/>
        <v>31.600072074638096</v>
      </c>
      <c r="J133" s="149">
        <f t="shared" si="4"/>
        <v>0</v>
      </c>
      <c r="K133" s="41">
        <f t="shared" si="5"/>
        <v>0</v>
      </c>
      <c r="L133" s="159"/>
    </row>
    <row r="134" spans="1:12" x14ac:dyDescent="0.25">
      <c r="A134" s="37">
        <f>Données!A134</f>
        <v>5632</v>
      </c>
      <c r="B134" s="125" t="str">
        <f>Données!B134</f>
        <v>Denges</v>
      </c>
      <c r="C134" s="247">
        <f>VPI!R134</f>
        <v>84931.199193548397</v>
      </c>
      <c r="D134" s="633">
        <f>(PCS!I140-PCS!F140)/C134</f>
        <v>11.042630695993054</v>
      </c>
      <c r="E134" s="634">
        <f>'Péréquation directe'!E140/C134</f>
        <v>-5.2329390489302687</v>
      </c>
      <c r="F134" s="633">
        <f>'Péréquation directe'!F140/Effort!C134</f>
        <v>-1.2404655757436536</v>
      </c>
      <c r="G134" s="633">
        <f>'Péréquation directe'!G140/Effort!C134</f>
        <v>-1.0858564729923985</v>
      </c>
      <c r="H134" s="633">
        <f>'Péréquation directe'!J140/Effort!C134</f>
        <v>19.619554427615387</v>
      </c>
      <c r="I134" s="635">
        <f t="shared" si="3"/>
        <v>23.102924025942123</v>
      </c>
      <c r="J134" s="149">
        <f t="shared" si="4"/>
        <v>0</v>
      </c>
      <c r="K134" s="41">
        <f t="shared" si="5"/>
        <v>0</v>
      </c>
      <c r="L134" s="159"/>
    </row>
    <row r="135" spans="1:12" x14ac:dyDescent="0.25">
      <c r="A135" s="37">
        <f>Données!A135</f>
        <v>5633</v>
      </c>
      <c r="B135" s="125" t="str">
        <f>Données!B135</f>
        <v>Echandens</v>
      </c>
      <c r="C135" s="247">
        <f>VPI!R135</f>
        <v>152816.5752066116</v>
      </c>
      <c r="D135" s="633">
        <f>(PCS!I141-PCS!F141)/C135</f>
        <v>11.258032629480994</v>
      </c>
      <c r="E135" s="634">
        <f>'Péréquation directe'!E141/C135</f>
        <v>-5.7547127447971924</v>
      </c>
      <c r="F135" s="633">
        <f>'Péréquation directe'!F141/Effort!C135</f>
        <v>0</v>
      </c>
      <c r="G135" s="633">
        <f>'Péréquation directe'!G141/Effort!C135</f>
        <v>-5.2812314778944325</v>
      </c>
      <c r="H135" s="633">
        <f>'Péréquation directe'!J141/Effort!C135</f>
        <v>19.619554427615387</v>
      </c>
      <c r="I135" s="635">
        <f t="shared" ref="I135:I198" si="6">SUM(D135:H135)</f>
        <v>19.841642834404755</v>
      </c>
      <c r="J135" s="149">
        <f t="shared" ref="J135:J198" si="7">IF(I135&gt;J$5,I135-J$5,0)</f>
        <v>0</v>
      </c>
      <c r="K135" s="41">
        <f t="shared" ref="K135:K198" si="8">-J135*C135</f>
        <v>0</v>
      </c>
      <c r="L135" s="159"/>
    </row>
    <row r="136" spans="1:12" x14ac:dyDescent="0.25">
      <c r="A136" s="37">
        <f>Données!A136</f>
        <v>5634</v>
      </c>
      <c r="B136" s="125" t="str">
        <f>Données!B136</f>
        <v>Echichens</v>
      </c>
      <c r="C136" s="247">
        <f>VPI!R136</f>
        <v>172315.76318181818</v>
      </c>
      <c r="D136" s="633">
        <f>(PCS!I142-PCS!F142)/C136</f>
        <v>11.925639656184122</v>
      </c>
      <c r="E136" s="634">
        <f>'Péréquation directe'!E142/C136</f>
        <v>-5.7638208180096902</v>
      </c>
      <c r="F136" s="633">
        <f>'Péréquation directe'!F142/Effort!C136</f>
        <v>0</v>
      </c>
      <c r="G136" s="633">
        <f>'Péréquation directe'!G142/Effort!C136</f>
        <v>-1.0020985079815454</v>
      </c>
      <c r="H136" s="633">
        <f>'Péréquation directe'!J142/Effort!C136</f>
        <v>19.619554427615387</v>
      </c>
      <c r="I136" s="635">
        <f t="shared" si="6"/>
        <v>24.779274757808274</v>
      </c>
      <c r="J136" s="149">
        <f t="shared" si="7"/>
        <v>0</v>
      </c>
      <c r="K136" s="41">
        <f t="shared" si="8"/>
        <v>0</v>
      </c>
      <c r="L136" s="159"/>
    </row>
    <row r="137" spans="1:12" x14ac:dyDescent="0.25">
      <c r="A137" s="37">
        <f>Données!A137</f>
        <v>5635</v>
      </c>
      <c r="B137" s="125" t="str">
        <f>Données!B137</f>
        <v>Ecublens</v>
      </c>
      <c r="C137" s="247">
        <f>VPI!R137</f>
        <v>544882.47829333332</v>
      </c>
      <c r="D137" s="633">
        <f>(PCS!I143-PCS!F143)/C137</f>
        <v>11.042630695993056</v>
      </c>
      <c r="E137" s="634">
        <f>'Péréquation directe'!E143/C137</f>
        <v>-15.936580319998766</v>
      </c>
      <c r="F137" s="633">
        <f>'Péréquation directe'!F143/Effort!C137</f>
        <v>-3.5598933715084851</v>
      </c>
      <c r="G137" s="633">
        <f>'Péréquation directe'!G143/Effort!C137</f>
        <v>-7.3354894505979189</v>
      </c>
      <c r="H137" s="633">
        <f>'Péréquation directe'!J143/Effort!C137</f>
        <v>19.619554427615387</v>
      </c>
      <c r="I137" s="635">
        <f t="shared" si="6"/>
        <v>3.8302219815032732</v>
      </c>
      <c r="J137" s="149">
        <f t="shared" si="7"/>
        <v>0</v>
      </c>
      <c r="K137" s="41">
        <f t="shared" si="8"/>
        <v>0</v>
      </c>
      <c r="L137" s="159"/>
    </row>
    <row r="138" spans="1:12" x14ac:dyDescent="0.25">
      <c r="A138" s="37">
        <f>Données!A138</f>
        <v>5636</v>
      </c>
      <c r="B138" s="125" t="str">
        <f>Données!B138</f>
        <v>Etoy</v>
      </c>
      <c r="C138" s="247">
        <f>VPI!R138</f>
        <v>214499.46883333332</v>
      </c>
      <c r="D138" s="633">
        <f>(PCS!I144-PCS!F144)/C138</f>
        <v>15.777369165815044</v>
      </c>
      <c r="E138" s="634">
        <f>'Péréquation directe'!E144/C138</f>
        <v>-4.0309400845839711</v>
      </c>
      <c r="F138" s="633">
        <f>'Péréquation directe'!F144/Effort!C138</f>
        <v>0</v>
      </c>
      <c r="G138" s="633">
        <f>'Péréquation directe'!G144/Effort!C138</f>
        <v>0</v>
      </c>
      <c r="H138" s="633">
        <f>'Péréquation directe'!J144/Effort!C138</f>
        <v>19.619554427615384</v>
      </c>
      <c r="I138" s="635">
        <f t="shared" si="6"/>
        <v>31.365983508846455</v>
      </c>
      <c r="J138" s="149">
        <f t="shared" si="7"/>
        <v>0</v>
      </c>
      <c r="K138" s="41">
        <f t="shared" si="8"/>
        <v>0</v>
      </c>
      <c r="L138" s="159"/>
    </row>
    <row r="139" spans="1:12" x14ac:dyDescent="0.25">
      <c r="A139" s="37">
        <f>Données!A139</f>
        <v>5637</v>
      </c>
      <c r="B139" s="125" t="str">
        <f>Données!B139</f>
        <v>Lavigny</v>
      </c>
      <c r="C139" s="247">
        <f>VPI!R139</f>
        <v>37437.327945205478</v>
      </c>
      <c r="D139" s="633">
        <f>(PCS!I145-PCS!F145)/C139</f>
        <v>11.042630695993054</v>
      </c>
      <c r="E139" s="634">
        <f>'Péréquation directe'!E145/C139</f>
        <v>-4.5446845276844101</v>
      </c>
      <c r="F139" s="633">
        <f>'Péréquation directe'!F145/Effort!C139</f>
        <v>-9.9731457904332839</v>
      </c>
      <c r="G139" s="633">
        <f>'Péréquation directe'!G145/Effort!C139</f>
        <v>-45.767807632092484</v>
      </c>
      <c r="H139" s="633">
        <f>'Péréquation directe'!J145/Effort!C139</f>
        <v>19.619554427615387</v>
      </c>
      <c r="I139" s="635">
        <f t="shared" si="6"/>
        <v>-29.623452826601739</v>
      </c>
      <c r="J139" s="149">
        <f t="shared" si="7"/>
        <v>0</v>
      </c>
      <c r="K139" s="41">
        <f t="shared" si="8"/>
        <v>0</v>
      </c>
      <c r="L139" s="159"/>
    </row>
    <row r="140" spans="1:12" x14ac:dyDescent="0.25">
      <c r="A140" s="37">
        <f>Données!A140</f>
        <v>5638</v>
      </c>
      <c r="B140" s="125" t="str">
        <f>Données!B140</f>
        <v>Lonay</v>
      </c>
      <c r="C140" s="247">
        <f>VPI!R140</f>
        <v>156370.75327272728</v>
      </c>
      <c r="D140" s="633">
        <f>(PCS!I146-PCS!F146)/C140</f>
        <v>12.436545126052623</v>
      </c>
      <c r="E140" s="634">
        <f>'Péréquation directe'!E146/C140</f>
        <v>-4.9748167658542526</v>
      </c>
      <c r="F140" s="633">
        <f>'Péréquation directe'!F146/Effort!C140</f>
        <v>0</v>
      </c>
      <c r="G140" s="633">
        <f>'Péréquation directe'!G146/Effort!C140</f>
        <v>-2.9306152170222508</v>
      </c>
      <c r="H140" s="633">
        <f>'Péréquation directe'!J146/Effort!C140</f>
        <v>19.619554427615387</v>
      </c>
      <c r="I140" s="635">
        <f t="shared" si="6"/>
        <v>24.150667570791505</v>
      </c>
      <c r="J140" s="149">
        <f t="shared" si="7"/>
        <v>0</v>
      </c>
      <c r="K140" s="41">
        <f t="shared" si="8"/>
        <v>0</v>
      </c>
      <c r="L140" s="159"/>
    </row>
    <row r="141" spans="1:12" x14ac:dyDescent="0.25">
      <c r="A141" s="37">
        <f>Données!A141</f>
        <v>5639</v>
      </c>
      <c r="B141" s="125" t="str">
        <f>Données!B141</f>
        <v>Lully</v>
      </c>
      <c r="C141" s="247">
        <f>VPI!R141</f>
        <v>55829.926885245906</v>
      </c>
      <c r="D141" s="633">
        <f>(PCS!I147-PCS!F147)/C141</f>
        <v>14.703124249759538</v>
      </c>
      <c r="E141" s="634">
        <f>'Péréquation directe'!E147/C141</f>
        <v>-1.9951501053546761</v>
      </c>
      <c r="F141" s="633">
        <f>'Péréquation directe'!F147/Effort!C141</f>
        <v>0</v>
      </c>
      <c r="G141" s="633">
        <f>'Péréquation directe'!G147/Effort!C141</f>
        <v>0</v>
      </c>
      <c r="H141" s="633">
        <f>'Péréquation directe'!J147/Effort!C141</f>
        <v>19.619554427615387</v>
      </c>
      <c r="I141" s="635">
        <f t="shared" si="6"/>
        <v>32.327528572020249</v>
      </c>
      <c r="J141" s="149">
        <f t="shared" si="7"/>
        <v>0</v>
      </c>
      <c r="K141" s="41">
        <f t="shared" si="8"/>
        <v>0</v>
      </c>
      <c r="L141" s="159"/>
    </row>
    <row r="142" spans="1:12" x14ac:dyDescent="0.25">
      <c r="A142" s="37">
        <f>Données!A142</f>
        <v>5640</v>
      </c>
      <c r="B142" s="125" t="str">
        <f>Données!B142</f>
        <v>Lussy-sur-Morges</v>
      </c>
      <c r="C142" s="247">
        <f>VPI!R142</f>
        <v>63303.13934959349</v>
      </c>
      <c r="D142" s="633">
        <f>(PCS!I148-PCS!F148)/C142</f>
        <v>19.238762229969556</v>
      </c>
      <c r="E142" s="634">
        <f>'Péréquation directe'!E148/C142</f>
        <v>-1.5097403351373462</v>
      </c>
      <c r="F142" s="633">
        <f>'Péréquation directe'!F148/Effort!C142</f>
        <v>0</v>
      </c>
      <c r="G142" s="633">
        <f>'Péréquation directe'!G148/Effort!C142</f>
        <v>0</v>
      </c>
      <c r="H142" s="633">
        <f>'Péréquation directe'!J148/Effort!C142</f>
        <v>19.619554427615387</v>
      </c>
      <c r="I142" s="635">
        <f t="shared" si="6"/>
        <v>37.348576322447599</v>
      </c>
      <c r="J142" s="149">
        <f t="shared" si="7"/>
        <v>0</v>
      </c>
      <c r="K142" s="41">
        <f t="shared" si="8"/>
        <v>0</v>
      </c>
      <c r="L142" s="159"/>
    </row>
    <row r="143" spans="1:12" x14ac:dyDescent="0.25">
      <c r="A143" s="37">
        <f>Données!A143</f>
        <v>5642</v>
      </c>
      <c r="B143" s="125" t="str">
        <f>Données!B143</f>
        <v>Morges</v>
      </c>
      <c r="C143" s="247">
        <f>VPI!R143</f>
        <v>1061989.5101492535</v>
      </c>
      <c r="D143" s="633">
        <f>(PCS!I149-PCS!F149)/C143</f>
        <v>13.274116761103857</v>
      </c>
      <c r="E143" s="634">
        <f>'Péréquation directe'!E149/C143</f>
        <v>-12.642284564244319</v>
      </c>
      <c r="F143" s="633">
        <f>'Péréquation directe'!F149/Effort!C143</f>
        <v>0</v>
      </c>
      <c r="G143" s="633">
        <f>'Péréquation directe'!G149/Effort!C143</f>
        <v>-1.7650359468150678</v>
      </c>
      <c r="H143" s="633">
        <f>'Péréquation directe'!J149/Effort!C143</f>
        <v>19.619554427615387</v>
      </c>
      <c r="I143" s="635">
        <f t="shared" si="6"/>
        <v>18.486350677659857</v>
      </c>
      <c r="J143" s="149">
        <f t="shared" si="7"/>
        <v>0</v>
      </c>
      <c r="K143" s="41">
        <f t="shared" si="8"/>
        <v>0</v>
      </c>
      <c r="L143" s="159"/>
    </row>
    <row r="144" spans="1:12" x14ac:dyDescent="0.25">
      <c r="A144" s="37">
        <f>Données!A144</f>
        <v>5643</v>
      </c>
      <c r="B144" s="125" t="str">
        <f>Données!B144</f>
        <v>Préverenges</v>
      </c>
      <c r="C144" s="247">
        <f>VPI!R144</f>
        <v>254683.39384615389</v>
      </c>
      <c r="D144" s="633">
        <f>(PCS!I150-PCS!F150)/C144</f>
        <v>11.042630695993056</v>
      </c>
      <c r="E144" s="634">
        <f>'Péréquation directe'!E150/C144</f>
        <v>-8.3038421637449424</v>
      </c>
      <c r="F144" s="633">
        <f>'Péréquation directe'!F150/Effort!C144</f>
        <v>-0.58260889456576326</v>
      </c>
      <c r="G144" s="633">
        <f>'Péréquation directe'!G150/Effort!C144</f>
        <v>0</v>
      </c>
      <c r="H144" s="633">
        <f>'Péréquation directe'!J150/Effort!C144</f>
        <v>19.619554427615387</v>
      </c>
      <c r="I144" s="635">
        <f t="shared" si="6"/>
        <v>21.775734065297737</v>
      </c>
      <c r="J144" s="149">
        <f t="shared" si="7"/>
        <v>0</v>
      </c>
      <c r="K144" s="41">
        <f t="shared" si="8"/>
        <v>0</v>
      </c>
      <c r="L144" s="159"/>
    </row>
    <row r="145" spans="1:12" x14ac:dyDescent="0.25">
      <c r="A145" s="37">
        <f>Données!A145</f>
        <v>5645</v>
      </c>
      <c r="B145" s="125" t="str">
        <f>Données!B145</f>
        <v>Romanel-sur-Morges</v>
      </c>
      <c r="C145" s="247">
        <f>VPI!R145</f>
        <v>28308.714642857147</v>
      </c>
      <c r="D145" s="633">
        <f>(PCS!I151-PCS!F151)/C145</f>
        <v>13.482996722759692</v>
      </c>
      <c r="E145" s="634">
        <f>'Péréquation directe'!E151/C145</f>
        <v>-2.1317404109388693</v>
      </c>
      <c r="F145" s="633">
        <f>'Péréquation directe'!F151/Effort!C145</f>
        <v>0</v>
      </c>
      <c r="G145" s="633">
        <f>'Péréquation directe'!G151/Effort!C145</f>
        <v>0</v>
      </c>
      <c r="H145" s="633">
        <f>'Péréquation directe'!J151/Effort!C145</f>
        <v>19.619554427615387</v>
      </c>
      <c r="I145" s="635">
        <f t="shared" si="6"/>
        <v>30.97081073943621</v>
      </c>
      <c r="J145" s="149">
        <f t="shared" si="7"/>
        <v>0</v>
      </c>
      <c r="K145" s="41">
        <f t="shared" si="8"/>
        <v>0</v>
      </c>
      <c r="L145" s="159"/>
    </row>
    <row r="146" spans="1:12" x14ac:dyDescent="0.25">
      <c r="A146" s="37">
        <f>Données!A146</f>
        <v>5646</v>
      </c>
      <c r="B146" s="125" t="str">
        <f>Données!B146</f>
        <v>Saint-Prex</v>
      </c>
      <c r="C146" s="247">
        <f>VPI!R146</f>
        <v>465798.68426553684</v>
      </c>
      <c r="D146" s="633">
        <f>(PCS!I152-PCS!F152)/C146</f>
        <v>17.187971255460685</v>
      </c>
      <c r="E146" s="634">
        <f>'Péréquation directe'!E152/C146</f>
        <v>-5.3552694523428723</v>
      </c>
      <c r="F146" s="633">
        <f>'Péréquation directe'!F152/Effort!C146</f>
        <v>0</v>
      </c>
      <c r="G146" s="633">
        <f>'Péréquation directe'!G152/Effort!C146</f>
        <v>0</v>
      </c>
      <c r="H146" s="633">
        <f>'Péréquation directe'!J152/Effort!C146</f>
        <v>19.619554427615387</v>
      </c>
      <c r="I146" s="635">
        <f t="shared" si="6"/>
        <v>31.452256230733198</v>
      </c>
      <c r="J146" s="149">
        <f t="shared" si="7"/>
        <v>0</v>
      </c>
      <c r="K146" s="41">
        <f t="shared" si="8"/>
        <v>0</v>
      </c>
      <c r="L146" s="159"/>
    </row>
    <row r="147" spans="1:12" x14ac:dyDescent="0.25">
      <c r="A147" s="37">
        <f>Données!A147</f>
        <v>5648</v>
      </c>
      <c r="B147" s="125" t="str">
        <f>Données!B147</f>
        <v>Saint-Sulpice</v>
      </c>
      <c r="C147" s="247">
        <f>VPI!R147</f>
        <v>424880.94159090909</v>
      </c>
      <c r="D147" s="633">
        <f>(PCS!I153-PCS!F153)/C147</f>
        <v>17.365734223303296</v>
      </c>
      <c r="E147" s="634">
        <f>'Péréquation directe'!E153/C147</f>
        <v>-4.8033207349288753</v>
      </c>
      <c r="F147" s="633">
        <f>'Péréquation directe'!F153/Effort!C147</f>
        <v>0</v>
      </c>
      <c r="G147" s="633">
        <f>'Péréquation directe'!G153/Effort!C147</f>
        <v>0</v>
      </c>
      <c r="H147" s="633">
        <f>'Péréquation directe'!J153/Effort!C147</f>
        <v>19.619554427615387</v>
      </c>
      <c r="I147" s="635">
        <f t="shared" si="6"/>
        <v>32.181967915989809</v>
      </c>
      <c r="J147" s="149">
        <f t="shared" si="7"/>
        <v>0</v>
      </c>
      <c r="K147" s="41">
        <f t="shared" si="8"/>
        <v>0</v>
      </c>
      <c r="L147" s="159"/>
    </row>
    <row r="148" spans="1:12" x14ac:dyDescent="0.25">
      <c r="A148" s="37">
        <f>Données!A148</f>
        <v>5649</v>
      </c>
      <c r="B148" s="125" t="str">
        <f>Données!B148</f>
        <v>Tolochenaz</v>
      </c>
      <c r="C148" s="247">
        <f>VPI!R148</f>
        <v>431976.43718750001</v>
      </c>
      <c r="D148" s="633">
        <f>(PCS!I154-PCS!F154)/C148</f>
        <v>35.555331823762273</v>
      </c>
      <c r="E148" s="634">
        <f>'Péréquation directe'!E154/C148</f>
        <v>-1.1124253730700475</v>
      </c>
      <c r="F148" s="633">
        <f>'Péréquation directe'!F154/Effort!C148</f>
        <v>0</v>
      </c>
      <c r="G148" s="633">
        <f>'Péréquation directe'!G154/Effort!C148</f>
        <v>0</v>
      </c>
      <c r="H148" s="633">
        <f>'Péréquation directe'!J154/Effort!C148</f>
        <v>19.619554427615387</v>
      </c>
      <c r="I148" s="635">
        <f t="shared" si="6"/>
        <v>54.062460878307618</v>
      </c>
      <c r="J148" s="149">
        <f t="shared" si="7"/>
        <v>6.0624608783076184</v>
      </c>
      <c r="K148" s="41">
        <f t="shared" si="8"/>
        <v>-2618840.2507999269</v>
      </c>
      <c r="L148" s="159"/>
    </row>
    <row r="149" spans="1:12" x14ac:dyDescent="0.25">
      <c r="A149" s="37">
        <f>Données!A149</f>
        <v>5650</v>
      </c>
      <c r="B149" s="125" t="str">
        <f>Données!B149</f>
        <v>Vaux-sur-Morges</v>
      </c>
      <c r="C149" s="247">
        <f>VPI!R149</f>
        <v>116547.05321428573</v>
      </c>
      <c r="D149" s="633">
        <f>(PCS!I155-PCS!F155)/C149</f>
        <v>40.334391031610622</v>
      </c>
      <c r="E149" s="634">
        <f>'Péréquation directe'!E155/C149</f>
        <v>-0.21099348577155022</v>
      </c>
      <c r="F149" s="633">
        <f>'Péréquation directe'!F155/Effort!C149</f>
        <v>0</v>
      </c>
      <c r="G149" s="633">
        <f>'Péréquation directe'!G155/Effort!C149</f>
        <v>0</v>
      </c>
      <c r="H149" s="633">
        <f>'Péréquation directe'!J155/Effort!C149</f>
        <v>19.619554427615387</v>
      </c>
      <c r="I149" s="635">
        <f t="shared" si="6"/>
        <v>59.742951973454453</v>
      </c>
      <c r="J149" s="149">
        <f t="shared" si="7"/>
        <v>11.742951973454453</v>
      </c>
      <c r="K149" s="41">
        <f t="shared" si="8"/>
        <v>-1368606.4485429977</v>
      </c>
      <c r="L149" s="159"/>
    </row>
    <row r="150" spans="1:12" x14ac:dyDescent="0.25">
      <c r="A150" s="37">
        <f>Données!A150</f>
        <v>5651</v>
      </c>
      <c r="B150" s="125" t="str">
        <f>Données!B150</f>
        <v>Villars-Sainte-Croix</v>
      </c>
      <c r="C150" s="247">
        <f>VPI!R150</f>
        <v>62685.817685950416</v>
      </c>
      <c r="D150" s="633">
        <f>(PCS!I156-PCS!F156)/C150</f>
        <v>14.4556304191532</v>
      </c>
      <c r="E150" s="634">
        <f>'Péréquation directe'!E156/C150</f>
        <v>-2.0250357387491089</v>
      </c>
      <c r="F150" s="633">
        <f>'Péréquation directe'!F156/Effort!C150</f>
        <v>0</v>
      </c>
      <c r="G150" s="633">
        <f>'Péréquation directe'!G156/Effort!C150</f>
        <v>-0.20738860087653962</v>
      </c>
      <c r="H150" s="633">
        <f>'Péréquation directe'!J156/Effort!C150</f>
        <v>19.619554427615387</v>
      </c>
      <c r="I150" s="635">
        <f t="shared" si="6"/>
        <v>31.842760507142941</v>
      </c>
      <c r="J150" s="149">
        <f t="shared" si="7"/>
        <v>0</v>
      </c>
      <c r="K150" s="41">
        <f t="shared" si="8"/>
        <v>0</v>
      </c>
      <c r="L150" s="159"/>
    </row>
    <row r="151" spans="1:12" x14ac:dyDescent="0.25">
      <c r="A151" s="37">
        <f>Données!A151</f>
        <v>5652</v>
      </c>
      <c r="B151" s="125" t="str">
        <f>Données!B151</f>
        <v>Villars-sous-Yens</v>
      </c>
      <c r="C151" s="247">
        <f>VPI!R151</f>
        <v>27337.435990990991</v>
      </c>
      <c r="D151" s="633">
        <f>(PCS!I157-PCS!F157)/C151</f>
        <v>11.042630695993058</v>
      </c>
      <c r="E151" s="634">
        <f>'Péréquation directe'!E157/C151</f>
        <v>-2.927098438330257</v>
      </c>
      <c r="F151" s="633">
        <f>'Péréquation directe'!F157/Effort!C151</f>
        <v>-2.1957166089416309</v>
      </c>
      <c r="G151" s="633">
        <f>'Péréquation directe'!G157/Effort!C151</f>
        <v>-4.9684217051345199</v>
      </c>
      <c r="H151" s="633">
        <f>'Péréquation directe'!J157/Effort!C151</f>
        <v>19.619554427615387</v>
      </c>
      <c r="I151" s="635">
        <f t="shared" si="6"/>
        <v>20.570948371202039</v>
      </c>
      <c r="J151" s="149">
        <f t="shared" si="7"/>
        <v>0</v>
      </c>
      <c r="K151" s="41">
        <f t="shared" si="8"/>
        <v>0</v>
      </c>
      <c r="L151" s="159"/>
    </row>
    <row r="152" spans="1:12" x14ac:dyDescent="0.25">
      <c r="A152" s="37">
        <f>Données!A152</f>
        <v>5653</v>
      </c>
      <c r="B152" s="125" t="str">
        <f>Données!B152</f>
        <v>Vufflens-le-Château</v>
      </c>
      <c r="C152" s="247">
        <f>VPI!R152</f>
        <v>76227.69876033059</v>
      </c>
      <c r="D152" s="633">
        <f>(PCS!I158-PCS!F158)/C152</f>
        <v>19.623599060216105</v>
      </c>
      <c r="E152" s="634">
        <f>'Péréquation directe'!E158/C152</f>
        <v>-1.4612678372629802</v>
      </c>
      <c r="F152" s="633">
        <f>'Péréquation directe'!F158/Effort!C152</f>
        <v>0</v>
      </c>
      <c r="G152" s="633">
        <f>'Péréquation directe'!G158/Effort!C152</f>
        <v>0</v>
      </c>
      <c r="H152" s="633">
        <f>'Péréquation directe'!J158/Effort!C152</f>
        <v>19.619554427615387</v>
      </c>
      <c r="I152" s="635">
        <f t="shared" si="6"/>
        <v>37.781885650568512</v>
      </c>
      <c r="J152" s="149">
        <f t="shared" si="7"/>
        <v>0</v>
      </c>
      <c r="K152" s="41">
        <f t="shared" si="8"/>
        <v>0</v>
      </c>
      <c r="L152" s="159"/>
    </row>
    <row r="153" spans="1:12" x14ac:dyDescent="0.25">
      <c r="A153" s="37">
        <f>Données!A153</f>
        <v>5654</v>
      </c>
      <c r="B153" s="125" t="str">
        <f>Données!B153</f>
        <v>Vullierens</v>
      </c>
      <c r="C153" s="247">
        <f>VPI!R153</f>
        <v>23074.815394736848</v>
      </c>
      <c r="D153" s="633">
        <f>(PCS!I159-PCS!F159)/C153</f>
        <v>11.042630695993056</v>
      </c>
      <c r="E153" s="634">
        <f>'Péréquation directe'!E159/C153</f>
        <v>-3.1567554517636189</v>
      </c>
      <c r="F153" s="633">
        <f>'Péréquation directe'!F159/Effort!C153</f>
        <v>-4.3095246805171596</v>
      </c>
      <c r="G153" s="633">
        <f>'Péréquation directe'!G159/Effort!C153</f>
        <v>-7.8605462779419533</v>
      </c>
      <c r="H153" s="633">
        <f>'Péréquation directe'!J159/Effort!C153</f>
        <v>19.619554427615387</v>
      </c>
      <c r="I153" s="635">
        <f t="shared" si="6"/>
        <v>15.335358713385713</v>
      </c>
      <c r="J153" s="149">
        <f t="shared" si="7"/>
        <v>0</v>
      </c>
      <c r="K153" s="41">
        <f t="shared" si="8"/>
        <v>0</v>
      </c>
      <c r="L153" s="159"/>
    </row>
    <row r="154" spans="1:12" x14ac:dyDescent="0.25">
      <c r="A154" s="37">
        <f>Données!A154</f>
        <v>5655</v>
      </c>
      <c r="B154" s="125" t="str">
        <f>Données!B154</f>
        <v>Yens</v>
      </c>
      <c r="C154" s="247">
        <f>VPI!R154</f>
        <v>99930.986000000004</v>
      </c>
      <c r="D154" s="633">
        <f>(PCS!I160-PCS!F160)/C154</f>
        <v>15.220250624732405</v>
      </c>
      <c r="E154" s="634">
        <f>'Péréquation directe'!E160/C154</f>
        <v>-3.1997928120535639</v>
      </c>
      <c r="F154" s="633">
        <f>'Péréquation directe'!F160/Effort!C154</f>
        <v>0</v>
      </c>
      <c r="G154" s="633">
        <f>'Péréquation directe'!G160/Effort!C154</f>
        <v>0</v>
      </c>
      <c r="H154" s="633">
        <f>'Péréquation directe'!J160/Effort!C154</f>
        <v>19.619554427615387</v>
      </c>
      <c r="I154" s="635">
        <f t="shared" si="6"/>
        <v>31.640012240294226</v>
      </c>
      <c r="J154" s="149">
        <f t="shared" si="7"/>
        <v>0</v>
      </c>
      <c r="K154" s="41">
        <f t="shared" si="8"/>
        <v>0</v>
      </c>
      <c r="L154" s="159"/>
    </row>
    <row r="155" spans="1:12" x14ac:dyDescent="0.25">
      <c r="A155" s="37">
        <f>Données!A155</f>
        <v>5656</v>
      </c>
      <c r="B155" s="125" t="str">
        <f>Données!B155</f>
        <v>Hautemorges</v>
      </c>
      <c r="C155" s="247">
        <f>VPI!R155</f>
        <v>173869.73802816903</v>
      </c>
      <c r="D155" s="633">
        <f>(PCS!I161-PCS!F161)/C155</f>
        <v>11.042630695993056</v>
      </c>
      <c r="E155" s="634">
        <f>'Péréquation directe'!E161/C155</f>
        <v>-9.2870845499569956</v>
      </c>
      <c r="F155" s="633">
        <f>'Péréquation directe'!F161/Effort!C155</f>
        <v>-5.2542066886440644</v>
      </c>
      <c r="G155" s="633">
        <f>'Péréquation directe'!G161/Effort!C155</f>
        <v>-7.2071797811924014</v>
      </c>
      <c r="H155" s="633">
        <f>'Péréquation directe'!J161/Effort!C155</f>
        <v>19.619554427615387</v>
      </c>
      <c r="I155" s="635">
        <f t="shared" si="6"/>
        <v>8.9137141038149821</v>
      </c>
      <c r="J155" s="149">
        <f t="shared" si="7"/>
        <v>0</v>
      </c>
      <c r="K155" s="41">
        <f t="shared" si="8"/>
        <v>0</v>
      </c>
      <c r="L155" s="159"/>
    </row>
    <row r="156" spans="1:12" x14ac:dyDescent="0.25">
      <c r="A156" s="37">
        <f>Données!A156</f>
        <v>5661</v>
      </c>
      <c r="B156" s="125" t="str">
        <f>Données!B156</f>
        <v>Boulens</v>
      </c>
      <c r="C156" s="247">
        <f>VPI!R156</f>
        <v>10070.839300699299</v>
      </c>
      <c r="D156" s="633">
        <f>(PCS!I162-PCS!F162)/C156</f>
        <v>11.042630695993058</v>
      </c>
      <c r="E156" s="634">
        <f>'Péréquation directe'!E162/C156</f>
        <v>-4.8571416440286042</v>
      </c>
      <c r="F156" s="633">
        <f>'Péréquation directe'!F162/Effort!C156</f>
        <v>-16.878189201547478</v>
      </c>
      <c r="G156" s="633">
        <f>'Péréquation directe'!G162/Effort!C156</f>
        <v>-1.086427112759732</v>
      </c>
      <c r="H156" s="633">
        <f>'Péréquation directe'!J162/Effort!C156</f>
        <v>19.619554427615387</v>
      </c>
      <c r="I156" s="635">
        <f t="shared" si="6"/>
        <v>7.8404271652726294</v>
      </c>
      <c r="J156" s="149">
        <f t="shared" si="7"/>
        <v>0</v>
      </c>
      <c r="K156" s="41">
        <f t="shared" si="8"/>
        <v>0</v>
      </c>
      <c r="L156" s="159"/>
    </row>
    <row r="157" spans="1:12" x14ac:dyDescent="0.25">
      <c r="A157" s="37">
        <f>Données!A157</f>
        <v>5663</v>
      </c>
      <c r="B157" s="125" t="str">
        <f>Données!B157</f>
        <v>Bussy-sur-Moudon</v>
      </c>
      <c r="C157" s="247">
        <f>VPI!R157</f>
        <v>5846.5050955414026</v>
      </c>
      <c r="D157" s="633">
        <f>(PCS!I163-PCS!F163)/C157</f>
        <v>11.042630695993056</v>
      </c>
      <c r="E157" s="634">
        <f>'Péréquation directe'!E163/C157</f>
        <v>-5.9566704648749047</v>
      </c>
      <c r="F157" s="633">
        <f>'Péréquation directe'!F163/Effort!C157</f>
        <v>-30.527389760426747</v>
      </c>
      <c r="G157" s="633">
        <f>'Péréquation directe'!G163/Effort!C157</f>
        <v>-1.398751797496079</v>
      </c>
      <c r="H157" s="633">
        <f>'Péréquation directe'!J163/Effort!C157</f>
        <v>19.619554427615387</v>
      </c>
      <c r="I157" s="635">
        <f t="shared" si="6"/>
        <v>-7.2206268991892877</v>
      </c>
      <c r="J157" s="149">
        <f t="shared" si="7"/>
        <v>0</v>
      </c>
      <c r="K157" s="41">
        <f t="shared" si="8"/>
        <v>0</v>
      </c>
      <c r="L157" s="159"/>
    </row>
    <row r="158" spans="1:12" x14ac:dyDescent="0.25">
      <c r="A158" s="37">
        <f>Données!A158</f>
        <v>5665</v>
      </c>
      <c r="B158" s="125" t="str">
        <f>Données!B158</f>
        <v>Chavannes-sur-Moudon</v>
      </c>
      <c r="C158" s="247">
        <f>VPI!R158</f>
        <v>6553.0082857142861</v>
      </c>
      <c r="D158" s="633">
        <f>(PCS!I164-PCS!F164)/C158</f>
        <v>11.042630695993058</v>
      </c>
      <c r="E158" s="634">
        <f>'Péréquation directe'!E164/C158</f>
        <v>-4.6450819587300982</v>
      </c>
      <c r="F158" s="633">
        <f>'Péréquation directe'!F164/Effort!C158</f>
        <v>-14.615851212251773</v>
      </c>
      <c r="G158" s="633">
        <f>'Péréquation directe'!G164/Effort!C158</f>
        <v>-2.3469219288284147</v>
      </c>
      <c r="H158" s="633">
        <f>'Péréquation directe'!J164/Effort!C158</f>
        <v>19.619554427615387</v>
      </c>
      <c r="I158" s="635">
        <f t="shared" si="6"/>
        <v>9.0543300237981583</v>
      </c>
      <c r="J158" s="149">
        <f t="shared" si="7"/>
        <v>0</v>
      </c>
      <c r="K158" s="41">
        <f t="shared" si="8"/>
        <v>0</v>
      </c>
      <c r="L158" s="159"/>
    </row>
    <row r="159" spans="1:12" x14ac:dyDescent="0.25">
      <c r="A159" s="37">
        <f>Données!A159</f>
        <v>5669</v>
      </c>
      <c r="B159" s="125" t="str">
        <f>Données!B159</f>
        <v>Curtilles</v>
      </c>
      <c r="C159" s="247">
        <f>VPI!R159</f>
        <v>9589.3382191780838</v>
      </c>
      <c r="D159" s="633">
        <f>(PCS!I165-PCS!F165)/C159</f>
        <v>11.042630695993058</v>
      </c>
      <c r="E159" s="634">
        <f>'Péréquation directe'!E165/C159</f>
        <v>-4.2693395424506635</v>
      </c>
      <c r="F159" s="633">
        <f>'Péréquation directe'!F165/Effort!C159</f>
        <v>-12.886298489605867</v>
      </c>
      <c r="G159" s="633">
        <f>'Péréquation directe'!G165/Effort!C159</f>
        <v>-1.3413161234437638</v>
      </c>
      <c r="H159" s="633">
        <f>'Péréquation directe'!J165/Effort!C159</f>
        <v>19.619554427615387</v>
      </c>
      <c r="I159" s="635">
        <f t="shared" si="6"/>
        <v>12.165230968108151</v>
      </c>
      <c r="J159" s="149">
        <f t="shared" si="7"/>
        <v>0</v>
      </c>
      <c r="K159" s="41">
        <f t="shared" si="8"/>
        <v>0</v>
      </c>
      <c r="L159" s="159"/>
    </row>
    <row r="160" spans="1:12" x14ac:dyDescent="0.25">
      <c r="A160" s="37">
        <f>Données!A160</f>
        <v>5671</v>
      </c>
      <c r="B160" s="125" t="str">
        <f>Données!B160</f>
        <v>Dompierre</v>
      </c>
      <c r="C160" s="247">
        <f>VPI!R160</f>
        <v>6077.1303846153842</v>
      </c>
      <c r="D160" s="633">
        <f>(PCS!I166-PCS!F166)/C160</f>
        <v>11.042630695993056</v>
      </c>
      <c r="E160" s="634">
        <f>'Péréquation directe'!E166/C160</f>
        <v>-5.2494197806689371</v>
      </c>
      <c r="F160" s="633">
        <f>'Péréquation directe'!F166/Effort!C160</f>
        <v>-23.673150445255768</v>
      </c>
      <c r="G160" s="633">
        <f>'Péréquation directe'!G166/Effort!C160</f>
        <v>-3.3409052115097611</v>
      </c>
      <c r="H160" s="633">
        <f>'Péréquation directe'!J166/Effort!C160</f>
        <v>19.619554427615387</v>
      </c>
      <c r="I160" s="635">
        <f t="shared" si="6"/>
        <v>-1.6012903138260199</v>
      </c>
      <c r="J160" s="149">
        <f t="shared" si="7"/>
        <v>0</v>
      </c>
      <c r="K160" s="41">
        <f t="shared" si="8"/>
        <v>0</v>
      </c>
      <c r="L160" s="159"/>
    </row>
    <row r="161" spans="1:12" x14ac:dyDescent="0.25">
      <c r="A161" s="37">
        <f>Données!A161</f>
        <v>5673</v>
      </c>
      <c r="B161" s="125" t="str">
        <f>Données!B161</f>
        <v>Hermenches</v>
      </c>
      <c r="C161" s="247">
        <f>VPI!R161</f>
        <v>10021.842448979593</v>
      </c>
      <c r="D161" s="633">
        <f>(PCS!I167-PCS!F167)/C161</f>
        <v>11.042630695993058</v>
      </c>
      <c r="E161" s="634">
        <f>'Péréquation directe'!E167/C161</f>
        <v>-4.9472046568493973</v>
      </c>
      <c r="F161" s="633">
        <f>'Péréquation directe'!F167/Effort!C161</f>
        <v>-18.566826219541795</v>
      </c>
      <c r="G161" s="633">
        <f>'Péréquation directe'!G167/Effort!C161</f>
        <v>-62.846661956488013</v>
      </c>
      <c r="H161" s="633">
        <f>'Péréquation directe'!J167/Effort!C161</f>
        <v>19.619554427615387</v>
      </c>
      <c r="I161" s="635">
        <f t="shared" si="6"/>
        <v>-55.698507709270757</v>
      </c>
      <c r="J161" s="149">
        <f t="shared" si="7"/>
        <v>0</v>
      </c>
      <c r="K161" s="41">
        <f t="shared" si="8"/>
        <v>0</v>
      </c>
      <c r="L161" s="159"/>
    </row>
    <row r="162" spans="1:12" x14ac:dyDescent="0.25">
      <c r="A162" s="37">
        <f>Données!A162</f>
        <v>5674</v>
      </c>
      <c r="B162" s="125" t="str">
        <f>Données!B162</f>
        <v>Lovatens</v>
      </c>
      <c r="C162" s="247">
        <f>VPI!R162</f>
        <v>4190.698742857142</v>
      </c>
      <c r="D162" s="633">
        <f>(PCS!I168-PCS!F168)/C162</f>
        <v>11.042630695993056</v>
      </c>
      <c r="E162" s="634">
        <f>'Péréquation directe'!E168/C162</f>
        <v>-4.6308960227510747</v>
      </c>
      <c r="F162" s="633">
        <f>'Péréquation directe'!F168/Effort!C162</f>
        <v>-16.658480100028729</v>
      </c>
      <c r="G162" s="633">
        <f>'Péréquation directe'!G168/Effort!C162</f>
        <v>-3.1600021944464363</v>
      </c>
      <c r="H162" s="633">
        <f>'Péréquation directe'!J168/Effort!C162</f>
        <v>19.619554427615387</v>
      </c>
      <c r="I162" s="635">
        <f t="shared" si="6"/>
        <v>6.2128068063822024</v>
      </c>
      <c r="J162" s="149">
        <f t="shared" si="7"/>
        <v>0</v>
      </c>
      <c r="K162" s="41">
        <f t="shared" si="8"/>
        <v>0</v>
      </c>
      <c r="L162" s="159"/>
    </row>
    <row r="163" spans="1:12" x14ac:dyDescent="0.25">
      <c r="A163" s="37">
        <f>Données!A163</f>
        <v>5675</v>
      </c>
      <c r="B163" s="125" t="str">
        <f>Données!B163</f>
        <v>Lucens</v>
      </c>
      <c r="C163" s="247">
        <f>VPI!R163</f>
        <v>96219.295291039889</v>
      </c>
      <c r="D163" s="633">
        <f>(PCS!I169-PCS!F169)/C163</f>
        <v>11.042630695993058</v>
      </c>
      <c r="E163" s="634">
        <f>'Péréquation directe'!E169/C163</f>
        <v>-18.699362026893439</v>
      </c>
      <c r="F163" s="633">
        <f>'Péréquation directe'!F169/Effort!C163</f>
        <v>-28.161766726555268</v>
      </c>
      <c r="G163" s="633">
        <f>'Péréquation directe'!G169/Effort!C163</f>
        <v>-5.9215077898182402</v>
      </c>
      <c r="H163" s="633">
        <f>'Péréquation directe'!J169/Effort!C163</f>
        <v>19.619554427615387</v>
      </c>
      <c r="I163" s="635">
        <f t="shared" si="6"/>
        <v>-22.120451419658504</v>
      </c>
      <c r="J163" s="149">
        <f t="shared" si="7"/>
        <v>0</v>
      </c>
      <c r="K163" s="41">
        <f t="shared" si="8"/>
        <v>0</v>
      </c>
      <c r="L163" s="159"/>
    </row>
    <row r="164" spans="1:12" x14ac:dyDescent="0.25">
      <c r="A164" s="37">
        <f>Données!A164</f>
        <v>5678</v>
      </c>
      <c r="B164" s="125" t="str">
        <f>Données!B164</f>
        <v>Moudon</v>
      </c>
      <c r="C164" s="247">
        <f>VPI!R164</f>
        <v>144507.28937931036</v>
      </c>
      <c r="D164" s="633">
        <f>(PCS!I170-PCS!F170)/C164</f>
        <v>11.042630695993056</v>
      </c>
      <c r="E164" s="634">
        <f>'Péréquation directe'!E170/C164</f>
        <v>-20.719048388402129</v>
      </c>
      <c r="F164" s="633">
        <f>'Péréquation directe'!F170/Effort!C164</f>
        <v>-27.31199523010018</v>
      </c>
      <c r="G164" s="633">
        <f>'Péréquation directe'!G170/Effort!C164</f>
        <v>-8.5337786738449797</v>
      </c>
      <c r="H164" s="633">
        <f>'Péréquation directe'!J170/Effort!C164</f>
        <v>19.619554427615387</v>
      </c>
      <c r="I164" s="635">
        <f t="shared" si="6"/>
        <v>-25.902637168738845</v>
      </c>
      <c r="J164" s="149">
        <f t="shared" si="7"/>
        <v>0</v>
      </c>
      <c r="K164" s="41">
        <f t="shared" si="8"/>
        <v>0</v>
      </c>
      <c r="L164" s="159"/>
    </row>
    <row r="165" spans="1:12" x14ac:dyDescent="0.25">
      <c r="A165" s="37">
        <f>Données!A165</f>
        <v>5680</v>
      </c>
      <c r="B165" s="125" t="str">
        <f>Données!B165</f>
        <v>Ogens</v>
      </c>
      <c r="C165" s="247">
        <f>VPI!R165</f>
        <v>9088.9604700854707</v>
      </c>
      <c r="D165" s="633">
        <f>(PCS!I171-PCS!F171)/C165</f>
        <v>11.042630695993056</v>
      </c>
      <c r="E165" s="634">
        <f>'Péréquation directe'!E171/C165</f>
        <v>-4.9869932492528495</v>
      </c>
      <c r="F165" s="633">
        <f>'Péréquation directe'!F171/Effort!C165</f>
        <v>-21.273710143764482</v>
      </c>
      <c r="G165" s="633">
        <f>'Péréquation directe'!G171/Effort!C165</f>
        <v>-4.1402488000793163</v>
      </c>
      <c r="H165" s="633">
        <f>'Péréquation directe'!J171/Effort!C165</f>
        <v>19.619554427615387</v>
      </c>
      <c r="I165" s="635">
        <f t="shared" si="6"/>
        <v>0.2612329305117953</v>
      </c>
      <c r="J165" s="149">
        <f t="shared" si="7"/>
        <v>0</v>
      </c>
      <c r="K165" s="41">
        <f t="shared" si="8"/>
        <v>0</v>
      </c>
      <c r="L165" s="159"/>
    </row>
    <row r="166" spans="1:12" x14ac:dyDescent="0.25">
      <c r="A166" s="37">
        <f>Données!A166</f>
        <v>5683</v>
      </c>
      <c r="B166" s="125" t="str">
        <f>Données!B166</f>
        <v>Prévonloup</v>
      </c>
      <c r="C166" s="247">
        <f>VPI!R166</f>
        <v>3390.948689655173</v>
      </c>
      <c r="D166" s="633">
        <f>(PCS!I172-PCS!F172)/C166</f>
        <v>11.042630695993056</v>
      </c>
      <c r="E166" s="634">
        <f>'Péréquation directe'!E172/C166</f>
        <v>-9.0550192421004247</v>
      </c>
      <c r="F166" s="633">
        <f>'Péréquation directe'!F172/Effort!C166</f>
        <v>-50.513933624295277</v>
      </c>
      <c r="G166" s="633">
        <f>'Péréquation directe'!G172/Effort!C166</f>
        <v>-5.7113643621318184</v>
      </c>
      <c r="H166" s="633">
        <f>'Péréquation directe'!J172/Effort!C166</f>
        <v>19.619554427615387</v>
      </c>
      <c r="I166" s="635">
        <f t="shared" si="6"/>
        <v>-34.61813210491907</v>
      </c>
      <c r="J166" s="149">
        <f t="shared" si="7"/>
        <v>0</v>
      </c>
      <c r="K166" s="41">
        <f t="shared" si="8"/>
        <v>0</v>
      </c>
      <c r="L166" s="159"/>
    </row>
    <row r="167" spans="1:12" x14ac:dyDescent="0.25">
      <c r="A167" s="37">
        <f>Données!A167</f>
        <v>5684</v>
      </c>
      <c r="B167" s="125" t="str">
        <f>Données!B167</f>
        <v>Rossenges</v>
      </c>
      <c r="C167" s="247">
        <f>VPI!R167</f>
        <v>10097.406384615384</v>
      </c>
      <c r="D167" s="633">
        <f>(PCS!I173-PCS!F173)/C167</f>
        <v>24.147598907497638</v>
      </c>
      <c r="E167" s="634">
        <f>'Péréquation directe'!E173/C167</f>
        <v>-1.1847624739795755</v>
      </c>
      <c r="F167" s="633">
        <f>'Péréquation directe'!F173/Effort!C167</f>
        <v>0</v>
      </c>
      <c r="G167" s="633">
        <f>'Péréquation directe'!G173/Effort!C167</f>
        <v>0</v>
      </c>
      <c r="H167" s="633">
        <f>'Péréquation directe'!J173/Effort!C167</f>
        <v>19.619554427615387</v>
      </c>
      <c r="I167" s="635">
        <f t="shared" si="6"/>
        <v>42.582390861133447</v>
      </c>
      <c r="J167" s="149">
        <f t="shared" si="7"/>
        <v>0</v>
      </c>
      <c r="K167" s="41">
        <f t="shared" si="8"/>
        <v>0</v>
      </c>
      <c r="L167" s="159"/>
    </row>
    <row r="168" spans="1:12" x14ac:dyDescent="0.25">
      <c r="A168" s="37">
        <f>Données!A168</f>
        <v>5688</v>
      </c>
      <c r="B168" s="125" t="str">
        <f>Données!B168</f>
        <v>Syens</v>
      </c>
      <c r="C168" s="247">
        <f>VPI!R168</f>
        <v>5159.2410769230773</v>
      </c>
      <c r="D168" s="633">
        <f>(PCS!I174-PCS!F174)/C168</f>
        <v>11.042630695993056</v>
      </c>
      <c r="E168" s="634">
        <f>'Péréquation directe'!E174/C168</f>
        <v>-3.8903595543691365</v>
      </c>
      <c r="F168" s="633">
        <f>'Péréquation directe'!F174/Effort!C168</f>
        <v>-7.8103311429030731</v>
      </c>
      <c r="G168" s="633">
        <f>'Péréquation directe'!G174/Effort!C168</f>
        <v>-4.0646254332498293</v>
      </c>
      <c r="H168" s="633">
        <f>'Péréquation directe'!J174/Effort!C168</f>
        <v>19.619554427615387</v>
      </c>
      <c r="I168" s="635">
        <f t="shared" si="6"/>
        <v>14.896868993086404</v>
      </c>
      <c r="J168" s="149">
        <f t="shared" si="7"/>
        <v>0</v>
      </c>
      <c r="K168" s="41">
        <f t="shared" si="8"/>
        <v>0</v>
      </c>
      <c r="L168" s="159"/>
    </row>
    <row r="169" spans="1:12" x14ac:dyDescent="0.25">
      <c r="A169" s="37">
        <f>Données!A169</f>
        <v>5690</v>
      </c>
      <c r="B169" s="125" t="str">
        <f>Données!B169</f>
        <v>Villars-le-Comte</v>
      </c>
      <c r="C169" s="247">
        <f>VPI!R169</f>
        <v>4239.3419117647063</v>
      </c>
      <c r="D169" s="633">
        <f>(PCS!I175-PCS!F175)/C169</f>
        <v>11.042630695993054</v>
      </c>
      <c r="E169" s="634">
        <f>'Péréquation directe'!E175/C169</f>
        <v>-4.1387967786216047</v>
      </c>
      <c r="F169" s="633">
        <f>'Péréquation directe'!F175/Effort!C169</f>
        <v>-10.274346307463297</v>
      </c>
      <c r="G169" s="633">
        <f>'Péréquation directe'!G175/Effort!C169</f>
        <v>0</v>
      </c>
      <c r="H169" s="633">
        <f>'Péréquation directe'!J175/Effort!C169</f>
        <v>19.619554427615387</v>
      </c>
      <c r="I169" s="635">
        <f t="shared" si="6"/>
        <v>16.249042037523541</v>
      </c>
      <c r="J169" s="149">
        <f t="shared" si="7"/>
        <v>0</v>
      </c>
      <c r="K169" s="41">
        <f t="shared" si="8"/>
        <v>0</v>
      </c>
      <c r="L169" s="159"/>
    </row>
    <row r="170" spans="1:12" x14ac:dyDescent="0.25">
      <c r="A170" s="37">
        <f>Données!A170</f>
        <v>5692</v>
      </c>
      <c r="B170" s="125" t="str">
        <f>Données!B170</f>
        <v>Vucherens</v>
      </c>
      <c r="C170" s="247">
        <f>VPI!R170</f>
        <v>19521.023866666663</v>
      </c>
      <c r="D170" s="633">
        <f>(PCS!I176-PCS!F176)/C170</f>
        <v>11.042630695993056</v>
      </c>
      <c r="E170" s="634">
        <f>'Péréquation directe'!E176/C170</f>
        <v>-4.2353217467545772</v>
      </c>
      <c r="F170" s="633">
        <f>'Péréquation directe'!F176/Effort!C170</f>
        <v>-13.314500863779941</v>
      </c>
      <c r="G170" s="633">
        <f>'Péréquation directe'!G176/Effort!C170</f>
        <v>-3.8132989579933523</v>
      </c>
      <c r="H170" s="633">
        <f>'Péréquation directe'!J176/Effort!C170</f>
        <v>19.619554427615387</v>
      </c>
      <c r="I170" s="635">
        <f t="shared" si="6"/>
        <v>9.2990635550805738</v>
      </c>
      <c r="J170" s="149">
        <f t="shared" si="7"/>
        <v>0</v>
      </c>
      <c r="K170" s="41">
        <f t="shared" si="8"/>
        <v>0</v>
      </c>
      <c r="L170" s="159"/>
    </row>
    <row r="171" spans="1:12" x14ac:dyDescent="0.25">
      <c r="A171" s="37">
        <f>Données!A171</f>
        <v>5693</v>
      </c>
      <c r="B171" s="125" t="str">
        <f>Données!B171</f>
        <v>Montanaire</v>
      </c>
      <c r="C171" s="247">
        <f>VPI!R171</f>
        <v>77215.400857142857</v>
      </c>
      <c r="D171" s="633">
        <f>(PCS!I177-PCS!F177)/C171</f>
        <v>11.042630695993054</v>
      </c>
      <c r="E171" s="634">
        <f>'Péréquation directe'!E177/C171</f>
        <v>-10.691588368718184</v>
      </c>
      <c r="F171" s="633">
        <f>'Péréquation directe'!F177/Effort!C171</f>
        <v>-16.677672195252544</v>
      </c>
      <c r="G171" s="633">
        <f>'Péréquation directe'!G177/Effort!C171</f>
        <v>-7.5365982783732575</v>
      </c>
      <c r="H171" s="633">
        <f>'Péréquation directe'!J177/Effort!C171</f>
        <v>19.619554427615387</v>
      </c>
      <c r="I171" s="635">
        <f t="shared" si="6"/>
        <v>-4.2436737187355433</v>
      </c>
      <c r="J171" s="149">
        <f t="shared" si="7"/>
        <v>0</v>
      </c>
      <c r="K171" s="41">
        <f t="shared" si="8"/>
        <v>0</v>
      </c>
      <c r="L171" s="159"/>
    </row>
    <row r="172" spans="1:12" x14ac:dyDescent="0.25">
      <c r="A172" s="37">
        <f>Données!A172</f>
        <v>5701</v>
      </c>
      <c r="B172" s="125" t="str">
        <f>Données!B172</f>
        <v>Arnex-sur-Nyon</v>
      </c>
      <c r="C172" s="247">
        <f>VPI!R172</f>
        <v>22528.026764705879</v>
      </c>
      <c r="D172" s="633">
        <f>(PCS!I178-PCS!F178)/C172</f>
        <v>19.316382069034251</v>
      </c>
      <c r="E172" s="634">
        <f>'Péréquation directe'!E178/C172</f>
        <v>-1.5753850646613345</v>
      </c>
      <c r="F172" s="633">
        <f>'Péréquation directe'!F178/Effort!C172</f>
        <v>0</v>
      </c>
      <c r="G172" s="633">
        <f>'Péréquation directe'!G178/Effort!C172</f>
        <v>0</v>
      </c>
      <c r="H172" s="633">
        <f>'Péréquation directe'!J178/Effort!C172</f>
        <v>19.619554427615387</v>
      </c>
      <c r="I172" s="635">
        <f t="shared" si="6"/>
        <v>37.360551431988306</v>
      </c>
      <c r="J172" s="149">
        <f t="shared" si="7"/>
        <v>0</v>
      </c>
      <c r="K172" s="41">
        <f t="shared" si="8"/>
        <v>0</v>
      </c>
      <c r="L172" s="159"/>
    </row>
    <row r="173" spans="1:12" x14ac:dyDescent="0.25">
      <c r="A173" s="37">
        <f>Données!A173</f>
        <v>5702</v>
      </c>
      <c r="B173" s="125" t="str">
        <f>Données!B173</f>
        <v>Arzier-Le Muids</v>
      </c>
      <c r="C173" s="247">
        <f>VPI!R173</f>
        <v>189129.79401041669</v>
      </c>
      <c r="D173" s="633">
        <f>(PCS!I179-PCS!F179)/C173</f>
        <v>14.184182991535478</v>
      </c>
      <c r="E173" s="634">
        <f>'Péréquation directe'!E179/C173</f>
        <v>-4.5755819582385522</v>
      </c>
      <c r="F173" s="633">
        <f>'Péréquation directe'!F179/Effort!C173</f>
        <v>0</v>
      </c>
      <c r="G173" s="633">
        <f>'Péréquation directe'!G179/Effort!C173</f>
        <v>-1.9599548323378972</v>
      </c>
      <c r="H173" s="633">
        <f>'Péréquation directe'!J179/Effort!C173</f>
        <v>19.619554427615387</v>
      </c>
      <c r="I173" s="635">
        <f t="shared" si="6"/>
        <v>27.268200628574416</v>
      </c>
      <c r="J173" s="149">
        <f t="shared" si="7"/>
        <v>0</v>
      </c>
      <c r="K173" s="41">
        <f t="shared" si="8"/>
        <v>0</v>
      </c>
      <c r="L173" s="159"/>
    </row>
    <row r="174" spans="1:12" x14ac:dyDescent="0.25">
      <c r="A174" s="37">
        <f>Données!A174</f>
        <v>5703</v>
      </c>
      <c r="B174" s="125" t="str">
        <f>Données!B174</f>
        <v>Bassins</v>
      </c>
      <c r="C174" s="247">
        <f>VPI!R174</f>
        <v>69884.65087684727</v>
      </c>
      <c r="D174" s="633">
        <f>(PCS!I180-PCS!F180)/C174</f>
        <v>11.042630695993056</v>
      </c>
      <c r="E174" s="634">
        <f>'Péréquation directe'!E180/C174</f>
        <v>-4.4796554179151471</v>
      </c>
      <c r="F174" s="633">
        <f>'Péréquation directe'!F180/Effort!C174</f>
        <v>-1.2822088011603128</v>
      </c>
      <c r="G174" s="633">
        <f>'Péréquation directe'!G180/Effort!C174</f>
        <v>0</v>
      </c>
      <c r="H174" s="633">
        <f>'Péréquation directe'!J180/Effort!C174</f>
        <v>19.619554427615387</v>
      </c>
      <c r="I174" s="635">
        <f t="shared" si="6"/>
        <v>24.900320904532983</v>
      </c>
      <c r="J174" s="149">
        <f t="shared" si="7"/>
        <v>0</v>
      </c>
      <c r="K174" s="41">
        <f t="shared" si="8"/>
        <v>0</v>
      </c>
      <c r="L174" s="159"/>
    </row>
    <row r="175" spans="1:12" x14ac:dyDescent="0.25">
      <c r="A175" s="37">
        <f>Données!A175</f>
        <v>5704</v>
      </c>
      <c r="B175" s="125" t="str">
        <f>Données!B175</f>
        <v>Begnins</v>
      </c>
      <c r="C175" s="247">
        <f>VPI!R175</f>
        <v>151723.65322666671</v>
      </c>
      <c r="D175" s="633">
        <f>(PCS!I181-PCS!F181)/C175</f>
        <v>16.349842016228664</v>
      </c>
      <c r="E175" s="634">
        <f>'Péréquation directe'!E181/C175</f>
        <v>-3.4296902940220781</v>
      </c>
      <c r="F175" s="633">
        <f>'Péréquation directe'!F181/Effort!C175</f>
        <v>0</v>
      </c>
      <c r="G175" s="633">
        <f>'Péréquation directe'!G181/Effort!C175</f>
        <v>0</v>
      </c>
      <c r="H175" s="633">
        <f>'Péréquation directe'!J181/Effort!C175</f>
        <v>19.619554427615387</v>
      </c>
      <c r="I175" s="635">
        <f t="shared" si="6"/>
        <v>32.539706149821974</v>
      </c>
      <c r="J175" s="149">
        <f t="shared" si="7"/>
        <v>0</v>
      </c>
      <c r="K175" s="41">
        <f t="shared" si="8"/>
        <v>0</v>
      </c>
      <c r="L175" s="159"/>
    </row>
    <row r="176" spans="1:12" x14ac:dyDescent="0.25">
      <c r="A176" s="37">
        <f>Données!A176</f>
        <v>5705</v>
      </c>
      <c r="B176" s="125" t="str">
        <f>Données!B176</f>
        <v>Bogis-Bossey</v>
      </c>
      <c r="C176" s="247">
        <f>VPI!R176</f>
        <v>60210.898873239443</v>
      </c>
      <c r="D176" s="633">
        <f>(PCS!I182-PCS!F182)/C176</f>
        <v>13.677197517099914</v>
      </c>
      <c r="E176" s="634">
        <f>'Péréquation directe'!E182/C176</f>
        <v>-2.1855396999834724</v>
      </c>
      <c r="F176" s="633">
        <f>'Péréquation directe'!F182/Effort!C176</f>
        <v>0</v>
      </c>
      <c r="G176" s="633">
        <f>'Péréquation directe'!G182/Effort!C176</f>
        <v>0</v>
      </c>
      <c r="H176" s="633">
        <f>'Péréquation directe'!J182/Effort!C176</f>
        <v>19.619554427615384</v>
      </c>
      <c r="I176" s="635">
        <f t="shared" si="6"/>
        <v>31.111212244731824</v>
      </c>
      <c r="J176" s="149">
        <f t="shared" si="7"/>
        <v>0</v>
      </c>
      <c r="K176" s="41">
        <f t="shared" si="8"/>
        <v>0</v>
      </c>
      <c r="L176" s="159"/>
    </row>
    <row r="177" spans="1:12" x14ac:dyDescent="0.25">
      <c r="A177" s="37">
        <f>Données!A177</f>
        <v>5706</v>
      </c>
      <c r="B177" s="125" t="str">
        <f>Données!B177</f>
        <v>Borex</v>
      </c>
      <c r="C177" s="247">
        <f>VPI!R177</f>
        <v>69165.019824561401</v>
      </c>
      <c r="D177" s="633">
        <f>(PCS!I183-PCS!F183)/C177</f>
        <v>13.06843965075079</v>
      </c>
      <c r="E177" s="634">
        <f>'Péréquation directe'!E183/C177</f>
        <v>-2.6966941075352096</v>
      </c>
      <c r="F177" s="633">
        <f>'Péréquation directe'!F183/Effort!C177</f>
        <v>0</v>
      </c>
      <c r="G177" s="633">
        <f>'Péréquation directe'!G183/Effort!C177</f>
        <v>0</v>
      </c>
      <c r="H177" s="633">
        <f>'Péréquation directe'!J183/Effort!C177</f>
        <v>19.619554427615387</v>
      </c>
      <c r="I177" s="635">
        <f t="shared" si="6"/>
        <v>29.991299970830966</v>
      </c>
      <c r="J177" s="149">
        <f t="shared" si="7"/>
        <v>0</v>
      </c>
      <c r="K177" s="41">
        <f t="shared" si="8"/>
        <v>0</v>
      </c>
      <c r="L177" s="159"/>
    </row>
    <row r="178" spans="1:12" x14ac:dyDescent="0.25">
      <c r="A178" s="37">
        <f>Données!A178</f>
        <v>5707</v>
      </c>
      <c r="B178" s="125" t="str">
        <f>Données!B178</f>
        <v>Chavannes-de-Bogis</v>
      </c>
      <c r="C178" s="247">
        <f>VPI!R178</f>
        <v>100327.22695402298</v>
      </c>
      <c r="D178" s="633">
        <f>(PCS!I184-PCS!F184)/C178</f>
        <v>15.61287779907885</v>
      </c>
      <c r="E178" s="634">
        <f>'Péréquation directe'!E184/C178</f>
        <v>-2.7642504022550201</v>
      </c>
      <c r="F178" s="633">
        <f>'Péréquation directe'!F184/Effort!C178</f>
        <v>0</v>
      </c>
      <c r="G178" s="633">
        <f>'Péréquation directe'!G184/Effort!C178</f>
        <v>0</v>
      </c>
      <c r="H178" s="633">
        <f>'Péréquation directe'!J184/Effort!C178</f>
        <v>19.619554427615387</v>
      </c>
      <c r="I178" s="635">
        <f t="shared" si="6"/>
        <v>32.468181824439213</v>
      </c>
      <c r="J178" s="149">
        <f t="shared" si="7"/>
        <v>0</v>
      </c>
      <c r="K178" s="41">
        <f t="shared" si="8"/>
        <v>0</v>
      </c>
      <c r="L178" s="159"/>
    </row>
    <row r="179" spans="1:12" x14ac:dyDescent="0.25">
      <c r="A179" s="37">
        <f>Données!A179</f>
        <v>5708</v>
      </c>
      <c r="B179" s="125" t="str">
        <f>Données!B179</f>
        <v>Chavannes-des-Bois</v>
      </c>
      <c r="C179" s="247">
        <f>VPI!R179</f>
        <v>70377.065294117638</v>
      </c>
      <c r="D179" s="633">
        <f>(PCS!I185-PCS!F185)/C179</f>
        <v>16.271816538156674</v>
      </c>
      <c r="E179" s="634">
        <f>'Péréquation directe'!E185/C179</f>
        <v>-1.8547225439418107</v>
      </c>
      <c r="F179" s="633">
        <f>'Péréquation directe'!F185/Effort!C179</f>
        <v>0</v>
      </c>
      <c r="G179" s="633">
        <f>'Péréquation directe'!G185/Effort!C179</f>
        <v>0</v>
      </c>
      <c r="H179" s="633">
        <f>'Péréquation directe'!J185/Effort!C179</f>
        <v>19.619554427615387</v>
      </c>
      <c r="I179" s="635">
        <f t="shared" si="6"/>
        <v>34.03664842183025</v>
      </c>
      <c r="J179" s="149">
        <f t="shared" si="7"/>
        <v>0</v>
      </c>
      <c r="K179" s="41">
        <f t="shared" si="8"/>
        <v>0</v>
      </c>
      <c r="L179" s="159"/>
    </row>
    <row r="180" spans="1:12" x14ac:dyDescent="0.25">
      <c r="A180" s="37">
        <f>Données!A180</f>
        <v>5709</v>
      </c>
      <c r="B180" s="125" t="str">
        <f>Données!B180</f>
        <v>Chéserex</v>
      </c>
      <c r="C180" s="247">
        <f>VPI!R180</f>
        <v>110900.39440677965</v>
      </c>
      <c r="D180" s="633">
        <f>(PCS!I186-PCS!F186)/C180</f>
        <v>18.68834596341609</v>
      </c>
      <c r="E180" s="634">
        <f>'Péréquation directe'!E186/C180</f>
        <v>-2.1281912907849709</v>
      </c>
      <c r="F180" s="633">
        <f>'Péréquation directe'!F186/Effort!C180</f>
        <v>0</v>
      </c>
      <c r="G180" s="633">
        <f>'Péréquation directe'!G186/Effort!C180</f>
        <v>0</v>
      </c>
      <c r="H180" s="633">
        <f>'Péréquation directe'!J186/Effort!C180</f>
        <v>19.619554427615387</v>
      </c>
      <c r="I180" s="635">
        <f t="shared" si="6"/>
        <v>36.179709100246505</v>
      </c>
      <c r="J180" s="149">
        <f t="shared" si="7"/>
        <v>0</v>
      </c>
      <c r="K180" s="41">
        <f t="shared" si="8"/>
        <v>0</v>
      </c>
      <c r="L180" s="159"/>
    </row>
    <row r="181" spans="1:12" x14ac:dyDescent="0.25">
      <c r="A181" s="37">
        <f>Données!A181</f>
        <v>5710</v>
      </c>
      <c r="B181" s="125" t="str">
        <f>Données!B181</f>
        <v>Coinsins</v>
      </c>
      <c r="C181" s="247">
        <f>VPI!R181</f>
        <v>25704.31551020408</v>
      </c>
      <c r="D181" s="633">
        <f>(PCS!I187-PCS!F187)/C181</f>
        <v>11.042630695993056</v>
      </c>
      <c r="E181" s="634">
        <f>'Péréquation directe'!E187/C181</f>
        <v>-2.6735180198416311</v>
      </c>
      <c r="F181" s="633">
        <f>'Péréquation directe'!F187/Effort!C181</f>
        <v>-4.7731569382842426E-2</v>
      </c>
      <c r="G181" s="633">
        <f>'Péréquation directe'!G187/Effort!C181</f>
        <v>0</v>
      </c>
      <c r="H181" s="633">
        <f>'Péréquation directe'!J187/Effort!C181</f>
        <v>19.619554427615387</v>
      </c>
      <c r="I181" s="635">
        <f t="shared" si="6"/>
        <v>27.940935534383968</v>
      </c>
      <c r="J181" s="149">
        <f t="shared" si="7"/>
        <v>0</v>
      </c>
      <c r="K181" s="41">
        <f t="shared" si="8"/>
        <v>0</v>
      </c>
      <c r="L181" s="159"/>
    </row>
    <row r="182" spans="1:12" x14ac:dyDescent="0.25">
      <c r="A182" s="37">
        <f>Données!A182</f>
        <v>5711</v>
      </c>
      <c r="B182" s="125" t="str">
        <f>Données!B182</f>
        <v>Commugny</v>
      </c>
      <c r="C182" s="247">
        <f>VPI!R182</f>
        <v>294735.07522267208</v>
      </c>
      <c r="D182" s="633">
        <f>(PCS!I188-PCS!F188)/C182</f>
        <v>20.276819261753499</v>
      </c>
      <c r="E182" s="634">
        <f>'Péréquation directe'!E188/C182</f>
        <v>-2.9601171542054865</v>
      </c>
      <c r="F182" s="633">
        <f>'Péréquation directe'!F188/Effort!C182</f>
        <v>0</v>
      </c>
      <c r="G182" s="633">
        <f>'Péréquation directe'!G188/Effort!C182</f>
        <v>0</v>
      </c>
      <c r="H182" s="633">
        <f>'Péréquation directe'!J188/Effort!C182</f>
        <v>19.619554427615387</v>
      </c>
      <c r="I182" s="635">
        <f t="shared" si="6"/>
        <v>36.936256535163395</v>
      </c>
      <c r="J182" s="149">
        <f t="shared" si="7"/>
        <v>0</v>
      </c>
      <c r="K182" s="41">
        <f t="shared" si="8"/>
        <v>0</v>
      </c>
      <c r="L182" s="159"/>
    </row>
    <row r="183" spans="1:12" x14ac:dyDescent="0.25">
      <c r="A183" s="37">
        <f>Données!A183</f>
        <v>5712</v>
      </c>
      <c r="B183" s="125" t="str">
        <f>Données!B183</f>
        <v>Coppet</v>
      </c>
      <c r="C183" s="247">
        <f>VPI!R183</f>
        <v>457797.09461988311</v>
      </c>
      <c r="D183" s="633">
        <f>(PCS!I189-PCS!F189)/C183</f>
        <v>26.137769272410448</v>
      </c>
      <c r="E183" s="634">
        <f>'Péréquation directe'!E189/C183</f>
        <v>-2.1671911300369593</v>
      </c>
      <c r="F183" s="633">
        <f>'Péréquation directe'!F189/Effort!C183</f>
        <v>0</v>
      </c>
      <c r="G183" s="633">
        <f>'Péréquation directe'!G189/Effort!C183</f>
        <v>0</v>
      </c>
      <c r="H183" s="633">
        <f>'Péréquation directe'!J189/Effort!C183</f>
        <v>19.619554427615387</v>
      </c>
      <c r="I183" s="635">
        <f t="shared" si="6"/>
        <v>43.590132569988882</v>
      </c>
      <c r="J183" s="149">
        <f t="shared" si="7"/>
        <v>0</v>
      </c>
      <c r="K183" s="41">
        <f t="shared" si="8"/>
        <v>0</v>
      </c>
      <c r="L183" s="159"/>
    </row>
    <row r="184" spans="1:12" x14ac:dyDescent="0.25">
      <c r="A184" s="37">
        <f>Données!A184</f>
        <v>5713</v>
      </c>
      <c r="B184" s="125" t="str">
        <f>Données!B184</f>
        <v>Crans</v>
      </c>
      <c r="C184" s="247">
        <f>VPI!R184</f>
        <v>285226.41440677963</v>
      </c>
      <c r="D184" s="633">
        <f>(PCS!I190-PCS!F190)/C184</f>
        <v>23.542266286392433</v>
      </c>
      <c r="E184" s="634">
        <f>'Péréquation directe'!E190/C184</f>
        <v>-2.3646089898956446</v>
      </c>
      <c r="F184" s="633">
        <f>'Péréquation directe'!F190/Effort!C184</f>
        <v>0</v>
      </c>
      <c r="G184" s="633">
        <f>'Péréquation directe'!G190/Effort!C184</f>
        <v>0</v>
      </c>
      <c r="H184" s="633">
        <f>'Péréquation directe'!J190/Effort!C184</f>
        <v>19.619554427615387</v>
      </c>
      <c r="I184" s="635">
        <f t="shared" si="6"/>
        <v>40.797211724112174</v>
      </c>
      <c r="J184" s="149">
        <f t="shared" si="7"/>
        <v>0</v>
      </c>
      <c r="K184" s="41">
        <f t="shared" si="8"/>
        <v>0</v>
      </c>
      <c r="L184" s="159"/>
    </row>
    <row r="185" spans="1:12" x14ac:dyDescent="0.25">
      <c r="A185" s="37">
        <f>Données!A185</f>
        <v>5714</v>
      </c>
      <c r="B185" s="125" t="str">
        <f>Données!B185</f>
        <v>Crassier</v>
      </c>
      <c r="C185" s="247">
        <f>VPI!R185</f>
        <v>67017.221203007502</v>
      </c>
      <c r="D185" s="633">
        <f>(PCS!I191-PCS!F191)/C185</f>
        <v>11.709694141265382</v>
      </c>
      <c r="E185" s="634">
        <f>'Péréquation directe'!E191/C185</f>
        <v>-3.5050797393373654</v>
      </c>
      <c r="F185" s="633">
        <f>'Péréquation directe'!F191/Effort!C185</f>
        <v>0</v>
      </c>
      <c r="G185" s="633">
        <f>'Péréquation directe'!G191/Effort!C185</f>
        <v>0</v>
      </c>
      <c r="H185" s="633">
        <f>'Péréquation directe'!J191/Effort!C185</f>
        <v>19.619554427615387</v>
      </c>
      <c r="I185" s="635">
        <f t="shared" si="6"/>
        <v>27.824168829543403</v>
      </c>
      <c r="J185" s="149">
        <f t="shared" si="7"/>
        <v>0</v>
      </c>
      <c r="K185" s="41">
        <f t="shared" si="8"/>
        <v>0</v>
      </c>
      <c r="L185" s="159"/>
    </row>
    <row r="186" spans="1:12" x14ac:dyDescent="0.25">
      <c r="A186" s="37">
        <f>Données!A186</f>
        <v>5715</v>
      </c>
      <c r="B186" s="125" t="str">
        <f>Données!B186</f>
        <v>Duillier</v>
      </c>
      <c r="C186" s="247">
        <f>VPI!R186</f>
        <v>58499.436969696966</v>
      </c>
      <c r="D186" s="633">
        <f>(PCS!I192-PCS!F192)/C186</f>
        <v>11.356036941012649</v>
      </c>
      <c r="E186" s="634">
        <f>'Péréquation directe'!E192/C186</f>
        <v>-3.1819916216677973</v>
      </c>
      <c r="F186" s="633">
        <f>'Péréquation directe'!F192/Effort!C186</f>
        <v>0</v>
      </c>
      <c r="G186" s="633">
        <f>'Péréquation directe'!G192/Effort!C186</f>
        <v>0</v>
      </c>
      <c r="H186" s="633">
        <f>'Péréquation directe'!J192/Effort!C186</f>
        <v>19.619554427615387</v>
      </c>
      <c r="I186" s="635">
        <f t="shared" si="6"/>
        <v>27.79359974696024</v>
      </c>
      <c r="J186" s="149">
        <f t="shared" si="7"/>
        <v>0</v>
      </c>
      <c r="K186" s="41">
        <f t="shared" si="8"/>
        <v>0</v>
      </c>
      <c r="L186" s="159"/>
    </row>
    <row r="187" spans="1:12" x14ac:dyDescent="0.25">
      <c r="A187" s="37">
        <f>Données!A187</f>
        <v>5716</v>
      </c>
      <c r="B187" s="125" t="str">
        <f>Données!B187</f>
        <v>Eysins</v>
      </c>
      <c r="C187" s="247">
        <f>VPI!R187</f>
        <v>387894.76554621849</v>
      </c>
      <c r="D187" s="633">
        <f>(PCS!I193-PCS!F193)/C187</f>
        <v>33.568918814403141</v>
      </c>
      <c r="E187" s="634">
        <f>'Péréquation directe'!E193/C187</f>
        <v>-1.0834069563485</v>
      </c>
      <c r="F187" s="633">
        <f>'Péréquation directe'!F193/Effort!C187</f>
        <v>0</v>
      </c>
      <c r="G187" s="633">
        <f>'Péréquation directe'!G193/Effort!C187</f>
        <v>0</v>
      </c>
      <c r="H187" s="633">
        <f>'Péréquation directe'!J193/Effort!C187</f>
        <v>19.619554427615387</v>
      </c>
      <c r="I187" s="635">
        <f t="shared" si="6"/>
        <v>52.105066285670034</v>
      </c>
      <c r="J187" s="149">
        <f t="shared" si="7"/>
        <v>4.1050662856700342</v>
      </c>
      <c r="K187" s="41">
        <f t="shared" si="8"/>
        <v>-1592333.724431664</v>
      </c>
      <c r="L187" s="159"/>
    </row>
    <row r="188" spans="1:12" x14ac:dyDescent="0.25">
      <c r="A188" s="37">
        <f>Données!A188</f>
        <v>5717</v>
      </c>
      <c r="B188" s="125" t="str">
        <f>Données!B188</f>
        <v>Founex</v>
      </c>
      <c r="C188" s="247">
        <f>VPI!R188</f>
        <v>389506.02859649126</v>
      </c>
      <c r="D188" s="633">
        <f>(PCS!I194-PCS!F194)/C188</f>
        <v>21.181276045891465</v>
      </c>
      <c r="E188" s="634">
        <f>'Péréquation directe'!E194/C188</f>
        <v>-3.2733587265405526</v>
      </c>
      <c r="F188" s="633">
        <f>'Péréquation directe'!F194/Effort!C188</f>
        <v>0</v>
      </c>
      <c r="G188" s="633">
        <f>'Péréquation directe'!G194/Effort!C188</f>
        <v>0</v>
      </c>
      <c r="H188" s="633">
        <f>'Péréquation directe'!J194/Effort!C188</f>
        <v>19.619554427615387</v>
      </c>
      <c r="I188" s="635">
        <f t="shared" si="6"/>
        <v>37.527471746966299</v>
      </c>
      <c r="J188" s="149">
        <f t="shared" si="7"/>
        <v>0</v>
      </c>
      <c r="K188" s="41">
        <f t="shared" si="8"/>
        <v>0</v>
      </c>
      <c r="L188" s="159"/>
    </row>
    <row r="189" spans="1:12" x14ac:dyDescent="0.25">
      <c r="A189" s="37">
        <f>Données!A189</f>
        <v>5718</v>
      </c>
      <c r="B189" s="125" t="str">
        <f>Données!B189</f>
        <v>Genolier</v>
      </c>
      <c r="C189" s="247">
        <f>VPI!R189</f>
        <v>239613.31826923083</v>
      </c>
      <c r="D189" s="633">
        <f>(PCS!I195-PCS!F195)/C189</f>
        <v>22.425409075691846</v>
      </c>
      <c r="E189" s="634">
        <f>'Péréquation directe'!E195/C189</f>
        <v>-2.1266423530488305</v>
      </c>
      <c r="F189" s="633">
        <f>'Péréquation directe'!F195/Effort!C189</f>
        <v>0</v>
      </c>
      <c r="G189" s="633">
        <f>'Péréquation directe'!G195/Effort!C189</f>
        <v>0</v>
      </c>
      <c r="H189" s="633">
        <f>'Péréquation directe'!J195/Effort!C189</f>
        <v>19.619554427615387</v>
      </c>
      <c r="I189" s="635">
        <f t="shared" si="6"/>
        <v>39.918321150258407</v>
      </c>
      <c r="J189" s="149">
        <f t="shared" si="7"/>
        <v>0</v>
      </c>
      <c r="K189" s="41">
        <f t="shared" si="8"/>
        <v>0</v>
      </c>
      <c r="L189" s="159"/>
    </row>
    <row r="190" spans="1:12" x14ac:dyDescent="0.25">
      <c r="A190" s="37">
        <f>Données!A190</f>
        <v>5719</v>
      </c>
      <c r="B190" s="125" t="str">
        <f>Données!B190</f>
        <v>Gingins</v>
      </c>
      <c r="C190" s="247">
        <f>VPI!R190</f>
        <v>173273.6891111111</v>
      </c>
      <c r="D190" s="633">
        <f>(PCS!I196-PCS!F196)/C190</f>
        <v>26.517696800449386</v>
      </c>
      <c r="E190" s="634">
        <f>'Péréquation directe'!E196/C190</f>
        <v>-1.3105559206355457</v>
      </c>
      <c r="F190" s="633">
        <f>'Péréquation directe'!F196/Effort!C190</f>
        <v>0</v>
      </c>
      <c r="G190" s="633">
        <f>'Péréquation directe'!G196/Effort!C190</f>
        <v>0</v>
      </c>
      <c r="H190" s="633">
        <f>'Péréquation directe'!J196/Effort!C190</f>
        <v>19.619554427615387</v>
      </c>
      <c r="I190" s="635">
        <f t="shared" si="6"/>
        <v>44.826695307429226</v>
      </c>
      <c r="J190" s="149">
        <f t="shared" si="7"/>
        <v>0</v>
      </c>
      <c r="K190" s="41">
        <f t="shared" si="8"/>
        <v>0</v>
      </c>
      <c r="L190" s="159"/>
    </row>
    <row r="191" spans="1:12" x14ac:dyDescent="0.25">
      <c r="A191" s="37">
        <f>Données!A191</f>
        <v>5720</v>
      </c>
      <c r="B191" s="125" t="str">
        <f>Données!B191</f>
        <v>Givrins</v>
      </c>
      <c r="C191" s="247">
        <f>VPI!R191</f>
        <v>77350.1792703151</v>
      </c>
      <c r="D191" s="633">
        <f>(PCS!I197-PCS!F197)/C191</f>
        <v>16.309849523025019</v>
      </c>
      <c r="E191" s="634">
        <f>'Péréquation directe'!E197/C191</f>
        <v>-2.0600797142873701</v>
      </c>
      <c r="F191" s="633">
        <f>'Péréquation directe'!F197/Effort!C191</f>
        <v>0</v>
      </c>
      <c r="G191" s="633">
        <f>'Péréquation directe'!G197/Effort!C191</f>
        <v>-0.34119156521931304</v>
      </c>
      <c r="H191" s="633">
        <f>'Péréquation directe'!J197/Effort!C191</f>
        <v>19.619554427615387</v>
      </c>
      <c r="I191" s="635">
        <f t="shared" si="6"/>
        <v>33.528132671133719</v>
      </c>
      <c r="J191" s="149">
        <f t="shared" si="7"/>
        <v>0</v>
      </c>
      <c r="K191" s="41">
        <f t="shared" si="8"/>
        <v>0</v>
      </c>
      <c r="L191" s="159"/>
    </row>
    <row r="192" spans="1:12" x14ac:dyDescent="0.25">
      <c r="A192" s="37">
        <f>Données!A192</f>
        <v>5721</v>
      </c>
      <c r="B192" s="125" t="str">
        <f>Données!B192</f>
        <v>Gland</v>
      </c>
      <c r="C192" s="247">
        <f>VPI!R192</f>
        <v>727883.96163934411</v>
      </c>
      <c r="D192" s="633">
        <f>(PCS!I198-PCS!F198)/C192</f>
        <v>11.544901335541722</v>
      </c>
      <c r="E192" s="634">
        <f>'Péréquation directe'!E198/C192</f>
        <v>-12.772824093936412</v>
      </c>
      <c r="F192" s="633">
        <f>'Péréquation directe'!F198/Effort!C192</f>
        <v>0</v>
      </c>
      <c r="G192" s="633">
        <f>'Péréquation directe'!G198/Effort!C192</f>
        <v>0</v>
      </c>
      <c r="H192" s="633">
        <f>'Péréquation directe'!J198/Effort!C192</f>
        <v>19.619554427615387</v>
      </c>
      <c r="I192" s="635">
        <f t="shared" si="6"/>
        <v>18.391631669220697</v>
      </c>
      <c r="J192" s="149">
        <f t="shared" si="7"/>
        <v>0</v>
      </c>
      <c r="K192" s="41">
        <f t="shared" si="8"/>
        <v>0</v>
      </c>
      <c r="L192" s="159"/>
    </row>
    <row r="193" spans="1:12" x14ac:dyDescent="0.25">
      <c r="A193" s="37">
        <f>Données!A193</f>
        <v>5722</v>
      </c>
      <c r="B193" s="125" t="str">
        <f>Données!B193</f>
        <v>Grens</v>
      </c>
      <c r="C193" s="247">
        <f>VPI!R193</f>
        <v>33694.831129032267</v>
      </c>
      <c r="D193" s="633">
        <f>(PCS!I199-PCS!F199)/C193</f>
        <v>18.817433631678689</v>
      </c>
      <c r="E193" s="634">
        <f>'Péréquation directe'!E199/C193</f>
        <v>-1.5542882133074387</v>
      </c>
      <c r="F193" s="633">
        <f>'Péréquation directe'!F199/Effort!C193</f>
        <v>0</v>
      </c>
      <c r="G193" s="633">
        <f>'Péréquation directe'!G199/Effort!C193</f>
        <v>0</v>
      </c>
      <c r="H193" s="633">
        <f>'Péréquation directe'!J199/Effort!C193</f>
        <v>19.619554427615387</v>
      </c>
      <c r="I193" s="635">
        <f t="shared" si="6"/>
        <v>36.882699845986636</v>
      </c>
      <c r="J193" s="149">
        <f t="shared" si="7"/>
        <v>0</v>
      </c>
      <c r="K193" s="41">
        <f t="shared" si="8"/>
        <v>0</v>
      </c>
      <c r="L193" s="159"/>
    </row>
    <row r="194" spans="1:12" x14ac:dyDescent="0.25">
      <c r="A194" s="37">
        <f>Données!A194</f>
        <v>5723</v>
      </c>
      <c r="B194" s="125" t="str">
        <f>Données!B194</f>
        <v>Mies</v>
      </c>
      <c r="C194" s="247">
        <f>VPI!R194</f>
        <v>272663.2930188679</v>
      </c>
      <c r="D194" s="633">
        <f>(PCS!I200-PCS!F200)/C194</f>
        <v>23.467573166427453</v>
      </c>
      <c r="E194" s="634">
        <f>'Péréquation directe'!E200/C194</f>
        <v>-2.0749821973069502</v>
      </c>
      <c r="F194" s="633">
        <f>'Péréquation directe'!F200/Effort!C194</f>
        <v>0</v>
      </c>
      <c r="G194" s="633">
        <f>'Péréquation directe'!G200/Effort!C194</f>
        <v>0</v>
      </c>
      <c r="H194" s="633">
        <f>'Péréquation directe'!J200/Effort!C194</f>
        <v>19.619554427615387</v>
      </c>
      <c r="I194" s="635">
        <f t="shared" si="6"/>
        <v>41.012145396735889</v>
      </c>
      <c r="J194" s="149">
        <f t="shared" si="7"/>
        <v>0</v>
      </c>
      <c r="K194" s="41">
        <f t="shared" si="8"/>
        <v>0</v>
      </c>
      <c r="L194" s="159"/>
    </row>
    <row r="195" spans="1:12" x14ac:dyDescent="0.25">
      <c r="A195" s="37">
        <f>Données!A195</f>
        <v>5724</v>
      </c>
      <c r="B195" s="125" t="str">
        <f>Données!B195</f>
        <v>Nyon</v>
      </c>
      <c r="C195" s="247">
        <f>VPI!R195</f>
        <v>1639938.8194535521</v>
      </c>
      <c r="D195" s="633">
        <f>(PCS!I201-PCS!F201)/C195</f>
        <v>15.46870590045541</v>
      </c>
      <c r="E195" s="634">
        <f>'Péréquation directe'!E201/C195</f>
        <v>-12.008475288910107</v>
      </c>
      <c r="F195" s="633">
        <f>'Péréquation directe'!F201/Effort!C195</f>
        <v>0</v>
      </c>
      <c r="G195" s="633">
        <f>'Péréquation directe'!G201/Effort!C195</f>
        <v>-0.59908070268134972</v>
      </c>
      <c r="H195" s="633">
        <f>'Péréquation directe'!J201/Effort!C195</f>
        <v>19.619554427615387</v>
      </c>
      <c r="I195" s="635">
        <f t="shared" si="6"/>
        <v>22.480704336479342</v>
      </c>
      <c r="J195" s="149">
        <f t="shared" si="7"/>
        <v>0</v>
      </c>
      <c r="K195" s="41">
        <f t="shared" si="8"/>
        <v>0</v>
      </c>
      <c r="L195" s="159"/>
    </row>
    <row r="196" spans="1:12" x14ac:dyDescent="0.25">
      <c r="A196" s="37">
        <f>Données!A196</f>
        <v>5725</v>
      </c>
      <c r="B196" s="125" t="str">
        <f>Données!B196</f>
        <v>Prangins</v>
      </c>
      <c r="C196" s="247">
        <f>VPI!R196</f>
        <v>367942.11179220775</v>
      </c>
      <c r="D196" s="633">
        <f>(PCS!I202-PCS!F202)/C196</f>
        <v>18.018322554863502</v>
      </c>
      <c r="E196" s="634">
        <f>'Péréquation directe'!E202/C196</f>
        <v>-4.2339598071227034</v>
      </c>
      <c r="F196" s="633">
        <f>'Péréquation directe'!F202/Effort!C196</f>
        <v>0</v>
      </c>
      <c r="G196" s="633">
        <f>'Péréquation directe'!G202/Effort!C196</f>
        <v>0</v>
      </c>
      <c r="H196" s="633">
        <f>'Péréquation directe'!J202/Effort!C196</f>
        <v>19.619554427615387</v>
      </c>
      <c r="I196" s="635">
        <f t="shared" si="6"/>
        <v>33.403917175356185</v>
      </c>
      <c r="J196" s="149">
        <f t="shared" si="7"/>
        <v>0</v>
      </c>
      <c r="K196" s="41">
        <f t="shared" si="8"/>
        <v>0</v>
      </c>
      <c r="L196" s="159"/>
    </row>
    <row r="197" spans="1:12" x14ac:dyDescent="0.25">
      <c r="A197" s="37">
        <f>Données!A197</f>
        <v>5726</v>
      </c>
      <c r="B197" s="125" t="str">
        <f>Données!B197</f>
        <v>La Rippe</v>
      </c>
      <c r="C197" s="247">
        <f>VPI!R197</f>
        <v>73377.861102362207</v>
      </c>
      <c r="D197" s="633">
        <f>(PCS!I203-PCS!F203)/C197</f>
        <v>13.571770942443102</v>
      </c>
      <c r="E197" s="634">
        <f>'Péréquation directe'!E203/C197</f>
        <v>-2.7954760912406131</v>
      </c>
      <c r="F197" s="633">
        <f>'Péréquation directe'!F203/Effort!C197</f>
        <v>0</v>
      </c>
      <c r="G197" s="633">
        <f>'Péréquation directe'!G203/Effort!C197</f>
        <v>0</v>
      </c>
      <c r="H197" s="633">
        <f>'Péréquation directe'!J203/Effort!C197</f>
        <v>19.619554427615387</v>
      </c>
      <c r="I197" s="635">
        <f t="shared" si="6"/>
        <v>30.395849278817877</v>
      </c>
      <c r="J197" s="149">
        <f t="shared" si="7"/>
        <v>0</v>
      </c>
      <c r="K197" s="41">
        <f t="shared" si="8"/>
        <v>0</v>
      </c>
      <c r="L197" s="159"/>
    </row>
    <row r="198" spans="1:12" x14ac:dyDescent="0.25">
      <c r="A198" s="37">
        <f>Données!A198</f>
        <v>5727</v>
      </c>
      <c r="B198" s="125" t="str">
        <f>Données!B198</f>
        <v>Saint-Cergue</v>
      </c>
      <c r="C198" s="247">
        <f>VPI!R198</f>
        <v>111772.64025252526</v>
      </c>
      <c r="D198" s="633">
        <f>(PCS!I204-PCS!F204)/C198</f>
        <v>11.042630695993058</v>
      </c>
      <c r="E198" s="634">
        <f>'Péréquation directe'!E204/C198</f>
        <v>-7.9059509741208096</v>
      </c>
      <c r="F198" s="633">
        <f>'Péréquation directe'!F204/Effort!C198</f>
        <v>-6.0334549963430923</v>
      </c>
      <c r="G198" s="633">
        <f>'Péréquation directe'!G204/Effort!C198</f>
        <v>-4.1260577171414159</v>
      </c>
      <c r="H198" s="633">
        <f>'Péréquation directe'!J204/Effort!C198</f>
        <v>19.619554427615391</v>
      </c>
      <c r="I198" s="635">
        <f t="shared" si="6"/>
        <v>12.596721436003131</v>
      </c>
      <c r="J198" s="149">
        <f t="shared" si="7"/>
        <v>0</v>
      </c>
      <c r="K198" s="41">
        <f t="shared" si="8"/>
        <v>0</v>
      </c>
      <c r="L198" s="159"/>
    </row>
    <row r="199" spans="1:12" x14ac:dyDescent="0.25">
      <c r="A199" s="37">
        <f>Données!A199</f>
        <v>5728</v>
      </c>
      <c r="B199" s="125" t="str">
        <f>Données!B199</f>
        <v>Signy-Avenex</v>
      </c>
      <c r="C199" s="247">
        <f>VPI!R199</f>
        <v>44453.550862068965</v>
      </c>
      <c r="D199" s="633">
        <f>(PCS!I205-PCS!F205)/C199</f>
        <v>15.821549763997609</v>
      </c>
      <c r="E199" s="634">
        <f>'Péréquation directe'!E205/C199</f>
        <v>-1.8090373489474278</v>
      </c>
      <c r="F199" s="633">
        <f>'Péréquation directe'!F205/Effort!C199</f>
        <v>0</v>
      </c>
      <c r="G199" s="633">
        <f>'Péréquation directe'!G205/Effort!C199</f>
        <v>0</v>
      </c>
      <c r="H199" s="633">
        <f>'Péréquation directe'!J205/Effort!C199</f>
        <v>19.619554427615387</v>
      </c>
      <c r="I199" s="635">
        <f t="shared" ref="I199:I262" si="9">SUM(D199:H199)</f>
        <v>33.632066842665566</v>
      </c>
      <c r="J199" s="149">
        <f t="shared" ref="J199:J262" si="10">IF(I199&gt;J$5,I199-J$5,0)</f>
        <v>0</v>
      </c>
      <c r="K199" s="41">
        <f t="shared" ref="K199:K262" si="11">-J199*C199</f>
        <v>0</v>
      </c>
      <c r="L199" s="159"/>
    </row>
    <row r="200" spans="1:12" x14ac:dyDescent="0.25">
      <c r="A200" s="37">
        <f>Données!A200</f>
        <v>5729</v>
      </c>
      <c r="B200" s="125" t="str">
        <f>Données!B200</f>
        <v>Tannay</v>
      </c>
      <c r="C200" s="247">
        <f>VPI!R200</f>
        <v>189691.13223140492</v>
      </c>
      <c r="D200" s="633">
        <f>(PCS!I206-PCS!F206)/C200</f>
        <v>22.842623107891477</v>
      </c>
      <c r="E200" s="634">
        <f>'Péréquation directe'!E206/C200</f>
        <v>-2.1291023266877374</v>
      </c>
      <c r="F200" s="633">
        <f>'Péréquation directe'!F206/Effort!C200</f>
        <v>0</v>
      </c>
      <c r="G200" s="633">
        <f>'Péréquation directe'!G206/Effort!C200</f>
        <v>0</v>
      </c>
      <c r="H200" s="633">
        <f>'Péréquation directe'!J206/Effort!C200</f>
        <v>19.619554427615387</v>
      </c>
      <c r="I200" s="635">
        <f t="shared" si="9"/>
        <v>40.333075208819125</v>
      </c>
      <c r="J200" s="149">
        <f t="shared" si="10"/>
        <v>0</v>
      </c>
      <c r="K200" s="41">
        <f t="shared" si="11"/>
        <v>0</v>
      </c>
      <c r="L200" s="159"/>
    </row>
    <row r="201" spans="1:12" x14ac:dyDescent="0.25">
      <c r="A201" s="37">
        <f>Données!A201</f>
        <v>5730</v>
      </c>
      <c r="B201" s="125" t="str">
        <f>Données!B201</f>
        <v>Trélex</v>
      </c>
      <c r="C201" s="247">
        <f>VPI!R201</f>
        <v>170256.05113113116</v>
      </c>
      <c r="D201" s="633">
        <f>(PCS!I207-PCS!F207)/C201</f>
        <v>23.209199085997579</v>
      </c>
      <c r="E201" s="634">
        <f>'Péréquation directe'!E207/C201</f>
        <v>-1.7163378303857484</v>
      </c>
      <c r="F201" s="633">
        <f>'Péréquation directe'!F207/Effort!C201</f>
        <v>0</v>
      </c>
      <c r="G201" s="633">
        <f>'Péréquation directe'!G207/Effort!C201</f>
        <v>0</v>
      </c>
      <c r="H201" s="633">
        <f>'Péréquation directe'!J207/Effort!C201</f>
        <v>19.619554427615387</v>
      </c>
      <c r="I201" s="635">
        <f t="shared" si="9"/>
        <v>41.112415683227219</v>
      </c>
      <c r="J201" s="149">
        <f t="shared" si="10"/>
        <v>0</v>
      </c>
      <c r="K201" s="41">
        <f t="shared" si="11"/>
        <v>0</v>
      </c>
      <c r="L201" s="159"/>
    </row>
    <row r="202" spans="1:12" x14ac:dyDescent="0.25">
      <c r="A202" s="37">
        <f>Données!A202</f>
        <v>5731</v>
      </c>
      <c r="B202" s="125" t="str">
        <f>Données!B202</f>
        <v>Le Vaud</v>
      </c>
      <c r="C202" s="247">
        <f>VPI!R202</f>
        <v>75089.173286384976</v>
      </c>
      <c r="D202" s="633">
        <f>(PCS!I208-PCS!F208)/C202</f>
        <v>12.25985910220251</v>
      </c>
      <c r="E202" s="634">
        <f>'Péréquation directe'!E208/C202</f>
        <v>-3.6239447336390787</v>
      </c>
      <c r="F202" s="633">
        <f>'Péréquation directe'!F208/Effort!C202</f>
        <v>0</v>
      </c>
      <c r="G202" s="633">
        <f>'Péréquation directe'!G208/Effort!C202</f>
        <v>0</v>
      </c>
      <c r="H202" s="633">
        <f>'Péréquation directe'!J208/Effort!C202</f>
        <v>19.619554427615387</v>
      </c>
      <c r="I202" s="635">
        <f t="shared" si="9"/>
        <v>28.255468796178818</v>
      </c>
      <c r="J202" s="149">
        <f t="shared" si="10"/>
        <v>0</v>
      </c>
      <c r="K202" s="41">
        <f t="shared" si="11"/>
        <v>0</v>
      </c>
      <c r="L202" s="159"/>
    </row>
    <row r="203" spans="1:12" x14ac:dyDescent="0.25">
      <c r="A203" s="37">
        <f>Données!A203</f>
        <v>5732</v>
      </c>
      <c r="B203" s="125" t="str">
        <f>Données!B203</f>
        <v>Vich</v>
      </c>
      <c r="C203" s="247">
        <f>VPI!R203</f>
        <v>83929.487936507925</v>
      </c>
      <c r="D203" s="633">
        <f>(PCS!I209-PCS!F209)/C203</f>
        <v>15.792533539106683</v>
      </c>
      <c r="E203" s="634">
        <f>'Péréquation directe'!E209/C203</f>
        <v>-2.3775113463114184</v>
      </c>
      <c r="F203" s="633">
        <f>'Péréquation directe'!F209/Effort!C203</f>
        <v>0</v>
      </c>
      <c r="G203" s="633">
        <f>'Péréquation directe'!G209/Effort!C203</f>
        <v>0</v>
      </c>
      <c r="H203" s="633">
        <f>'Péréquation directe'!J209/Effort!C203</f>
        <v>19.619554427615387</v>
      </c>
      <c r="I203" s="635">
        <f t="shared" si="9"/>
        <v>33.034576620410654</v>
      </c>
      <c r="J203" s="149">
        <f t="shared" si="10"/>
        <v>0</v>
      </c>
      <c r="K203" s="41">
        <f t="shared" si="11"/>
        <v>0</v>
      </c>
      <c r="L203" s="159"/>
    </row>
    <row r="204" spans="1:12" x14ac:dyDescent="0.25">
      <c r="A204" s="37">
        <f>Données!A204</f>
        <v>5741</v>
      </c>
      <c r="B204" s="125" t="str">
        <f>Données!B204</f>
        <v>L'Abergement</v>
      </c>
      <c r="C204" s="247">
        <f>VPI!R204</f>
        <v>8081.107937499999</v>
      </c>
      <c r="D204" s="633">
        <f>(PCS!I210-PCS!F210)/C204</f>
        <v>11.042630695993056</v>
      </c>
      <c r="E204" s="634">
        <f>'Péréquation directe'!E210/C204</f>
        <v>-4.4411094103199202</v>
      </c>
      <c r="F204" s="633">
        <f>'Péréquation directe'!F210/Effort!C204</f>
        <v>-17.128246345828671</v>
      </c>
      <c r="G204" s="633">
        <f>'Péréquation directe'!G210/Effort!C204</f>
        <v>-11.805513580530359</v>
      </c>
      <c r="H204" s="633">
        <f>'Péréquation directe'!J210/Effort!C204</f>
        <v>19.619554427615387</v>
      </c>
      <c r="I204" s="635">
        <f t="shared" si="9"/>
        <v>-2.7126842130705064</v>
      </c>
      <c r="J204" s="149">
        <f t="shared" si="10"/>
        <v>0</v>
      </c>
      <c r="K204" s="41">
        <f t="shared" si="11"/>
        <v>0</v>
      </c>
      <c r="L204" s="159"/>
    </row>
    <row r="205" spans="1:12" x14ac:dyDescent="0.25">
      <c r="A205" s="37">
        <f>Données!A205</f>
        <v>5742</v>
      </c>
      <c r="B205" s="125" t="str">
        <f>Données!B205</f>
        <v>Agiez</v>
      </c>
      <c r="C205" s="247">
        <f>VPI!R205</f>
        <v>9603.6136842105243</v>
      </c>
      <c r="D205" s="633">
        <f>(PCS!I211-PCS!F211)/C205</f>
        <v>11.042630695993056</v>
      </c>
      <c r="E205" s="634">
        <f>'Péréquation directe'!E211/C205</f>
        <v>-5.1626509836936023</v>
      </c>
      <c r="F205" s="633">
        <f>'Péréquation directe'!F211/Effort!C205</f>
        <v>-21.721518286382604</v>
      </c>
      <c r="G205" s="633">
        <f>'Péréquation directe'!G211/Effort!C205</f>
        <v>-3.7520214906169072</v>
      </c>
      <c r="H205" s="633">
        <f>'Péréquation directe'!J211/Effort!C205</f>
        <v>19.619554427615387</v>
      </c>
      <c r="I205" s="635">
        <f t="shared" si="9"/>
        <v>2.5994362915330527E-2</v>
      </c>
      <c r="J205" s="149">
        <f t="shared" si="10"/>
        <v>0</v>
      </c>
      <c r="K205" s="41">
        <f t="shared" si="11"/>
        <v>0</v>
      </c>
      <c r="L205" s="159"/>
    </row>
    <row r="206" spans="1:12" x14ac:dyDescent="0.25">
      <c r="A206" s="37">
        <f>Données!A206</f>
        <v>5743</v>
      </c>
      <c r="B206" s="125" t="str">
        <f>Données!B206</f>
        <v>Arnex-sur-Orbe</v>
      </c>
      <c r="C206" s="247">
        <f>VPI!R206</f>
        <v>19616.934718309862</v>
      </c>
      <c r="D206" s="633">
        <f>(PCS!I212-PCS!F212)/C206</f>
        <v>11.042630695993056</v>
      </c>
      <c r="E206" s="634">
        <f>'Péréquation directe'!E212/C206</f>
        <v>-4.7228075319932401</v>
      </c>
      <c r="F206" s="633">
        <f>'Péréquation directe'!F212/Effort!C206</f>
        <v>-15.625264812951986</v>
      </c>
      <c r="G206" s="633">
        <f>'Péréquation directe'!G212/Effort!C206</f>
        <v>-4.3518053201814002</v>
      </c>
      <c r="H206" s="633">
        <f>'Péréquation directe'!J212/Effort!C206</f>
        <v>19.619554427615387</v>
      </c>
      <c r="I206" s="635">
        <f t="shared" si="9"/>
        <v>5.962307458481817</v>
      </c>
      <c r="J206" s="149">
        <f t="shared" si="10"/>
        <v>0</v>
      </c>
      <c r="K206" s="41">
        <f t="shared" si="11"/>
        <v>0</v>
      </c>
      <c r="L206" s="159"/>
    </row>
    <row r="207" spans="1:12" x14ac:dyDescent="0.25">
      <c r="A207" s="37">
        <f>Données!A207</f>
        <v>5744</v>
      </c>
      <c r="B207" s="125" t="str">
        <f>Données!B207</f>
        <v>Ballaigues</v>
      </c>
      <c r="C207" s="247">
        <f>VPI!R207</f>
        <v>81085.11846153847</v>
      </c>
      <c r="D207" s="633">
        <f>(PCS!I213-PCS!F213)/C207</f>
        <v>15.046682969705333</v>
      </c>
      <c r="E207" s="634">
        <f>'Péréquation directe'!E213/C207</f>
        <v>-2.5986125051645326</v>
      </c>
      <c r="F207" s="633">
        <f>'Péréquation directe'!F213/Effort!C207</f>
        <v>0</v>
      </c>
      <c r="G207" s="633">
        <f>'Péréquation directe'!G213/Effort!C207</f>
        <v>-2.3773824636816814</v>
      </c>
      <c r="H207" s="633">
        <f>'Péréquation directe'!J213/Effort!C207</f>
        <v>19.619554427615387</v>
      </c>
      <c r="I207" s="635">
        <f t="shared" si="9"/>
        <v>29.690242428474509</v>
      </c>
      <c r="J207" s="149">
        <f t="shared" si="10"/>
        <v>0</v>
      </c>
      <c r="K207" s="41">
        <f t="shared" si="11"/>
        <v>0</v>
      </c>
      <c r="L207" s="159"/>
    </row>
    <row r="208" spans="1:12" x14ac:dyDescent="0.25">
      <c r="A208" s="37">
        <f>Données!A208</f>
        <v>5745</v>
      </c>
      <c r="B208" s="125" t="str">
        <f>Données!B208</f>
        <v>Baulmes</v>
      </c>
      <c r="C208" s="247">
        <f>VPI!R208</f>
        <v>29568.283921568625</v>
      </c>
      <c r="D208" s="633">
        <f>(PCS!I214-PCS!F214)/C208</f>
        <v>11.042630695993054</v>
      </c>
      <c r="E208" s="634">
        <f>'Péréquation directe'!E214/C208</f>
        <v>-6.6100993988385337</v>
      </c>
      <c r="F208" s="633">
        <f>'Péréquation directe'!F214/Effort!C208</f>
        <v>-22.782460577399409</v>
      </c>
      <c r="G208" s="633">
        <f>'Péréquation directe'!G214/Effort!C208</f>
        <v>-12.442408013347695</v>
      </c>
      <c r="H208" s="633">
        <f>'Péréquation directe'!J214/Effort!C208</f>
        <v>19.619554427615387</v>
      </c>
      <c r="I208" s="635">
        <f t="shared" si="9"/>
        <v>-11.172782865977194</v>
      </c>
      <c r="J208" s="149">
        <f t="shared" si="10"/>
        <v>0</v>
      </c>
      <c r="K208" s="41">
        <f t="shared" si="11"/>
        <v>0</v>
      </c>
      <c r="L208" s="159"/>
    </row>
    <row r="209" spans="1:12" x14ac:dyDescent="0.25">
      <c r="A209" s="37">
        <f>Données!A209</f>
        <v>5746</v>
      </c>
      <c r="B209" s="125" t="str">
        <f>Données!B209</f>
        <v>Bavois</v>
      </c>
      <c r="C209" s="247">
        <f>VPI!R209</f>
        <v>37130.012939814806</v>
      </c>
      <c r="D209" s="633">
        <f>(PCS!I215-PCS!F215)/C209</f>
        <v>11.042630695993056</v>
      </c>
      <c r="E209" s="634">
        <f>'Péréquation directe'!E215/C209</f>
        <v>-3.990896596069438</v>
      </c>
      <c r="F209" s="633">
        <f>'Péréquation directe'!F215/Effort!C209</f>
        <v>-8.3080981251329824</v>
      </c>
      <c r="G209" s="633">
        <f>'Péréquation directe'!G215/Effort!C209</f>
        <v>-5.3345028803774266</v>
      </c>
      <c r="H209" s="633">
        <f>'Péréquation directe'!J215/Effort!C209</f>
        <v>19.619554427615387</v>
      </c>
      <c r="I209" s="635">
        <f t="shared" si="9"/>
        <v>13.028687522028596</v>
      </c>
      <c r="J209" s="149">
        <f t="shared" si="10"/>
        <v>0</v>
      </c>
      <c r="K209" s="41">
        <f t="shared" si="11"/>
        <v>0</v>
      </c>
      <c r="L209" s="159"/>
    </row>
    <row r="210" spans="1:12" x14ac:dyDescent="0.25">
      <c r="A210" s="37">
        <f>Données!A210</f>
        <v>5747</v>
      </c>
      <c r="B210" s="125" t="str">
        <f>Données!B210</f>
        <v>Bofflens</v>
      </c>
      <c r="C210" s="247">
        <f>VPI!R210</f>
        <v>7511.2471014492739</v>
      </c>
      <c r="D210" s="633">
        <f>(PCS!I216-PCS!F216)/C210</f>
        <v>11.042630695993056</v>
      </c>
      <c r="E210" s="634">
        <f>'Péréquation directe'!E216/C210</f>
        <v>-3.5392933667598436</v>
      </c>
      <c r="F210" s="633">
        <f>'Péréquation directe'!F216/Effort!C210</f>
        <v>-6.2892927346693019</v>
      </c>
      <c r="G210" s="633">
        <f>'Péréquation directe'!G216/Effort!C210</f>
        <v>-3.9981574043374755</v>
      </c>
      <c r="H210" s="633">
        <f>'Péréquation directe'!J216/Effort!C210</f>
        <v>19.619554427615384</v>
      </c>
      <c r="I210" s="635">
        <f t="shared" si="9"/>
        <v>16.83544161784182</v>
      </c>
      <c r="J210" s="149">
        <f t="shared" si="10"/>
        <v>0</v>
      </c>
      <c r="K210" s="41">
        <f t="shared" si="11"/>
        <v>0</v>
      </c>
      <c r="L210" s="159"/>
    </row>
    <row r="211" spans="1:12" x14ac:dyDescent="0.25">
      <c r="A211" s="37">
        <f>Données!A211</f>
        <v>5748</v>
      </c>
      <c r="B211" s="125" t="str">
        <f>Données!B211</f>
        <v>Bretonnières</v>
      </c>
      <c r="C211" s="247">
        <f>VPI!R211</f>
        <v>6883.0895035460999</v>
      </c>
      <c r="D211" s="633">
        <f>(PCS!I217-PCS!F217)/C211</f>
        <v>11.042630695993054</v>
      </c>
      <c r="E211" s="634">
        <f>'Péréquation directe'!E217/C211</f>
        <v>-5.0402921060764152</v>
      </c>
      <c r="F211" s="633">
        <f>'Péréquation directe'!F217/Effort!C211</f>
        <v>-17.777414989446228</v>
      </c>
      <c r="G211" s="633">
        <f>'Péréquation directe'!G217/Effort!C211</f>
        <v>-11.778088663998679</v>
      </c>
      <c r="H211" s="633">
        <f>'Péréquation directe'!J217/Effort!C211</f>
        <v>19.619554427615384</v>
      </c>
      <c r="I211" s="635">
        <f t="shared" si="9"/>
        <v>-3.9336106359128848</v>
      </c>
      <c r="J211" s="149">
        <f t="shared" si="10"/>
        <v>0</v>
      </c>
      <c r="K211" s="41">
        <f t="shared" si="11"/>
        <v>0</v>
      </c>
      <c r="L211" s="159"/>
    </row>
    <row r="212" spans="1:12" x14ac:dyDescent="0.25">
      <c r="A212" s="37">
        <f>Données!A212</f>
        <v>5749</v>
      </c>
      <c r="B212" s="125" t="str">
        <f>Données!B212</f>
        <v>Chavornay</v>
      </c>
      <c r="C212" s="247">
        <f>VPI!R212</f>
        <v>155929.24482269504</v>
      </c>
      <c r="D212" s="633">
        <f>(PCS!I218-PCS!F218)/C212</f>
        <v>11.042630695993054</v>
      </c>
      <c r="E212" s="634">
        <f>'Péréquation directe'!E218/C212</f>
        <v>-14.254397674510049</v>
      </c>
      <c r="F212" s="633">
        <f>'Péréquation directe'!F218/Effort!C212</f>
        <v>-14.780380947960191</v>
      </c>
      <c r="G212" s="633">
        <f>'Péréquation directe'!G218/Effort!C212</f>
        <v>-5.27473546883874</v>
      </c>
      <c r="H212" s="633">
        <f>'Péréquation directe'!J218/Effort!C212</f>
        <v>19.619554427615387</v>
      </c>
      <c r="I212" s="635">
        <f t="shared" si="9"/>
        <v>-3.6473289677005418</v>
      </c>
      <c r="J212" s="149">
        <f t="shared" si="10"/>
        <v>0</v>
      </c>
      <c r="K212" s="41">
        <f t="shared" si="11"/>
        <v>0</v>
      </c>
      <c r="L212" s="159"/>
    </row>
    <row r="213" spans="1:12" x14ac:dyDescent="0.25">
      <c r="A213" s="37">
        <f>Données!A213</f>
        <v>5750</v>
      </c>
      <c r="B213" s="125" t="str">
        <f>Données!B213</f>
        <v>Les Clées</v>
      </c>
      <c r="C213" s="247">
        <f>VPI!R213</f>
        <v>6153.1082500000002</v>
      </c>
      <c r="D213" s="633">
        <f>(PCS!I219-PCS!F219)/C213</f>
        <v>11.042630695993056</v>
      </c>
      <c r="E213" s="634">
        <f>'Péréquation directe'!E219/C213</f>
        <v>-4.1908854489900955</v>
      </c>
      <c r="F213" s="633">
        <f>'Péréquation directe'!F219/Effort!C213</f>
        <v>-14.721546818816025</v>
      </c>
      <c r="G213" s="633">
        <f>'Péréquation directe'!G219/Effort!C213</f>
        <v>-12.39564184263541</v>
      </c>
      <c r="H213" s="633">
        <f>'Péréquation directe'!J219/Effort!C213</f>
        <v>19.619554427615387</v>
      </c>
      <c r="I213" s="635">
        <f t="shared" si="9"/>
        <v>-0.64588898683308571</v>
      </c>
      <c r="J213" s="149">
        <f t="shared" si="10"/>
        <v>0</v>
      </c>
      <c r="K213" s="41">
        <f t="shared" si="11"/>
        <v>0</v>
      </c>
      <c r="L213" s="159"/>
    </row>
    <row r="214" spans="1:12" x14ac:dyDescent="0.25">
      <c r="A214" s="37">
        <f>Données!A214</f>
        <v>5752</v>
      </c>
      <c r="B214" s="125" t="str">
        <f>Données!B214</f>
        <v>Croy</v>
      </c>
      <c r="C214" s="247">
        <f>VPI!R214</f>
        <v>10564.904768339768</v>
      </c>
      <c r="D214" s="633">
        <f>(PCS!I220-PCS!F220)/C214</f>
        <v>11.042630695993056</v>
      </c>
      <c r="E214" s="634">
        <f>'Péréquation directe'!E220/C214</f>
        <v>-5.0703515899801905</v>
      </c>
      <c r="F214" s="633">
        <f>'Péréquation directe'!F220/Effort!C214</f>
        <v>-19.833739988618468</v>
      </c>
      <c r="G214" s="633">
        <f>'Péréquation directe'!G220/Effort!C214</f>
        <v>-4.2892642538969525</v>
      </c>
      <c r="H214" s="633">
        <f>'Péréquation directe'!J220/Effort!C214</f>
        <v>19.619554427615387</v>
      </c>
      <c r="I214" s="635">
        <f t="shared" si="9"/>
        <v>1.4688292911128329</v>
      </c>
      <c r="J214" s="149">
        <f t="shared" si="10"/>
        <v>0</v>
      </c>
      <c r="K214" s="41">
        <f t="shared" si="11"/>
        <v>0</v>
      </c>
      <c r="L214" s="159"/>
    </row>
    <row r="215" spans="1:12" x14ac:dyDescent="0.25">
      <c r="A215" s="37">
        <f>Données!A215</f>
        <v>5754</v>
      </c>
      <c r="B215" s="125" t="str">
        <f>Données!B215</f>
        <v>Juriens</v>
      </c>
      <c r="C215" s="247">
        <f>VPI!R215</f>
        <v>8959.0606329113925</v>
      </c>
      <c r="D215" s="633">
        <f>(PCS!I221-PCS!F221)/C215</f>
        <v>11.042630695993056</v>
      </c>
      <c r="E215" s="634">
        <f>'Péréquation directe'!E221/C215</f>
        <v>-5.1631576287802332</v>
      </c>
      <c r="F215" s="633">
        <f>'Péréquation directe'!F221/Effort!C215</f>
        <v>-23.474972790055467</v>
      </c>
      <c r="G215" s="633">
        <f>'Péréquation directe'!G221/Effort!C215</f>
        <v>-8.3643189879932507</v>
      </c>
      <c r="H215" s="633">
        <f>'Péréquation directe'!J221/Effort!C215</f>
        <v>19.619554427615387</v>
      </c>
      <c r="I215" s="635">
        <f t="shared" si="9"/>
        <v>-6.3402642832205096</v>
      </c>
      <c r="J215" s="149">
        <f t="shared" si="10"/>
        <v>0</v>
      </c>
      <c r="K215" s="41">
        <f t="shared" si="11"/>
        <v>0</v>
      </c>
      <c r="L215" s="159"/>
    </row>
    <row r="216" spans="1:12" x14ac:dyDescent="0.25">
      <c r="A216" s="37">
        <f>Données!A216</f>
        <v>5755</v>
      </c>
      <c r="B216" s="125" t="str">
        <f>Données!B216</f>
        <v>Lignerolle</v>
      </c>
      <c r="C216" s="247">
        <f>VPI!R216</f>
        <v>10387.208371246586</v>
      </c>
      <c r="D216" s="633">
        <f>(PCS!I222-PCS!F222)/C216</f>
        <v>11.042630695993058</v>
      </c>
      <c r="E216" s="634">
        <f>'Péréquation directe'!E222/C216</f>
        <v>-5.9248964306115095</v>
      </c>
      <c r="F216" s="633">
        <f>'Péréquation directe'!F222/Effort!C216</f>
        <v>-30.23313420122961</v>
      </c>
      <c r="G216" s="633">
        <f>'Péréquation directe'!G222/Effort!C216</f>
        <v>-56.361533788008728</v>
      </c>
      <c r="H216" s="633">
        <f>'Péréquation directe'!J222/Effort!C216</f>
        <v>19.619554427615387</v>
      </c>
      <c r="I216" s="635">
        <f t="shared" si="9"/>
        <v>-61.857379296241405</v>
      </c>
      <c r="J216" s="149">
        <f t="shared" si="10"/>
        <v>0</v>
      </c>
      <c r="K216" s="41">
        <f t="shared" si="11"/>
        <v>0</v>
      </c>
      <c r="L216" s="159"/>
    </row>
    <row r="217" spans="1:12" x14ac:dyDescent="0.25">
      <c r="A217" s="37">
        <f>Données!A217</f>
        <v>5756</v>
      </c>
      <c r="B217" s="125" t="str">
        <f>Données!B217</f>
        <v>Montcherand</v>
      </c>
      <c r="C217" s="247">
        <f>VPI!R217</f>
        <v>21540.691249999996</v>
      </c>
      <c r="D217" s="633">
        <f>(PCS!I223-PCS!F223)/C217</f>
        <v>11.042630695993056</v>
      </c>
      <c r="E217" s="634">
        <f>'Péréquation directe'!E223/C217</f>
        <v>-3.0175038936278269</v>
      </c>
      <c r="F217" s="633">
        <f>'Péréquation directe'!F223/Effort!C217</f>
        <v>-2.7829573461469375</v>
      </c>
      <c r="G217" s="633">
        <f>'Péréquation directe'!G223/Effort!C217</f>
        <v>-0.84445606318695876</v>
      </c>
      <c r="H217" s="633">
        <f>'Péréquation directe'!J223/Effort!C217</f>
        <v>19.619554427615387</v>
      </c>
      <c r="I217" s="635">
        <f t="shared" si="9"/>
        <v>24.017267820646719</v>
      </c>
      <c r="J217" s="149">
        <f t="shared" si="10"/>
        <v>0</v>
      </c>
      <c r="K217" s="41">
        <f t="shared" si="11"/>
        <v>0</v>
      </c>
      <c r="L217" s="159"/>
    </row>
    <row r="218" spans="1:12" x14ac:dyDescent="0.25">
      <c r="A218" s="37">
        <f>Données!A218</f>
        <v>5757</v>
      </c>
      <c r="B218" s="125" t="str">
        <f>Données!B218</f>
        <v>Orbe</v>
      </c>
      <c r="C218" s="247">
        <f>VPI!R218</f>
        <v>256549.05814569537</v>
      </c>
      <c r="D218" s="633">
        <f>(PCS!I224-PCS!F224)/C218</f>
        <v>11.042630695993056</v>
      </c>
      <c r="E218" s="634">
        <f>'Péréquation directe'!E224/C218</f>
        <v>-14.930900461653078</v>
      </c>
      <c r="F218" s="633">
        <f>'Péréquation directe'!F224/Effort!C218</f>
        <v>-12.549689561227588</v>
      </c>
      <c r="G218" s="633">
        <f>'Péréquation directe'!G224/Effort!C218</f>
        <v>-10.058603825818086</v>
      </c>
      <c r="H218" s="633">
        <f>'Péréquation directe'!J224/Effort!C218</f>
        <v>19.619554427615387</v>
      </c>
      <c r="I218" s="635">
        <f t="shared" si="9"/>
        <v>-6.877008725090306</v>
      </c>
      <c r="J218" s="149">
        <f t="shared" si="10"/>
        <v>0</v>
      </c>
      <c r="K218" s="41">
        <f t="shared" si="11"/>
        <v>0</v>
      </c>
      <c r="L218" s="159"/>
    </row>
    <row r="219" spans="1:12" x14ac:dyDescent="0.25">
      <c r="A219" s="37">
        <f>Données!A219</f>
        <v>5758</v>
      </c>
      <c r="B219" s="125" t="str">
        <f>Données!B219</f>
        <v>La Praz</v>
      </c>
      <c r="C219" s="247">
        <f>VPI!R219</f>
        <v>5899.0938554216882</v>
      </c>
      <c r="D219" s="633">
        <f>(PCS!I225-PCS!F225)/C219</f>
        <v>11.042630695993058</v>
      </c>
      <c r="E219" s="634">
        <f>'Péréquation directe'!E225/C219</f>
        <v>-4.6642697104139437</v>
      </c>
      <c r="F219" s="633">
        <f>'Péréquation directe'!F225/Effort!C219</f>
        <v>-20.747345827326253</v>
      </c>
      <c r="G219" s="633">
        <f>'Péréquation directe'!G225/Effort!C219</f>
        <v>-42.622681592029274</v>
      </c>
      <c r="H219" s="633">
        <f>'Péréquation directe'!J225/Effort!C219</f>
        <v>19.619554427615387</v>
      </c>
      <c r="I219" s="635">
        <f t="shared" si="9"/>
        <v>-37.372112006161032</v>
      </c>
      <c r="J219" s="149">
        <f t="shared" si="10"/>
        <v>0</v>
      </c>
      <c r="K219" s="41">
        <f t="shared" si="11"/>
        <v>0</v>
      </c>
      <c r="L219" s="159"/>
    </row>
    <row r="220" spans="1:12" x14ac:dyDescent="0.25">
      <c r="A220" s="37">
        <f>Données!A220</f>
        <v>5759</v>
      </c>
      <c r="B220" s="125" t="str">
        <f>Données!B220</f>
        <v>Premier</v>
      </c>
      <c r="C220" s="247">
        <f>VPI!R220</f>
        <v>5179.7449056603764</v>
      </c>
      <c r="D220" s="633">
        <f>(PCS!I226-PCS!F226)/C220</f>
        <v>11.042630695993054</v>
      </c>
      <c r="E220" s="634">
        <f>'Péréquation directe'!E226/C220</f>
        <v>-5.8509325420737479</v>
      </c>
      <c r="F220" s="633">
        <f>'Péréquation directe'!F226/Effort!C220</f>
        <v>-30.305777888534234</v>
      </c>
      <c r="G220" s="633">
        <f>'Péréquation directe'!G226/Effort!C220</f>
        <v>-18.082829286478788</v>
      </c>
      <c r="H220" s="633">
        <f>'Péréquation directe'!J226/Effort!C220</f>
        <v>19.619554427615387</v>
      </c>
      <c r="I220" s="635">
        <f t="shared" si="9"/>
        <v>-23.577354593478329</v>
      </c>
      <c r="J220" s="149">
        <f t="shared" si="10"/>
        <v>0</v>
      </c>
      <c r="K220" s="41">
        <f t="shared" si="11"/>
        <v>0</v>
      </c>
      <c r="L220" s="159"/>
    </row>
    <row r="221" spans="1:12" x14ac:dyDescent="0.25">
      <c r="A221" s="37">
        <f>Données!A221</f>
        <v>5760</v>
      </c>
      <c r="B221" s="125" t="str">
        <f>Données!B221</f>
        <v>Rances</v>
      </c>
      <c r="C221" s="247">
        <f>VPI!R221</f>
        <v>13863.335032679737</v>
      </c>
      <c r="D221" s="633">
        <f>(PCS!I227-PCS!F227)/C221</f>
        <v>11.042630695993056</v>
      </c>
      <c r="E221" s="634">
        <f>'Péréquation directe'!E227/C221</f>
        <v>-4.8707362065584912</v>
      </c>
      <c r="F221" s="633">
        <f>'Péréquation directe'!F227/Effort!C221</f>
        <v>-19.440877258172691</v>
      </c>
      <c r="G221" s="633">
        <f>'Péréquation directe'!G227/Effort!C221</f>
        <v>-11.280031524269265</v>
      </c>
      <c r="H221" s="633">
        <f>'Péréquation directe'!J227/Effort!C221</f>
        <v>19.619554427615387</v>
      </c>
      <c r="I221" s="635">
        <f t="shared" si="9"/>
        <v>-4.9294598653920048</v>
      </c>
      <c r="J221" s="149">
        <f t="shared" si="10"/>
        <v>0</v>
      </c>
      <c r="K221" s="41">
        <f t="shared" si="11"/>
        <v>0</v>
      </c>
      <c r="L221" s="159"/>
    </row>
    <row r="222" spans="1:12" x14ac:dyDescent="0.25">
      <c r="A222" s="37">
        <f>Données!A222</f>
        <v>5761</v>
      </c>
      <c r="B222" s="125" t="str">
        <f>Données!B222</f>
        <v>Romainmôtier-Envy</v>
      </c>
      <c r="C222" s="247">
        <f>VPI!R222</f>
        <v>14116.093355780025</v>
      </c>
      <c r="D222" s="633">
        <f>(PCS!I228-PCS!F228)/C222</f>
        <v>11.042630695993054</v>
      </c>
      <c r="E222" s="634">
        <f>'Péréquation directe'!E228/C222</f>
        <v>-5.2731742304488769</v>
      </c>
      <c r="F222" s="633">
        <f>'Péréquation directe'!F228/Effort!C222</f>
        <v>-25.763403650090286</v>
      </c>
      <c r="G222" s="633">
        <f>'Péréquation directe'!G228/Effort!C222</f>
        <v>-11.918891762697056</v>
      </c>
      <c r="H222" s="633">
        <f>'Péréquation directe'!J228/Effort!C222</f>
        <v>19.619554427615384</v>
      </c>
      <c r="I222" s="635">
        <f t="shared" si="9"/>
        <v>-12.293284519627782</v>
      </c>
      <c r="J222" s="149">
        <f t="shared" si="10"/>
        <v>0</v>
      </c>
      <c r="K222" s="41">
        <f t="shared" si="11"/>
        <v>0</v>
      </c>
      <c r="L222" s="159"/>
    </row>
    <row r="223" spans="1:12" x14ac:dyDescent="0.25">
      <c r="A223" s="37">
        <f>Données!A223</f>
        <v>5762</v>
      </c>
      <c r="B223" s="125" t="str">
        <f>Données!B223</f>
        <v>Sergey</v>
      </c>
      <c r="C223" s="247">
        <f>VPI!R223</f>
        <v>3517.4810526315791</v>
      </c>
      <c r="D223" s="633">
        <f>(PCS!I229-PCS!F229)/C223</f>
        <v>11.042630695993056</v>
      </c>
      <c r="E223" s="634">
        <f>'Péréquation directe'!E229/C223</f>
        <v>-5.0259537773124308</v>
      </c>
      <c r="F223" s="633">
        <f>'Péréquation directe'!F229/Effort!C223</f>
        <v>-20.534930627373988</v>
      </c>
      <c r="G223" s="633">
        <f>'Péréquation directe'!G229/Effort!C223</f>
        <v>-13.433712053208941</v>
      </c>
      <c r="H223" s="633">
        <f>'Péréquation directe'!J229/Effort!C223</f>
        <v>19.619554427615387</v>
      </c>
      <c r="I223" s="635">
        <f t="shared" si="9"/>
        <v>-8.3324113342869168</v>
      </c>
      <c r="J223" s="149">
        <f t="shared" si="10"/>
        <v>0</v>
      </c>
      <c r="K223" s="41">
        <f t="shared" si="11"/>
        <v>0</v>
      </c>
      <c r="L223" s="159"/>
    </row>
    <row r="224" spans="1:12" x14ac:dyDescent="0.25">
      <c r="A224" s="37">
        <f>Données!A224</f>
        <v>5763</v>
      </c>
      <c r="B224" s="125" t="str">
        <f>Données!B224</f>
        <v>Valeyres-sous-Rances</v>
      </c>
      <c r="C224" s="247">
        <f>VPI!R224</f>
        <v>22039.299577464786</v>
      </c>
      <c r="D224" s="633">
        <f>(PCS!I230-PCS!F230)/C224</f>
        <v>11.042630695993056</v>
      </c>
      <c r="E224" s="634">
        <f>'Péréquation directe'!E230/C224</f>
        <v>-3.5161660993712593</v>
      </c>
      <c r="F224" s="633">
        <f>'Péréquation directe'!F230/Effort!C224</f>
        <v>-6.4839653883802519</v>
      </c>
      <c r="G224" s="633">
        <f>'Péréquation directe'!G230/Effort!C224</f>
        <v>-4.3313994566492067</v>
      </c>
      <c r="H224" s="633">
        <f>'Péréquation directe'!J230/Effort!C224</f>
        <v>19.619554427615387</v>
      </c>
      <c r="I224" s="635">
        <f t="shared" si="9"/>
        <v>16.330654179207727</v>
      </c>
      <c r="J224" s="149">
        <f t="shared" si="10"/>
        <v>0</v>
      </c>
      <c r="K224" s="41">
        <f t="shared" si="11"/>
        <v>0</v>
      </c>
      <c r="L224" s="159"/>
    </row>
    <row r="225" spans="1:12" x14ac:dyDescent="0.25">
      <c r="A225" s="37">
        <f>Données!A225</f>
        <v>5764</v>
      </c>
      <c r="B225" s="125" t="str">
        <f>Données!B225</f>
        <v>Vallorbe</v>
      </c>
      <c r="C225" s="247">
        <f>VPI!R225</f>
        <v>94918.330489510496</v>
      </c>
      <c r="D225" s="633">
        <f>(PCS!I231-PCS!F231)/C225</f>
        <v>11.042630695993054</v>
      </c>
      <c r="E225" s="634">
        <f>'Péréquation directe'!E231/C225</f>
        <v>-16.681427404705559</v>
      </c>
      <c r="F225" s="633">
        <f>'Péréquation directe'!F231/Effort!C225</f>
        <v>-26.126398461203785</v>
      </c>
      <c r="G225" s="633">
        <f>'Péréquation directe'!G231/Effort!C225</f>
        <v>-25.741029185258693</v>
      </c>
      <c r="H225" s="633">
        <f>'Péréquation directe'!J231/Effort!C225</f>
        <v>19.619554427615387</v>
      </c>
      <c r="I225" s="635">
        <f t="shared" si="9"/>
        <v>-37.886669927559595</v>
      </c>
      <c r="J225" s="149">
        <f t="shared" si="10"/>
        <v>0</v>
      </c>
      <c r="K225" s="41">
        <f t="shared" si="11"/>
        <v>0</v>
      </c>
      <c r="L225" s="159"/>
    </row>
    <row r="226" spans="1:12" x14ac:dyDescent="0.25">
      <c r="A226" s="37">
        <f>Données!A226</f>
        <v>5765</v>
      </c>
      <c r="B226" s="125" t="str">
        <f>Données!B226</f>
        <v>Vaulion</v>
      </c>
      <c r="C226" s="247">
        <f>VPI!R226</f>
        <v>10165.546419753087</v>
      </c>
      <c r="D226" s="633">
        <f>(PCS!I232-PCS!F232)/C226</f>
        <v>11.042630695993056</v>
      </c>
      <c r="E226" s="634">
        <f>'Péréquation directe'!E232/C226</f>
        <v>-6.3940605880277532</v>
      </c>
      <c r="F226" s="633">
        <f>'Péréquation directe'!F232/Effort!C226</f>
        <v>-36.815499038227046</v>
      </c>
      <c r="G226" s="633">
        <f>'Péréquation directe'!G232/Effort!C226</f>
        <v>-17.420218489806661</v>
      </c>
      <c r="H226" s="633">
        <f>'Péréquation directe'!J232/Effort!C226</f>
        <v>19.619554427615387</v>
      </c>
      <c r="I226" s="635">
        <f t="shared" si="9"/>
        <v>-29.967592992453017</v>
      </c>
      <c r="J226" s="149">
        <f t="shared" si="10"/>
        <v>0</v>
      </c>
      <c r="K226" s="41">
        <f t="shared" si="11"/>
        <v>0</v>
      </c>
      <c r="L226" s="159"/>
    </row>
    <row r="227" spans="1:12" x14ac:dyDescent="0.25">
      <c r="A227" s="37">
        <f>Données!A227</f>
        <v>5766</v>
      </c>
      <c r="B227" s="125" t="str">
        <f>Données!B227</f>
        <v>Vuiteboeuf</v>
      </c>
      <c r="C227" s="247">
        <f>VPI!R227</f>
        <v>15485.667942857142</v>
      </c>
      <c r="D227" s="633">
        <f>(PCS!I233-PCS!F233)/C227</f>
        <v>11.042630695993056</v>
      </c>
      <c r="E227" s="634">
        <f>'Péréquation directe'!E233/C227</f>
        <v>-5.2102356301947825</v>
      </c>
      <c r="F227" s="633">
        <f>'Péréquation directe'!F233/Effort!C227</f>
        <v>-21.555915892960403</v>
      </c>
      <c r="G227" s="633">
        <f>'Péréquation directe'!G233/Effort!C227</f>
        <v>-7.8253114338736669</v>
      </c>
      <c r="H227" s="633">
        <f>'Péréquation directe'!J233/Effort!C227</f>
        <v>19.619554427615387</v>
      </c>
      <c r="I227" s="635">
        <f t="shared" si="9"/>
        <v>-3.9292778334204108</v>
      </c>
      <c r="J227" s="149">
        <f t="shared" si="10"/>
        <v>0</v>
      </c>
      <c r="K227" s="41">
        <f t="shared" si="11"/>
        <v>0</v>
      </c>
      <c r="L227" s="159"/>
    </row>
    <row r="228" spans="1:12" x14ac:dyDescent="0.25">
      <c r="A228" s="37">
        <f>Données!A228</f>
        <v>5785</v>
      </c>
      <c r="B228" s="125" t="str">
        <f>Données!B228</f>
        <v>Corcelles-le-Jorat</v>
      </c>
      <c r="C228" s="247">
        <f>VPI!R228</f>
        <v>15190.065466666669</v>
      </c>
      <c r="D228" s="633">
        <f>(PCS!I234-PCS!F234)/C228</f>
        <v>11.042630695993056</v>
      </c>
      <c r="E228" s="634">
        <f>'Péréquation directe'!E234/C228</f>
        <v>-4.3665608430703964</v>
      </c>
      <c r="F228" s="633">
        <f>'Péréquation directe'!F234/Effort!C228</f>
        <v>-14.42392794156101</v>
      </c>
      <c r="G228" s="633">
        <f>'Péréquation directe'!G234/Effort!C228</f>
        <v>-3.4187259407331685</v>
      </c>
      <c r="H228" s="633">
        <f>'Péréquation directe'!J234/Effort!C228</f>
        <v>19.619554427615391</v>
      </c>
      <c r="I228" s="635">
        <f t="shared" si="9"/>
        <v>8.4529703982438722</v>
      </c>
      <c r="J228" s="149">
        <f t="shared" si="10"/>
        <v>0</v>
      </c>
      <c r="K228" s="41">
        <f t="shared" si="11"/>
        <v>0</v>
      </c>
      <c r="L228" s="159"/>
    </row>
    <row r="229" spans="1:12" x14ac:dyDescent="0.25">
      <c r="A229" s="37">
        <f>Données!A229</f>
        <v>5790</v>
      </c>
      <c r="B229" s="125" t="str">
        <f>Données!B229</f>
        <v>Maracon</v>
      </c>
      <c r="C229" s="247">
        <f>VPI!R229</f>
        <v>16291.788187919459</v>
      </c>
      <c r="D229" s="633">
        <f>(PCS!I235-PCS!F235)/C229</f>
        <v>11.042630695993056</v>
      </c>
      <c r="E229" s="634">
        <f>'Péréquation directe'!E235/C229</f>
        <v>-4.6423953996218721</v>
      </c>
      <c r="F229" s="633">
        <f>'Péréquation directe'!F235/Effort!C229</f>
        <v>-16.533025351873579</v>
      </c>
      <c r="G229" s="633">
        <f>'Péréquation directe'!G235/Effort!C229</f>
        <v>-4.396469316607944</v>
      </c>
      <c r="H229" s="633">
        <f>'Péréquation directe'!J235/Effort!C229</f>
        <v>19.619554427615387</v>
      </c>
      <c r="I229" s="635">
        <f t="shared" si="9"/>
        <v>5.0902950555050488</v>
      </c>
      <c r="J229" s="149">
        <f t="shared" si="10"/>
        <v>0</v>
      </c>
      <c r="K229" s="41">
        <f t="shared" si="11"/>
        <v>0</v>
      </c>
      <c r="L229" s="159"/>
    </row>
    <row r="230" spans="1:12" x14ac:dyDescent="0.25">
      <c r="A230" s="37">
        <f>Données!A230</f>
        <v>5792</v>
      </c>
      <c r="B230" s="125" t="str">
        <f>Données!B230</f>
        <v>Montpreveyres</v>
      </c>
      <c r="C230" s="247">
        <f>VPI!R230</f>
        <v>20010.357852348992</v>
      </c>
      <c r="D230" s="633">
        <f>(PCS!I236-PCS!F236)/C230</f>
        <v>11.042630695993056</v>
      </c>
      <c r="E230" s="634">
        <f>'Péréquation directe'!E236/C230</f>
        <v>-4.3376743251379972</v>
      </c>
      <c r="F230" s="633">
        <f>'Péréquation directe'!F236/Effort!C230</f>
        <v>-13.991303398851144</v>
      </c>
      <c r="G230" s="633">
        <f>'Péréquation directe'!G236/Effort!C230</f>
        <v>-10.050427699932852</v>
      </c>
      <c r="H230" s="633">
        <f>'Péréquation directe'!J236/Effort!C230</f>
        <v>19.619554427615387</v>
      </c>
      <c r="I230" s="635">
        <f t="shared" si="9"/>
        <v>2.2827796996864507</v>
      </c>
      <c r="J230" s="149">
        <f t="shared" si="10"/>
        <v>0</v>
      </c>
      <c r="K230" s="41">
        <f t="shared" si="11"/>
        <v>0</v>
      </c>
      <c r="L230" s="159"/>
    </row>
    <row r="231" spans="1:12" x14ac:dyDescent="0.25">
      <c r="A231" s="37">
        <f>Données!A231</f>
        <v>5798</v>
      </c>
      <c r="B231" s="125" t="str">
        <f>Données!B231</f>
        <v>Ropraz</v>
      </c>
      <c r="C231" s="247">
        <f>VPI!R231</f>
        <v>15645.960516129035</v>
      </c>
      <c r="D231" s="633">
        <f>(PCS!I237-PCS!F237)/C231</f>
        <v>11.042630695993056</v>
      </c>
      <c r="E231" s="634">
        <f>'Péréquation directe'!E237/C231</f>
        <v>-4.4941965086945919</v>
      </c>
      <c r="F231" s="633">
        <f>'Péréquation directe'!F237/Effort!C231</f>
        <v>-16.553645159886379</v>
      </c>
      <c r="G231" s="633">
        <f>'Péréquation directe'!G237/Effort!C231</f>
        <v>-2.4628520025982548</v>
      </c>
      <c r="H231" s="633">
        <f>'Péréquation directe'!J237/Effort!C231</f>
        <v>19.619554427615387</v>
      </c>
      <c r="I231" s="635">
        <f t="shared" si="9"/>
        <v>7.1514914524292195</v>
      </c>
      <c r="J231" s="149">
        <f t="shared" si="10"/>
        <v>0</v>
      </c>
      <c r="K231" s="41">
        <f t="shared" si="11"/>
        <v>0</v>
      </c>
      <c r="L231" s="159"/>
    </row>
    <row r="232" spans="1:12" x14ac:dyDescent="0.25">
      <c r="A232" s="37">
        <f>Données!A232</f>
        <v>5799</v>
      </c>
      <c r="B232" s="125" t="str">
        <f>Données!B232</f>
        <v>Servion</v>
      </c>
      <c r="C232" s="247">
        <f>VPI!R232</f>
        <v>79870.61985507248</v>
      </c>
      <c r="D232" s="633">
        <f>(PCS!I238-PCS!F238)/C232</f>
        <v>11.042630695993058</v>
      </c>
      <c r="E232" s="634">
        <f>'Péréquation directe'!E238/C232</f>
        <v>-7.3864880647251194</v>
      </c>
      <c r="F232" s="633">
        <f>'Péréquation directe'!F238/Effort!C232</f>
        <v>-7.4956001904730689</v>
      </c>
      <c r="G232" s="633">
        <f>'Péréquation directe'!G238/Effort!C232</f>
        <v>-2.8100450217157489</v>
      </c>
      <c r="H232" s="633">
        <f>'Péréquation directe'!J238/Effort!C232</f>
        <v>19.619554427615387</v>
      </c>
      <c r="I232" s="635">
        <f t="shared" si="9"/>
        <v>12.970051846694508</v>
      </c>
      <c r="J232" s="149">
        <f t="shared" si="10"/>
        <v>0</v>
      </c>
      <c r="K232" s="41">
        <f t="shared" si="11"/>
        <v>0</v>
      </c>
      <c r="L232" s="159"/>
    </row>
    <row r="233" spans="1:12" x14ac:dyDescent="0.25">
      <c r="A233" s="37">
        <f>Données!A233</f>
        <v>5803</v>
      </c>
      <c r="B233" s="125" t="str">
        <f>Données!B233</f>
        <v>Vulliens</v>
      </c>
      <c r="C233" s="247">
        <f>VPI!R233</f>
        <v>18493.730135135131</v>
      </c>
      <c r="D233" s="633">
        <f>(PCS!I239-PCS!F239)/C233</f>
        <v>11.042630695993054</v>
      </c>
      <c r="E233" s="634">
        <f>'Péréquation directe'!E239/C233</f>
        <v>-4.5137109443424945</v>
      </c>
      <c r="F233" s="633">
        <f>'Péréquation directe'!F239/Effort!C233</f>
        <v>-15.252834221944148</v>
      </c>
      <c r="G233" s="633">
        <f>'Péréquation directe'!G239/Effort!C233</f>
        <v>-27.858311024842511</v>
      </c>
      <c r="H233" s="633">
        <f>'Péréquation directe'!J239/Effort!C233</f>
        <v>19.619554427615387</v>
      </c>
      <c r="I233" s="635">
        <f t="shared" si="9"/>
        <v>-16.962671067520713</v>
      </c>
      <c r="J233" s="149">
        <f t="shared" si="10"/>
        <v>0</v>
      </c>
      <c r="K233" s="41">
        <f t="shared" si="11"/>
        <v>0</v>
      </c>
      <c r="L233" s="159"/>
    </row>
    <row r="234" spans="1:12" x14ac:dyDescent="0.25">
      <c r="A234" s="37">
        <f>Données!A234</f>
        <v>5804</v>
      </c>
      <c r="B234" s="125" t="str">
        <f>Données!B234</f>
        <v>Jorat-Menthue</v>
      </c>
      <c r="C234" s="247">
        <f>VPI!R234</f>
        <v>48159.833333333336</v>
      </c>
      <c r="D234" s="633">
        <f>(PCS!I240-PCS!F240)/C234</f>
        <v>11.042630695993056</v>
      </c>
      <c r="E234" s="634">
        <f>'Péréquation directe'!E240/C234</f>
        <v>-7.2114036939496602</v>
      </c>
      <c r="F234" s="633">
        <f>'Péréquation directe'!F240/Effort!C234</f>
        <v>-12.619829954599497</v>
      </c>
      <c r="G234" s="633">
        <f>'Péréquation directe'!G240/Effort!C234</f>
        <v>-10.270737055590617</v>
      </c>
      <c r="H234" s="633">
        <f>'Péréquation directe'!J240/Effort!C234</f>
        <v>19.619554427615387</v>
      </c>
      <c r="I234" s="635">
        <f t="shared" si="9"/>
        <v>0.56021441946866801</v>
      </c>
      <c r="J234" s="149">
        <f t="shared" si="10"/>
        <v>0</v>
      </c>
      <c r="K234" s="41">
        <f t="shared" si="11"/>
        <v>0</v>
      </c>
      <c r="L234" s="159"/>
    </row>
    <row r="235" spans="1:12" x14ac:dyDescent="0.25">
      <c r="A235" s="37">
        <f>Données!A235</f>
        <v>5805</v>
      </c>
      <c r="B235" s="125" t="str">
        <f>Données!B235</f>
        <v>Oron</v>
      </c>
      <c r="C235" s="247">
        <f>VPI!R235</f>
        <v>189171.20249011857</v>
      </c>
      <c r="D235" s="633">
        <f>(PCS!I241-PCS!F241)/C235</f>
        <v>11.042630695993056</v>
      </c>
      <c r="E235" s="634">
        <f>'Péréquation directe'!E241/C235</f>
        <v>-14.795153091838321</v>
      </c>
      <c r="F235" s="633">
        <f>'Péréquation directe'!F241/Effort!C235</f>
        <v>-12.865244104127559</v>
      </c>
      <c r="G235" s="633">
        <f>'Péréquation directe'!G241/Effort!C235</f>
        <v>-5.3505645898683518</v>
      </c>
      <c r="H235" s="633">
        <f>'Péréquation directe'!J241/Effort!C235</f>
        <v>19.619554427615387</v>
      </c>
      <c r="I235" s="635">
        <f t="shared" si="9"/>
        <v>-2.348776662225788</v>
      </c>
      <c r="J235" s="149">
        <f t="shared" si="10"/>
        <v>0</v>
      </c>
      <c r="K235" s="41">
        <f t="shared" si="11"/>
        <v>0</v>
      </c>
      <c r="L235" s="159"/>
    </row>
    <row r="236" spans="1:12" x14ac:dyDescent="0.25">
      <c r="A236" s="37">
        <f>Données!A236</f>
        <v>5806</v>
      </c>
      <c r="B236" s="125" t="str">
        <f>Données!B236</f>
        <v>Jorat-Mézières</v>
      </c>
      <c r="C236" s="247">
        <f>VPI!R236</f>
        <v>101965.39633802818</v>
      </c>
      <c r="D236" s="633">
        <f>(PCS!I242-PCS!F242)/C236</f>
        <v>11.042630695993056</v>
      </c>
      <c r="E236" s="634">
        <f>'Péréquation directe'!E242/C236</f>
        <v>-9.589313670420367</v>
      </c>
      <c r="F236" s="633">
        <f>'Péréquation directe'!F242/Effort!C236</f>
        <v>-11.340280274605673</v>
      </c>
      <c r="G236" s="633">
        <f>'Péréquation directe'!G242/Effort!C236</f>
        <v>-3.5883935894906975</v>
      </c>
      <c r="H236" s="633">
        <f>'Péréquation directe'!J242/Effort!C236</f>
        <v>19.619554427615387</v>
      </c>
      <c r="I236" s="635">
        <f t="shared" si="9"/>
        <v>6.1441975890917053</v>
      </c>
      <c r="J236" s="149">
        <f t="shared" si="10"/>
        <v>0</v>
      </c>
      <c r="K236" s="41">
        <f t="shared" si="11"/>
        <v>0</v>
      </c>
      <c r="L236" s="159"/>
    </row>
    <row r="237" spans="1:12" x14ac:dyDescent="0.25">
      <c r="A237" s="37">
        <f>Données!A237</f>
        <v>5812</v>
      </c>
      <c r="B237" s="125" t="str">
        <f>Données!B237</f>
        <v>Champtauroz</v>
      </c>
      <c r="C237" s="247">
        <f>VPI!R237</f>
        <v>3968.7312987012979</v>
      </c>
      <c r="D237" s="633">
        <f>(PCS!I243-PCS!F243)/C237</f>
        <v>11.042630695993056</v>
      </c>
      <c r="E237" s="634">
        <f>'Péréquation directe'!E243/C237</f>
        <v>-6.56452023091959</v>
      </c>
      <c r="F237" s="633">
        <f>'Péréquation directe'!F243/Effort!C237</f>
        <v>-34.788034577663694</v>
      </c>
      <c r="G237" s="633">
        <f>'Péréquation directe'!G243/Effort!C237</f>
        <v>-2.3851890347512983</v>
      </c>
      <c r="H237" s="633">
        <f>'Péréquation directe'!J243/Effort!C237</f>
        <v>19.619554427615387</v>
      </c>
      <c r="I237" s="635">
        <f t="shared" si="9"/>
        <v>-13.075558719726136</v>
      </c>
      <c r="J237" s="149">
        <f t="shared" si="10"/>
        <v>0</v>
      </c>
      <c r="K237" s="41">
        <f t="shared" si="11"/>
        <v>0</v>
      </c>
      <c r="L237" s="159"/>
    </row>
    <row r="238" spans="1:12" x14ac:dyDescent="0.25">
      <c r="A238" s="37">
        <f>Données!A238</f>
        <v>5813</v>
      </c>
      <c r="B238" s="125" t="str">
        <f>Données!B238</f>
        <v>Chevroux</v>
      </c>
      <c r="C238" s="247">
        <f>VPI!R238</f>
        <v>19281.459294403892</v>
      </c>
      <c r="D238" s="633">
        <f>(PCS!I244-PCS!F244)/C238</f>
        <v>11.042630695993056</v>
      </c>
      <c r="E238" s="634">
        <f>'Péréquation directe'!E244/C238</f>
        <v>-3.4124312856690153</v>
      </c>
      <c r="F238" s="633">
        <f>'Péréquation directe'!F244/Effort!C238</f>
        <v>-5.3038798217709449</v>
      </c>
      <c r="G238" s="633">
        <f>'Péréquation directe'!G244/Effort!C238</f>
        <v>-7.9646487599009692</v>
      </c>
      <c r="H238" s="633">
        <f>'Péréquation directe'!J244/Effort!C238</f>
        <v>19.619554427615387</v>
      </c>
      <c r="I238" s="635">
        <f t="shared" si="9"/>
        <v>13.981225256267514</v>
      </c>
      <c r="J238" s="149">
        <f t="shared" si="10"/>
        <v>0</v>
      </c>
      <c r="K238" s="41">
        <f t="shared" si="11"/>
        <v>0</v>
      </c>
      <c r="L238" s="159"/>
    </row>
    <row r="239" spans="1:12" x14ac:dyDescent="0.25">
      <c r="A239" s="37">
        <f>Données!A239</f>
        <v>5816</v>
      </c>
      <c r="B239" s="125" t="str">
        <f>Données!B239</f>
        <v>Corcelles-près-Payerne</v>
      </c>
      <c r="C239" s="247">
        <f>VPI!R239</f>
        <v>73731.873296703299</v>
      </c>
      <c r="D239" s="633">
        <f>(PCS!I245-PCS!F245)/C239</f>
        <v>11.042630695993054</v>
      </c>
      <c r="E239" s="634">
        <f>'Péréquation directe'!E245/C239</f>
        <v>-11.927209409408384</v>
      </c>
      <c r="F239" s="633">
        <f>'Péréquation directe'!F245/Effort!C239</f>
        <v>-17.494588015266835</v>
      </c>
      <c r="G239" s="633">
        <f>'Péréquation directe'!G245/Effort!C239</f>
        <v>-5.4624562654142075</v>
      </c>
      <c r="H239" s="633">
        <f>'Péréquation directe'!J245/Effort!C239</f>
        <v>19.619554427615387</v>
      </c>
      <c r="I239" s="635">
        <f t="shared" si="9"/>
        <v>-4.2220685664809849</v>
      </c>
      <c r="J239" s="149">
        <f t="shared" si="10"/>
        <v>0</v>
      </c>
      <c r="K239" s="41">
        <f t="shared" si="11"/>
        <v>0</v>
      </c>
      <c r="L239" s="159"/>
    </row>
    <row r="240" spans="1:12" x14ac:dyDescent="0.25">
      <c r="A240" s="37">
        <f>Données!A240</f>
        <v>5817</v>
      </c>
      <c r="B240" s="125" t="str">
        <f>Données!B240</f>
        <v>Grandcour</v>
      </c>
      <c r="C240" s="247">
        <f>VPI!R240</f>
        <v>27223.795694444449</v>
      </c>
      <c r="D240" s="633">
        <f>(PCS!I246-PCS!F246)/C240</f>
        <v>11.042630695993056</v>
      </c>
      <c r="E240" s="634">
        <f>'Péréquation directe'!E246/C240</f>
        <v>-4.7995824527635707</v>
      </c>
      <c r="F240" s="633">
        <f>'Péréquation directe'!F246/Effort!C240</f>
        <v>-16.666645215557754</v>
      </c>
      <c r="G240" s="633">
        <f>'Péréquation directe'!G246/Effort!C240</f>
        <v>-6.1888745548276196</v>
      </c>
      <c r="H240" s="633">
        <f>'Péréquation directe'!J246/Effort!C240</f>
        <v>19.619554427615387</v>
      </c>
      <c r="I240" s="635">
        <f t="shared" si="9"/>
        <v>3.0070829004594977</v>
      </c>
      <c r="J240" s="149">
        <f t="shared" si="10"/>
        <v>0</v>
      </c>
      <c r="K240" s="41">
        <f t="shared" si="11"/>
        <v>0</v>
      </c>
      <c r="L240" s="159"/>
    </row>
    <row r="241" spans="1:13" x14ac:dyDescent="0.25">
      <c r="A241" s="37">
        <f>Données!A241</f>
        <v>5819</v>
      </c>
      <c r="B241" s="125" t="str">
        <f>Données!B241</f>
        <v>Henniez</v>
      </c>
      <c r="C241" s="247">
        <f>VPI!R241</f>
        <v>14881.811884057974</v>
      </c>
      <c r="D241" s="633">
        <f>(PCS!I247-PCS!F247)/C241</f>
        <v>11.042630695993056</v>
      </c>
      <c r="E241" s="634">
        <f>'Péréquation directe'!E247/C241</f>
        <v>-4.1801191255154082</v>
      </c>
      <c r="F241" s="633">
        <f>'Péréquation directe'!F247/Effort!C241</f>
        <v>-10.87441736935472</v>
      </c>
      <c r="G241" s="633">
        <f>'Péréquation directe'!G247/Effort!C241</f>
        <v>-4.6076727869971066</v>
      </c>
      <c r="H241" s="633">
        <f>'Péréquation directe'!J247/Effort!C241</f>
        <v>19.619554427615387</v>
      </c>
      <c r="I241" s="635">
        <f t="shared" si="9"/>
        <v>10.999975841741207</v>
      </c>
      <c r="J241" s="149">
        <f t="shared" si="10"/>
        <v>0</v>
      </c>
      <c r="K241" s="41">
        <f t="shared" si="11"/>
        <v>0</v>
      </c>
      <c r="L241" s="159"/>
    </row>
    <row r="242" spans="1:13" x14ac:dyDescent="0.25">
      <c r="A242" s="37">
        <f>Données!A242</f>
        <v>5821</v>
      </c>
      <c r="B242" s="125" t="str">
        <f>Données!B242</f>
        <v>Missy</v>
      </c>
      <c r="C242" s="247">
        <f>VPI!R242</f>
        <v>10384.069710144928</v>
      </c>
      <c r="D242" s="633">
        <f>(PCS!I248-PCS!F248)/C242</f>
        <v>11.042630695993056</v>
      </c>
      <c r="E242" s="634">
        <f>'Péréquation directe'!E248/C242</f>
        <v>-4.9154382574358095</v>
      </c>
      <c r="F242" s="633">
        <f>'Péréquation directe'!F248/Effort!C242</f>
        <v>-16.135644497101559</v>
      </c>
      <c r="G242" s="633">
        <f>'Péréquation directe'!G248/Effort!C242</f>
        <v>0</v>
      </c>
      <c r="H242" s="633">
        <f>'Péréquation directe'!J248/Effort!C242</f>
        <v>19.619554427615387</v>
      </c>
      <c r="I242" s="635">
        <f t="shared" si="9"/>
        <v>9.6111023690710748</v>
      </c>
      <c r="J242" s="149">
        <f t="shared" si="10"/>
        <v>0</v>
      </c>
      <c r="K242" s="41">
        <f t="shared" si="11"/>
        <v>0</v>
      </c>
      <c r="L242" s="159"/>
    </row>
    <row r="243" spans="1:13" x14ac:dyDescent="0.25">
      <c r="A243" s="37">
        <f>Données!A243</f>
        <v>5822</v>
      </c>
      <c r="B243" s="125" t="str">
        <f>Données!B243</f>
        <v>Payerne</v>
      </c>
      <c r="C243" s="247">
        <f>VPI!R243</f>
        <v>250662.19871428571</v>
      </c>
      <c r="D243" s="633">
        <f>(PCS!I249-PCS!F249)/C243</f>
        <v>11.042630695993056</v>
      </c>
      <c r="E243" s="634">
        <f>'Péréquation directe'!E249/C243</f>
        <v>-24.421557374844632</v>
      </c>
      <c r="F243" s="633">
        <f>'Péréquation directe'!F249/Effort!C243</f>
        <v>-22.591435475751911</v>
      </c>
      <c r="G243" s="633">
        <f>'Péréquation directe'!G249/Effort!C243</f>
        <v>-6.9445202100661199</v>
      </c>
      <c r="H243" s="633">
        <f>'Péréquation directe'!J249/Effort!C243</f>
        <v>19.619554427615387</v>
      </c>
      <c r="I243" s="635">
        <f t="shared" si="9"/>
        <v>-23.295327937054221</v>
      </c>
      <c r="J243" s="149">
        <f t="shared" si="10"/>
        <v>0</v>
      </c>
      <c r="K243" s="41">
        <f t="shared" si="11"/>
        <v>0</v>
      </c>
      <c r="L243" s="159"/>
    </row>
    <row r="244" spans="1:13" x14ac:dyDescent="0.25">
      <c r="A244" s="37">
        <f>Données!A244</f>
        <v>5827</v>
      </c>
      <c r="B244" s="125" t="str">
        <f>Données!B244</f>
        <v>Trey</v>
      </c>
      <c r="C244" s="247">
        <f>VPI!R244</f>
        <v>8694.454487179486</v>
      </c>
      <c r="D244" s="633">
        <f>(PCS!I250-PCS!F250)/C244</f>
        <v>11.042630695993056</v>
      </c>
      <c r="E244" s="634">
        <f>'Péréquation directe'!E250/C244</f>
        <v>-4.8616467266016405</v>
      </c>
      <c r="F244" s="633">
        <f>'Péréquation directe'!F250/Effort!C244</f>
        <v>-20.127631290844565</v>
      </c>
      <c r="G244" s="633">
        <f>'Péréquation directe'!G250/Effort!C244</f>
        <v>-3.8574200227219704</v>
      </c>
      <c r="H244" s="633">
        <f>'Péréquation directe'!J250/Effort!C244</f>
        <v>19.619554427615387</v>
      </c>
      <c r="I244" s="635">
        <f t="shared" si="9"/>
        <v>1.8154870834402672</v>
      </c>
      <c r="J244" s="149">
        <f t="shared" si="10"/>
        <v>0</v>
      </c>
      <c r="K244" s="41">
        <f t="shared" si="11"/>
        <v>0</v>
      </c>
      <c r="L244" s="159"/>
    </row>
    <row r="245" spans="1:13" x14ac:dyDescent="0.25">
      <c r="A245" s="37">
        <f>Données!A245</f>
        <v>5828</v>
      </c>
      <c r="B245" s="125" t="str">
        <f>Données!B245</f>
        <v>Treytorrens (Payerne)</v>
      </c>
      <c r="C245" s="247">
        <f>VPI!R245</f>
        <v>2843.8202453987728</v>
      </c>
      <c r="D245" s="633">
        <f>(PCS!I251-PCS!F251)/C245</f>
        <v>11.042630695993054</v>
      </c>
      <c r="E245" s="634">
        <f>'Péréquation directe'!E251/C245</f>
        <v>-5.0947511051270817</v>
      </c>
      <c r="F245" s="633">
        <f>'Péréquation directe'!F251/Effort!C245</f>
        <v>-24.30138871446546</v>
      </c>
      <c r="G245" s="633">
        <f>'Péréquation directe'!G251/Effort!C245</f>
        <v>-11.547280764457341</v>
      </c>
      <c r="H245" s="633">
        <f>'Péréquation directe'!J251/Effort!C245</f>
        <v>19.619554427615387</v>
      </c>
      <c r="I245" s="635">
        <f t="shared" si="9"/>
        <v>-10.28123546044144</v>
      </c>
      <c r="J245" s="149">
        <f t="shared" si="10"/>
        <v>0</v>
      </c>
      <c r="K245" s="41">
        <f t="shared" si="11"/>
        <v>0</v>
      </c>
      <c r="L245" s="159"/>
    </row>
    <row r="246" spans="1:13" x14ac:dyDescent="0.25">
      <c r="A246" s="37">
        <f>Données!A246</f>
        <v>5830</v>
      </c>
      <c r="B246" s="125" t="str">
        <f>Données!B246</f>
        <v>Villarzel</v>
      </c>
      <c r="C246" s="247">
        <f>VPI!R246</f>
        <v>15008.365333333331</v>
      </c>
      <c r="D246" s="633">
        <f>(PCS!I252-PCS!F252)/C246</f>
        <v>11.042630695993056</v>
      </c>
      <c r="E246" s="634">
        <f>'Péréquation directe'!E252/C246</f>
        <v>-4.6408390856537576</v>
      </c>
      <c r="F246" s="633">
        <f>'Péréquation directe'!F252/Effort!C246</f>
        <v>-16.742533583556011</v>
      </c>
      <c r="G246" s="633">
        <f>'Péréquation directe'!G252/Effort!C246</f>
        <v>-5.0330770895920693</v>
      </c>
      <c r="H246" s="633">
        <f>'Péréquation directe'!J252/Effort!C246</f>
        <v>19.619554427615387</v>
      </c>
      <c r="I246" s="635">
        <f t="shared" si="9"/>
        <v>4.2457353648066061</v>
      </c>
      <c r="J246" s="149">
        <f t="shared" si="10"/>
        <v>0</v>
      </c>
      <c r="K246" s="41">
        <f t="shared" si="11"/>
        <v>0</v>
      </c>
      <c r="L246" s="159"/>
      <c r="M246" s="147"/>
    </row>
    <row r="247" spans="1:13" x14ac:dyDescent="0.25">
      <c r="A247" s="37">
        <f>Données!A247</f>
        <v>5831</v>
      </c>
      <c r="B247" s="125" t="str">
        <f>Données!B247</f>
        <v>Valbroye</v>
      </c>
      <c r="C247" s="247">
        <f>VPI!R247</f>
        <v>87116.396643026019</v>
      </c>
      <c r="D247" s="633">
        <f>(PCS!I253-PCS!F253)/C247</f>
        <v>11.042630695993056</v>
      </c>
      <c r="E247" s="634">
        <f>'Péréquation directe'!E253/C247</f>
        <v>-12.725204282777426</v>
      </c>
      <c r="F247" s="633">
        <f>'Péréquation directe'!F253/Effort!C247</f>
        <v>-19.277619652328692</v>
      </c>
      <c r="G247" s="633">
        <f>'Péréquation directe'!G253/Effort!C247</f>
        <v>-8.5342791195542631</v>
      </c>
      <c r="H247" s="633">
        <f>'Péréquation directe'!J253/Effort!C247</f>
        <v>19.619554427615387</v>
      </c>
      <c r="I247" s="635">
        <f t="shared" si="9"/>
        <v>-9.8749179310519359</v>
      </c>
      <c r="J247" s="149">
        <f t="shared" si="10"/>
        <v>0</v>
      </c>
      <c r="K247" s="41">
        <f t="shared" si="11"/>
        <v>0</v>
      </c>
      <c r="L247" s="159"/>
    </row>
    <row r="248" spans="1:13" x14ac:dyDescent="0.25">
      <c r="A248" s="37">
        <f>Données!A248</f>
        <v>5841</v>
      </c>
      <c r="B248" s="125" t="str">
        <f>Données!B248</f>
        <v>Château-d'Oex</v>
      </c>
      <c r="C248" s="247">
        <f>VPI!R248</f>
        <v>123941.3219631902</v>
      </c>
      <c r="D248" s="633">
        <f>(PCS!I254-PCS!F254)/C248</f>
        <v>11.042630695993056</v>
      </c>
      <c r="E248" s="634">
        <f>'Péréquation directe'!E254/C248</f>
        <v>-9.8924026738464956</v>
      </c>
      <c r="F248" s="633">
        <f>'Péréquation directe'!F254/Effort!C248</f>
        <v>-12.583982010257987</v>
      </c>
      <c r="G248" s="633">
        <f>'Péréquation directe'!G254/Effort!C248</f>
        <v>-19.357928920067078</v>
      </c>
      <c r="H248" s="633">
        <f>'Péréquation directe'!J254/Effort!C248</f>
        <v>19.619554427615387</v>
      </c>
      <c r="I248" s="635">
        <f t="shared" si="9"/>
        <v>-11.172128480563117</v>
      </c>
      <c r="J248" s="149">
        <f t="shared" si="10"/>
        <v>0</v>
      </c>
      <c r="K248" s="41">
        <f t="shared" si="11"/>
        <v>0</v>
      </c>
      <c r="L248" s="159"/>
    </row>
    <row r="249" spans="1:13" x14ac:dyDescent="0.25">
      <c r="A249" s="37">
        <f>Données!A249</f>
        <v>5842</v>
      </c>
      <c r="B249" s="125" t="str">
        <f>Données!B249</f>
        <v>Rossinière</v>
      </c>
      <c r="C249" s="247">
        <f>VPI!R249</f>
        <v>15883.310411522634</v>
      </c>
      <c r="D249" s="633">
        <f>(PCS!I255-PCS!F255)/C249</f>
        <v>11.042630695993052</v>
      </c>
      <c r="E249" s="634">
        <f>'Péréquation directe'!E255/C249</f>
        <v>-4.1759773845573314</v>
      </c>
      <c r="F249" s="633">
        <f>'Péréquation directe'!F255/Effort!C249</f>
        <v>-14.944890142129401</v>
      </c>
      <c r="G249" s="633">
        <f>'Péréquation directe'!G255/Effort!C249</f>
        <v>-28.347181349166796</v>
      </c>
      <c r="H249" s="633">
        <f>'Péréquation directe'!J255/Effort!C249</f>
        <v>19.619554427615387</v>
      </c>
      <c r="I249" s="635">
        <f t="shared" si="9"/>
        <v>-16.805863752245084</v>
      </c>
      <c r="J249" s="149">
        <f t="shared" si="10"/>
        <v>0</v>
      </c>
      <c r="K249" s="41">
        <f t="shared" si="11"/>
        <v>0</v>
      </c>
      <c r="L249" s="159"/>
    </row>
    <row r="250" spans="1:13" x14ac:dyDescent="0.25">
      <c r="A250" s="37">
        <f>Données!A250</f>
        <v>5843</v>
      </c>
      <c r="B250" s="125" t="str">
        <f>Données!B250</f>
        <v>Rougemont</v>
      </c>
      <c r="C250" s="247">
        <f>VPI!R250</f>
        <v>87174.419831223626</v>
      </c>
      <c r="D250" s="633">
        <f>(PCS!I256-PCS!F256)/C250</f>
        <v>25.908427471391498</v>
      </c>
      <c r="E250" s="634">
        <f>'Péréquation directe'!E256/C250</f>
        <v>-1.2381280976749378</v>
      </c>
      <c r="F250" s="633">
        <f>'Péréquation directe'!F256/Effort!C250</f>
        <v>0</v>
      </c>
      <c r="G250" s="633">
        <f>'Péréquation directe'!G256/Effort!C250</f>
        <v>-2.6495210060864722</v>
      </c>
      <c r="H250" s="633">
        <f>'Péréquation directe'!J256/Effort!C250</f>
        <v>19.619554427615387</v>
      </c>
      <c r="I250" s="635">
        <f t="shared" si="9"/>
        <v>41.64033279524547</v>
      </c>
      <c r="J250" s="149">
        <f t="shared" si="10"/>
        <v>0</v>
      </c>
      <c r="K250" s="41">
        <f t="shared" si="11"/>
        <v>0</v>
      </c>
      <c r="L250" s="159"/>
    </row>
    <row r="251" spans="1:13" x14ac:dyDescent="0.25">
      <c r="A251" s="37">
        <f>Données!A251</f>
        <v>5851</v>
      </c>
      <c r="B251" s="125" t="str">
        <f>Données!B251</f>
        <v>Allaman</v>
      </c>
      <c r="C251" s="247">
        <f>VPI!R251</f>
        <v>27728.701333333334</v>
      </c>
      <c r="D251" s="633">
        <f>(PCS!I257-PCS!F257)/C251</f>
        <v>14.426086520059682</v>
      </c>
      <c r="E251" s="634">
        <f>'Péréquation directe'!E257/C251</f>
        <v>-2.061282620262336</v>
      </c>
      <c r="F251" s="633">
        <f>'Péréquation directe'!F257/Effort!C251</f>
        <v>0</v>
      </c>
      <c r="G251" s="633">
        <f>'Péréquation directe'!G257/Effort!C251</f>
        <v>0</v>
      </c>
      <c r="H251" s="633">
        <f>'Péréquation directe'!J257/Effort!C251</f>
        <v>19.619554427615387</v>
      </c>
      <c r="I251" s="635">
        <f t="shared" si="9"/>
        <v>31.984358327412735</v>
      </c>
      <c r="J251" s="149">
        <f t="shared" si="10"/>
        <v>0</v>
      </c>
      <c r="K251" s="41">
        <f t="shared" si="11"/>
        <v>0</v>
      </c>
      <c r="L251" s="159"/>
    </row>
    <row r="252" spans="1:13" x14ac:dyDescent="0.25">
      <c r="A252" s="37">
        <f>Données!A252</f>
        <v>5852</v>
      </c>
      <c r="B252" s="125" t="str">
        <f>Données!B252</f>
        <v>Bursinel</v>
      </c>
      <c r="C252" s="247">
        <f>VPI!R252</f>
        <v>42943.776182795707</v>
      </c>
      <c r="D252" s="633">
        <f>(PCS!I258-PCS!F258)/C252</f>
        <v>17.873178043883289</v>
      </c>
      <c r="E252" s="634">
        <f>'Péréquation directe'!E258/C252</f>
        <v>-1.6404925212467769</v>
      </c>
      <c r="F252" s="633">
        <f>'Péréquation directe'!F258/Effort!C252</f>
        <v>0</v>
      </c>
      <c r="G252" s="633">
        <f>'Péréquation directe'!G258/Effort!C252</f>
        <v>0</v>
      </c>
      <c r="H252" s="633">
        <f>'Péréquation directe'!J258/Effort!C252</f>
        <v>19.619554427615387</v>
      </c>
      <c r="I252" s="635">
        <f t="shared" si="9"/>
        <v>35.852239950251899</v>
      </c>
      <c r="J252" s="149">
        <f t="shared" si="10"/>
        <v>0</v>
      </c>
      <c r="K252" s="41">
        <f t="shared" si="11"/>
        <v>0</v>
      </c>
      <c r="L252" s="159"/>
    </row>
    <row r="253" spans="1:13" x14ac:dyDescent="0.25">
      <c r="A253" s="37">
        <f>Données!A253</f>
        <v>5853</v>
      </c>
      <c r="B253" s="125" t="str">
        <f>Données!B253</f>
        <v>Bursins</v>
      </c>
      <c r="C253" s="247">
        <f>VPI!R253</f>
        <v>44996.737042253524</v>
      </c>
      <c r="D253" s="633">
        <f>(PCS!I259-PCS!F259)/C253</f>
        <v>12.23401950463928</v>
      </c>
      <c r="E253" s="634">
        <f>'Péréquation directe'!E259/C253</f>
        <v>-2.4370898593451371</v>
      </c>
      <c r="F253" s="633">
        <f>'Péréquation directe'!F259/Effort!C253</f>
        <v>0</v>
      </c>
      <c r="G253" s="633">
        <f>'Péréquation directe'!G259/Effort!C253</f>
        <v>-0.58751154614579559</v>
      </c>
      <c r="H253" s="633">
        <f>'Péréquation directe'!J259/Effort!C253</f>
        <v>19.619554427615387</v>
      </c>
      <c r="I253" s="635">
        <f t="shared" si="9"/>
        <v>28.828972526763735</v>
      </c>
      <c r="J253" s="149">
        <f t="shared" si="10"/>
        <v>0</v>
      </c>
      <c r="K253" s="41">
        <f t="shared" si="11"/>
        <v>0</v>
      </c>
      <c r="L253" s="159"/>
    </row>
    <row r="254" spans="1:13" x14ac:dyDescent="0.25">
      <c r="A254" s="37">
        <f>Données!A254</f>
        <v>5854</v>
      </c>
      <c r="B254" s="125" t="str">
        <f>Données!B254</f>
        <v>Burtigny</v>
      </c>
      <c r="C254" s="247">
        <f>VPI!R254</f>
        <v>16635.489777777777</v>
      </c>
      <c r="D254" s="633">
        <f>(PCS!I260-PCS!F260)/C254</f>
        <v>11.042630695993056</v>
      </c>
      <c r="E254" s="634">
        <f>'Péréquation directe'!E260/C254</f>
        <v>-3.2041098477858312</v>
      </c>
      <c r="F254" s="633">
        <f>'Péréquation directe'!F260/Effort!C254</f>
        <v>-4.5971716854925777</v>
      </c>
      <c r="G254" s="633">
        <f>'Péréquation directe'!G260/Effort!C254</f>
        <v>-0.2618721298116673</v>
      </c>
      <c r="H254" s="633">
        <f>'Péréquation directe'!J260/Effort!C254</f>
        <v>19.619554427615387</v>
      </c>
      <c r="I254" s="635">
        <f t="shared" si="9"/>
        <v>22.599031460518368</v>
      </c>
      <c r="J254" s="149">
        <f t="shared" si="10"/>
        <v>0</v>
      </c>
      <c r="K254" s="41">
        <f t="shared" si="11"/>
        <v>0</v>
      </c>
      <c r="L254" s="159"/>
    </row>
    <row r="255" spans="1:13" x14ac:dyDescent="0.25">
      <c r="A255" s="37">
        <f>Données!A255</f>
        <v>5855</v>
      </c>
      <c r="B255" s="125" t="str">
        <f>Données!B255</f>
        <v>Dully</v>
      </c>
      <c r="C255" s="247">
        <f>VPI!R255</f>
        <v>98996.558301886791</v>
      </c>
      <c r="D255" s="633">
        <f>(PCS!I261-PCS!F261)/C255</f>
        <v>26.677276802948906</v>
      </c>
      <c r="E255" s="634">
        <f>'Péréquation directe'!E261/C255</f>
        <v>-0.83650119617382102</v>
      </c>
      <c r="F255" s="633">
        <f>'Péréquation directe'!F261/Effort!C255</f>
        <v>0</v>
      </c>
      <c r="G255" s="633">
        <f>'Péréquation directe'!G261/Effort!C255</f>
        <v>0</v>
      </c>
      <c r="H255" s="633">
        <f>'Péréquation directe'!J261/Effort!C255</f>
        <v>19.619554427615387</v>
      </c>
      <c r="I255" s="635">
        <f t="shared" si="9"/>
        <v>45.460330034390473</v>
      </c>
      <c r="J255" s="149">
        <f t="shared" si="10"/>
        <v>0</v>
      </c>
      <c r="K255" s="41">
        <f t="shared" si="11"/>
        <v>0</v>
      </c>
      <c r="L255" s="159"/>
    </row>
    <row r="256" spans="1:13" x14ac:dyDescent="0.25">
      <c r="A256" s="37">
        <f>Données!A256</f>
        <v>5856</v>
      </c>
      <c r="B256" s="125" t="str">
        <f>Données!B256</f>
        <v>Essertines-sur-Rolle</v>
      </c>
      <c r="C256" s="247">
        <f>VPI!R256</f>
        <v>36628.421873915555</v>
      </c>
      <c r="D256" s="633">
        <f>(PCS!I262-PCS!F262)/C256</f>
        <v>11.042630695993054</v>
      </c>
      <c r="E256" s="634">
        <f>'Péréquation directe'!E262/C256</f>
        <v>-2.8632377513478433</v>
      </c>
      <c r="F256" s="633">
        <f>'Péréquation directe'!F262/Effort!C256</f>
        <v>-1.3487793559065708</v>
      </c>
      <c r="G256" s="633">
        <f>'Péréquation directe'!G262/Effort!C256</f>
        <v>0</v>
      </c>
      <c r="H256" s="633">
        <f>'Péréquation directe'!J262/Effort!C256</f>
        <v>19.619554427615387</v>
      </c>
      <c r="I256" s="635">
        <f t="shared" si="9"/>
        <v>26.450168016354027</v>
      </c>
      <c r="J256" s="149">
        <f t="shared" si="10"/>
        <v>0</v>
      </c>
      <c r="K256" s="41">
        <f t="shared" si="11"/>
        <v>0</v>
      </c>
      <c r="L256" s="159"/>
    </row>
    <row r="257" spans="1:12" x14ac:dyDescent="0.25">
      <c r="A257" s="37">
        <f>Données!A257</f>
        <v>5857</v>
      </c>
      <c r="B257" s="125" t="str">
        <f>Données!B257</f>
        <v>Gilly</v>
      </c>
      <c r="C257" s="247">
        <f>VPI!R257</f>
        <v>96678.753643410862</v>
      </c>
      <c r="D257" s="633">
        <f>(PCS!I263-PCS!F263)/C257</f>
        <v>15.021270722665045</v>
      </c>
      <c r="E257" s="634">
        <f>'Péréquation directe'!E263/C257</f>
        <v>-3.0726014816636669</v>
      </c>
      <c r="F257" s="633">
        <f>'Péréquation directe'!F263/Effort!C257</f>
        <v>0</v>
      </c>
      <c r="G257" s="633">
        <f>'Péréquation directe'!G263/Effort!C257</f>
        <v>0</v>
      </c>
      <c r="H257" s="633">
        <f>'Péréquation directe'!J263/Effort!C257</f>
        <v>19.619554427615387</v>
      </c>
      <c r="I257" s="635">
        <f t="shared" si="9"/>
        <v>31.568223668616767</v>
      </c>
      <c r="J257" s="149">
        <f t="shared" si="10"/>
        <v>0</v>
      </c>
      <c r="K257" s="41">
        <f t="shared" si="11"/>
        <v>0</v>
      </c>
      <c r="L257" s="159"/>
    </row>
    <row r="258" spans="1:12" x14ac:dyDescent="0.25">
      <c r="A258" s="37">
        <f>Données!A258</f>
        <v>5858</v>
      </c>
      <c r="B258" s="125" t="str">
        <f>Données!B258</f>
        <v>Luins</v>
      </c>
      <c r="C258" s="247">
        <f>VPI!R258</f>
        <v>41203.097378917373</v>
      </c>
      <c r="D258" s="633">
        <f>(PCS!I264-PCS!F264)/C258</f>
        <v>14.132071939294699</v>
      </c>
      <c r="E258" s="634">
        <f>'Péréquation directe'!E264/C258</f>
        <v>-2.0549827638176996</v>
      </c>
      <c r="F258" s="633">
        <f>'Péréquation directe'!F264/Effort!C258</f>
        <v>0</v>
      </c>
      <c r="G258" s="633">
        <f>'Péréquation directe'!G264/Effort!C258</f>
        <v>0</v>
      </c>
      <c r="H258" s="633">
        <f>'Péréquation directe'!J264/Effort!C258</f>
        <v>19.619554427615387</v>
      </c>
      <c r="I258" s="635">
        <f t="shared" si="9"/>
        <v>31.696643603092387</v>
      </c>
      <c r="J258" s="149">
        <f t="shared" si="10"/>
        <v>0</v>
      </c>
      <c r="K258" s="41">
        <f t="shared" si="11"/>
        <v>0</v>
      </c>
      <c r="L258" s="159"/>
    </row>
    <row r="259" spans="1:12" x14ac:dyDescent="0.25">
      <c r="A259" s="37">
        <f>Données!A259</f>
        <v>5859</v>
      </c>
      <c r="B259" s="125" t="str">
        <f>Données!B259</f>
        <v>Mont-sur-Rolle</v>
      </c>
      <c r="C259" s="247">
        <f>VPI!R259</f>
        <v>175152.20519685047</v>
      </c>
      <c r="D259" s="633">
        <f>(PCS!I265-PCS!F265)/C259</f>
        <v>14.157614973829586</v>
      </c>
      <c r="E259" s="634">
        <f>'Péréquation directe'!E265/C259</f>
        <v>-4.4753691440362333</v>
      </c>
      <c r="F259" s="633">
        <f>'Péréquation directe'!F265/Effort!C259</f>
        <v>0</v>
      </c>
      <c r="G259" s="633">
        <f>'Péréquation directe'!G265/Effort!C259</f>
        <v>0</v>
      </c>
      <c r="H259" s="633">
        <f>'Péréquation directe'!J265/Effort!C259</f>
        <v>19.619554427615387</v>
      </c>
      <c r="I259" s="635">
        <f t="shared" si="9"/>
        <v>29.30180025740874</v>
      </c>
      <c r="J259" s="149">
        <f t="shared" si="10"/>
        <v>0</v>
      </c>
      <c r="K259" s="41">
        <f t="shared" si="11"/>
        <v>0</v>
      </c>
      <c r="L259" s="159"/>
    </row>
    <row r="260" spans="1:12" x14ac:dyDescent="0.25">
      <c r="A260" s="37">
        <f>Données!A260</f>
        <v>5860</v>
      </c>
      <c r="B260" s="125" t="str">
        <f>Données!B260</f>
        <v>Perroy</v>
      </c>
      <c r="C260" s="247">
        <f>VPI!R260</f>
        <v>114833.15061143985</v>
      </c>
      <c r="D260" s="633">
        <f>(PCS!I266-PCS!F266)/C260</f>
        <v>15.657860288130291</v>
      </c>
      <c r="E260" s="634">
        <f>'Péréquation directe'!E266/C260</f>
        <v>-3.0632809019876794</v>
      </c>
      <c r="F260" s="633">
        <f>'Péréquation directe'!F266/Effort!C260</f>
        <v>0</v>
      </c>
      <c r="G260" s="633">
        <f>'Péréquation directe'!G266/Effort!C260</f>
        <v>0</v>
      </c>
      <c r="H260" s="633">
        <f>'Péréquation directe'!J266/Effort!C260</f>
        <v>19.619554427615387</v>
      </c>
      <c r="I260" s="635">
        <f t="shared" si="9"/>
        <v>32.214133813757996</v>
      </c>
      <c r="J260" s="149">
        <f t="shared" si="10"/>
        <v>0</v>
      </c>
      <c r="K260" s="41">
        <f t="shared" si="11"/>
        <v>0</v>
      </c>
      <c r="L260" s="159"/>
    </row>
    <row r="261" spans="1:12" x14ac:dyDescent="0.25">
      <c r="A261" s="37">
        <f>Données!A261</f>
        <v>5861</v>
      </c>
      <c r="B261" s="125" t="str">
        <f>Données!B261</f>
        <v>Rolle</v>
      </c>
      <c r="C261" s="247">
        <f>VPI!R261</f>
        <v>1001631.7391596638</v>
      </c>
      <c r="D261" s="633">
        <f>(PCS!I267-PCS!F267)/C261</f>
        <v>27.922234159033998</v>
      </c>
      <c r="E261" s="634">
        <f>'Péréquation directe'!E267/C261</f>
        <v>-2.9165592459260976</v>
      </c>
      <c r="F261" s="633">
        <f>'Péréquation directe'!F267/Effort!C261</f>
        <v>0</v>
      </c>
      <c r="G261" s="633">
        <f>'Péréquation directe'!G267/Effort!C261</f>
        <v>0</v>
      </c>
      <c r="H261" s="633">
        <f>'Péréquation directe'!J267/Effort!C261</f>
        <v>19.619554427615387</v>
      </c>
      <c r="I261" s="635">
        <f t="shared" si="9"/>
        <v>44.625229340723287</v>
      </c>
      <c r="J261" s="149">
        <f t="shared" si="10"/>
        <v>0</v>
      </c>
      <c r="K261" s="41">
        <f t="shared" si="11"/>
        <v>0</v>
      </c>
      <c r="L261" s="159"/>
    </row>
    <row r="262" spans="1:12" x14ac:dyDescent="0.25">
      <c r="A262" s="37">
        <f>Données!A262</f>
        <v>5862</v>
      </c>
      <c r="B262" s="125" t="str">
        <f>Données!B262</f>
        <v>Tartegnin</v>
      </c>
      <c r="C262" s="247">
        <f>VPI!R262</f>
        <v>12378.270379746835</v>
      </c>
      <c r="D262" s="633">
        <f>(PCS!I268-PCS!F268)/C262</f>
        <v>11.663610402534172</v>
      </c>
      <c r="E262" s="634">
        <f>'Péréquation directe'!E268/C262</f>
        <v>-2.5557337503342454</v>
      </c>
      <c r="F262" s="633">
        <f>'Péréquation directe'!F268/Effort!C262</f>
        <v>0</v>
      </c>
      <c r="G262" s="633">
        <f>'Péréquation directe'!G268/Effort!C262</f>
        <v>0</v>
      </c>
      <c r="H262" s="633">
        <f>'Péréquation directe'!J268/Effort!C262</f>
        <v>19.619554427615387</v>
      </c>
      <c r="I262" s="635">
        <f t="shared" si="9"/>
        <v>28.727431079815315</v>
      </c>
      <c r="J262" s="149">
        <f t="shared" si="10"/>
        <v>0</v>
      </c>
      <c r="K262" s="41">
        <f t="shared" si="11"/>
        <v>0</v>
      </c>
      <c r="L262" s="159"/>
    </row>
    <row r="263" spans="1:12" x14ac:dyDescent="0.25">
      <c r="A263" s="37">
        <f>Données!A263</f>
        <v>5863</v>
      </c>
      <c r="B263" s="125" t="str">
        <f>Données!B263</f>
        <v>Vinzel</v>
      </c>
      <c r="C263" s="247">
        <f>VPI!R263</f>
        <v>20119.523999999998</v>
      </c>
      <c r="D263" s="633">
        <f>(PCS!I269-PCS!F269)/C263</f>
        <v>11.548493285549833</v>
      </c>
      <c r="E263" s="634">
        <f>'Péréquation directe'!E269/C263</f>
        <v>-2.5567712798155942</v>
      </c>
      <c r="F263" s="633">
        <f>'Péréquation directe'!F269/Effort!C263</f>
        <v>0</v>
      </c>
      <c r="G263" s="633">
        <f>'Péréquation directe'!G269/Effort!C263</f>
        <v>0</v>
      </c>
      <c r="H263" s="633">
        <f>'Péréquation directe'!J269/Effort!C263</f>
        <v>19.619554427615387</v>
      </c>
      <c r="I263" s="635">
        <f t="shared" ref="I263:I305" si="12">SUM(D263:H263)</f>
        <v>28.611276433349627</v>
      </c>
      <c r="J263" s="149">
        <f t="shared" ref="J263:J305" si="13">IF(I263&gt;J$5,I263-J$5,0)</f>
        <v>0</v>
      </c>
      <c r="K263" s="41">
        <f t="shared" ref="K263:K305" si="14">-J263*C263</f>
        <v>0</v>
      </c>
      <c r="L263" s="159"/>
    </row>
    <row r="264" spans="1:12" x14ac:dyDescent="0.25">
      <c r="A264" s="37">
        <f>Données!A264</f>
        <v>5871</v>
      </c>
      <c r="B264" s="125" t="str">
        <f>Données!B264</f>
        <v>L'Abbaye</v>
      </c>
      <c r="C264" s="247">
        <f>VPI!R264</f>
        <v>50137.027069032512</v>
      </c>
      <c r="D264" s="633">
        <f>(PCS!I270-PCS!F270)/C264</f>
        <v>11.042630695993056</v>
      </c>
      <c r="E264" s="634">
        <f>'Péréquation directe'!E270/C264</f>
        <v>-6.6449301390528177</v>
      </c>
      <c r="F264" s="633">
        <f>'Péréquation directe'!F270/Effort!C264</f>
        <v>-12.697004813868736</v>
      </c>
      <c r="G264" s="633">
        <f>'Péréquation directe'!G270/Effort!C264</f>
        <v>-5.0174412012261387</v>
      </c>
      <c r="H264" s="633">
        <f>'Péréquation directe'!J270/Effort!C264</f>
        <v>19.619554427615387</v>
      </c>
      <c r="I264" s="635">
        <f t="shared" si="12"/>
        <v>6.3028089694607523</v>
      </c>
      <c r="J264" s="149">
        <f t="shared" si="13"/>
        <v>0</v>
      </c>
      <c r="K264" s="41">
        <f t="shared" si="14"/>
        <v>0</v>
      </c>
      <c r="L264" s="159"/>
    </row>
    <row r="265" spans="1:12" x14ac:dyDescent="0.25">
      <c r="A265" s="37">
        <f>Données!A265</f>
        <v>5872</v>
      </c>
      <c r="B265" s="125" t="str">
        <f>Données!B265</f>
        <v>Le Chenit</v>
      </c>
      <c r="C265" s="247">
        <f>VPI!R265</f>
        <v>359580.06573194644</v>
      </c>
      <c r="D265" s="633">
        <f>(PCS!I271-PCS!F271)/C265</f>
        <v>16.954621109132816</v>
      </c>
      <c r="E265" s="634">
        <f>'Péréquation directe'!E271/C265</f>
        <v>-5.0421687770457808</v>
      </c>
      <c r="F265" s="633">
        <f>'Péréquation directe'!F271/Effort!C265</f>
        <v>0</v>
      </c>
      <c r="G265" s="633">
        <f>'Péréquation directe'!G271/Effort!C265</f>
        <v>-0.57245993893315206</v>
      </c>
      <c r="H265" s="633">
        <f>'Péréquation directe'!J271/Effort!C265</f>
        <v>19.619554427615387</v>
      </c>
      <c r="I265" s="635">
        <f t="shared" si="12"/>
        <v>30.959546820769269</v>
      </c>
      <c r="J265" s="149">
        <f t="shared" si="13"/>
        <v>0</v>
      </c>
      <c r="K265" s="41">
        <f t="shared" si="14"/>
        <v>0</v>
      </c>
      <c r="L265" s="159"/>
    </row>
    <row r="266" spans="1:12" x14ac:dyDescent="0.25">
      <c r="A266" s="37">
        <f>Données!A266</f>
        <v>5873</v>
      </c>
      <c r="B266" s="125" t="str">
        <f>Données!B266</f>
        <v>Le Lieu</v>
      </c>
      <c r="C266" s="247">
        <f>VPI!R266</f>
        <v>31550.524000000001</v>
      </c>
      <c r="D266" s="633">
        <f>(PCS!I272-PCS!F272)/C266</f>
        <v>11.042630695993056</v>
      </c>
      <c r="E266" s="634">
        <f>'Péréquation directe'!E272/C266</f>
        <v>-3.8970302068651064</v>
      </c>
      <c r="F266" s="633">
        <f>'Péréquation directe'!F272/Effort!C266</f>
        <v>-9.1072576804626326</v>
      </c>
      <c r="G266" s="633">
        <f>'Péréquation directe'!G272/Effort!C266</f>
        <v>-49.522260952696058</v>
      </c>
      <c r="H266" s="633">
        <f>'Péréquation directe'!J272/Effort!C266</f>
        <v>19.619554427615387</v>
      </c>
      <c r="I266" s="635">
        <f t="shared" si="12"/>
        <v>-31.864363716415351</v>
      </c>
      <c r="J266" s="149">
        <f t="shared" si="13"/>
        <v>0</v>
      </c>
      <c r="K266" s="41">
        <f t="shared" si="14"/>
        <v>0</v>
      </c>
      <c r="L266" s="159"/>
    </row>
    <row r="267" spans="1:12" x14ac:dyDescent="0.25">
      <c r="A267" s="37">
        <f>Données!A267</f>
        <v>5882</v>
      </c>
      <c r="B267" s="125" t="str">
        <f>Données!B267</f>
        <v>Chardonne</v>
      </c>
      <c r="C267" s="247">
        <f>VPI!R267</f>
        <v>202050.46544117649</v>
      </c>
      <c r="D267" s="633">
        <f>(PCS!I273-PCS!F273)/C267</f>
        <v>13.469854555380126</v>
      </c>
      <c r="E267" s="634">
        <f>'Péréquation directe'!E273/C267</f>
        <v>-5.2366292647305333</v>
      </c>
      <c r="F267" s="633">
        <f>'Péréquation directe'!F273/Effort!C267</f>
        <v>0</v>
      </c>
      <c r="G267" s="633">
        <f>'Péréquation directe'!G273/Effort!C267</f>
        <v>-1.3973925056480319</v>
      </c>
      <c r="H267" s="633">
        <f>'Péréquation directe'!J273/Effort!C267</f>
        <v>19.619554427615387</v>
      </c>
      <c r="I267" s="635">
        <f t="shared" si="12"/>
        <v>26.455387212616948</v>
      </c>
      <c r="J267" s="149">
        <f t="shared" si="13"/>
        <v>0</v>
      </c>
      <c r="K267" s="41">
        <f t="shared" si="14"/>
        <v>0</v>
      </c>
      <c r="L267" s="159"/>
    </row>
    <row r="268" spans="1:12" x14ac:dyDescent="0.25">
      <c r="A268" s="37">
        <f>Données!A268</f>
        <v>5883</v>
      </c>
      <c r="B268" s="125" t="str">
        <f>Données!B268</f>
        <v>Corseaux</v>
      </c>
      <c r="C268" s="247">
        <f>VPI!R268</f>
        <v>187748.47585185184</v>
      </c>
      <c r="D268" s="633">
        <f>(PCS!I274-PCS!F274)/C268</f>
        <v>18.438071195730537</v>
      </c>
      <c r="E268" s="634">
        <f>'Péréquation directe'!E274/C268</f>
        <v>-3.3286480154567477</v>
      </c>
      <c r="F268" s="633">
        <f>'Péréquation directe'!F274/Effort!C268</f>
        <v>0</v>
      </c>
      <c r="G268" s="633">
        <f>'Péréquation directe'!G274/Effort!C268</f>
        <v>0</v>
      </c>
      <c r="H268" s="633">
        <f>'Péréquation directe'!J274/Effort!C268</f>
        <v>19.619554427615387</v>
      </c>
      <c r="I268" s="635">
        <f t="shared" si="12"/>
        <v>34.728977607889178</v>
      </c>
      <c r="J268" s="149">
        <f t="shared" si="13"/>
        <v>0</v>
      </c>
      <c r="K268" s="41">
        <f t="shared" si="14"/>
        <v>0</v>
      </c>
      <c r="L268" s="159"/>
    </row>
    <row r="269" spans="1:12" x14ac:dyDescent="0.25">
      <c r="A269" s="37">
        <f>Données!A269</f>
        <v>5884</v>
      </c>
      <c r="B269" s="125" t="str">
        <f>Données!B269</f>
        <v>Corsier-sur-Vevey</v>
      </c>
      <c r="C269" s="247">
        <f>VPI!R269</f>
        <v>160309.28653746771</v>
      </c>
      <c r="D269" s="633">
        <f>(PCS!I275-PCS!F275)/C269</f>
        <v>11.042630695993056</v>
      </c>
      <c r="E269" s="634">
        <f>'Péréquation directe'!E275/C269</f>
        <v>-6.7626537463861602</v>
      </c>
      <c r="F269" s="633">
        <f>'Péréquation directe'!F275/Effort!C269</f>
        <v>-0.93622671864961793</v>
      </c>
      <c r="G269" s="633">
        <f>'Péréquation directe'!G275/Effort!C269</f>
        <v>-8.2656572191055648</v>
      </c>
      <c r="H269" s="633">
        <f>'Péréquation directe'!J275/Effort!C269</f>
        <v>19.619554427615387</v>
      </c>
      <c r="I269" s="635">
        <f t="shared" si="12"/>
        <v>14.697647439467101</v>
      </c>
      <c r="J269" s="149">
        <f t="shared" si="13"/>
        <v>0</v>
      </c>
      <c r="K269" s="41">
        <f t="shared" si="14"/>
        <v>0</v>
      </c>
      <c r="L269" s="159"/>
    </row>
    <row r="270" spans="1:12" x14ac:dyDescent="0.25">
      <c r="A270" s="37">
        <f>Données!A270</f>
        <v>5885</v>
      </c>
      <c r="B270" s="125" t="str">
        <f>Données!B270</f>
        <v>Jongny</v>
      </c>
      <c r="C270" s="247">
        <f>VPI!R270</f>
        <v>105153.24390887292</v>
      </c>
      <c r="D270" s="633">
        <f>(PCS!I276-PCS!F276)/C270</f>
        <v>12.254748064834668</v>
      </c>
      <c r="E270" s="634">
        <f>'Péréquation directe'!E276/C270</f>
        <v>-4.5239038885603433</v>
      </c>
      <c r="F270" s="633">
        <f>'Péréquation directe'!F276/Effort!C270</f>
        <v>0</v>
      </c>
      <c r="G270" s="633">
        <f>'Péréquation directe'!G276/Effort!C270</f>
        <v>-1.2868783806779016</v>
      </c>
      <c r="H270" s="633">
        <f>'Péréquation directe'!J276/Effort!C270</f>
        <v>19.619554427615387</v>
      </c>
      <c r="I270" s="635">
        <f t="shared" si="12"/>
        <v>26.06352022321181</v>
      </c>
      <c r="J270" s="149">
        <f t="shared" si="13"/>
        <v>0</v>
      </c>
      <c r="K270" s="41">
        <f t="shared" si="14"/>
        <v>0</v>
      </c>
      <c r="L270" s="159"/>
    </row>
    <row r="271" spans="1:12" x14ac:dyDescent="0.25">
      <c r="A271" s="37">
        <f>Données!A271</f>
        <v>5886</v>
      </c>
      <c r="B271" s="125" t="str">
        <f>Données!B271</f>
        <v>Montreux</v>
      </c>
      <c r="C271" s="247">
        <f>VPI!R271</f>
        <v>1120945.0450256411</v>
      </c>
      <c r="D271" s="633">
        <f>(PCS!I277-PCS!F277)/C271</f>
        <v>11.042630695993056</v>
      </c>
      <c r="E271" s="634">
        <f>'Péréquation directe'!E277/C271</f>
        <v>-21.190100383222333</v>
      </c>
      <c r="F271" s="633">
        <f>'Péréquation directe'!F277/Effort!C271</f>
        <v>-3.4104593024641736</v>
      </c>
      <c r="G271" s="633">
        <f>'Péréquation directe'!G277/Effort!C271</f>
        <v>-5.9497610753000467</v>
      </c>
      <c r="H271" s="633">
        <f>'Péréquation directe'!J277/Effort!C271</f>
        <v>19.619554427615387</v>
      </c>
      <c r="I271" s="635">
        <f t="shared" si="12"/>
        <v>0.11186436262189048</v>
      </c>
      <c r="J271" s="149">
        <f t="shared" si="13"/>
        <v>0</v>
      </c>
      <c r="K271" s="41">
        <f t="shared" si="14"/>
        <v>0</v>
      </c>
      <c r="L271" s="159"/>
    </row>
    <row r="272" spans="1:12" x14ac:dyDescent="0.25">
      <c r="A272" s="37">
        <f>Données!A272</f>
        <v>5889</v>
      </c>
      <c r="B272" s="125" t="str">
        <f>Données!B272</f>
        <v>La Tour-de-Peilz</v>
      </c>
      <c r="C272" s="247">
        <f>VPI!R272</f>
        <v>728841.71013020864</v>
      </c>
      <c r="D272" s="633">
        <f>(PCS!I278-PCS!F278)/C272</f>
        <v>12.600119116498869</v>
      </c>
      <c r="E272" s="634">
        <f>'Péréquation directe'!E278/C272</f>
        <v>-11.069435358936527</v>
      </c>
      <c r="F272" s="633">
        <f>'Péréquation directe'!F278/Effort!C272</f>
        <v>0</v>
      </c>
      <c r="G272" s="633">
        <f>'Péréquation directe'!G278/Effort!C272</f>
        <v>-1.3578120030941996</v>
      </c>
      <c r="H272" s="633">
        <f>'Péréquation directe'!J278/Effort!C272</f>
        <v>19.619554427615387</v>
      </c>
      <c r="I272" s="635">
        <f t="shared" si="12"/>
        <v>19.792426182083531</v>
      </c>
      <c r="J272" s="149">
        <f t="shared" si="13"/>
        <v>0</v>
      </c>
      <c r="K272" s="41">
        <f t="shared" si="14"/>
        <v>0</v>
      </c>
      <c r="L272" s="159"/>
    </row>
    <row r="273" spans="1:12" x14ac:dyDescent="0.25">
      <c r="A273" s="37">
        <f>Données!A273</f>
        <v>5890</v>
      </c>
      <c r="B273" s="125" t="str">
        <f>Données!B273</f>
        <v>Vevey</v>
      </c>
      <c r="C273" s="247">
        <f>VPI!R273</f>
        <v>1064325.313736018</v>
      </c>
      <c r="D273" s="633">
        <f>(PCS!I279-PCS!F279)/C273</f>
        <v>11.850704208891338</v>
      </c>
      <c r="E273" s="634">
        <f>'Péréquation directe'!E279/C273</f>
        <v>-15.16482293643981</v>
      </c>
      <c r="F273" s="633">
        <f>'Péréquation directe'!F279/Effort!C273</f>
        <v>0</v>
      </c>
      <c r="G273" s="633">
        <f>'Péréquation directe'!G279/Effort!C273</f>
        <v>-2.8089754776170159</v>
      </c>
      <c r="H273" s="633">
        <f>'Péréquation directe'!J279/Effort!C273</f>
        <v>19.619554427615387</v>
      </c>
      <c r="I273" s="635">
        <f t="shared" si="12"/>
        <v>13.496460222449899</v>
      </c>
      <c r="J273" s="149">
        <f t="shared" si="13"/>
        <v>0</v>
      </c>
      <c r="K273" s="41">
        <f t="shared" si="14"/>
        <v>0</v>
      </c>
      <c r="L273" s="159"/>
    </row>
    <row r="274" spans="1:12" x14ac:dyDescent="0.25">
      <c r="A274" s="37">
        <f>Données!A274</f>
        <v>5891</v>
      </c>
      <c r="B274" s="125" t="str">
        <f>Données!B274</f>
        <v>Veytaux</v>
      </c>
      <c r="C274" s="247">
        <f>VPI!R274</f>
        <v>41068.156987654322</v>
      </c>
      <c r="D274" s="633">
        <f>(PCS!I280-PCS!F280)/C274</f>
        <v>11.042630695993058</v>
      </c>
      <c r="E274" s="634">
        <f>'Péréquation directe'!E280/C274</f>
        <v>-3.6263231509384175</v>
      </c>
      <c r="F274" s="633">
        <f>'Péréquation directe'!F280/Effort!C274</f>
        <v>-4.8993796057722836</v>
      </c>
      <c r="G274" s="633">
        <f>'Péréquation directe'!G280/Effort!C274</f>
        <v>-14.580521672261979</v>
      </c>
      <c r="H274" s="633">
        <f>'Péréquation directe'!J280/Effort!C274</f>
        <v>19.619554427615387</v>
      </c>
      <c r="I274" s="635">
        <f t="shared" si="12"/>
        <v>7.5559606946357647</v>
      </c>
      <c r="J274" s="149">
        <f t="shared" si="13"/>
        <v>0</v>
      </c>
      <c r="K274" s="41">
        <f t="shared" si="14"/>
        <v>0</v>
      </c>
      <c r="L274" s="159"/>
    </row>
    <row r="275" spans="1:12" x14ac:dyDescent="0.25">
      <c r="A275" s="37">
        <f>Données!A275</f>
        <v>5892</v>
      </c>
      <c r="B275" s="125" t="str">
        <f>Données!B275</f>
        <v>Blonay - Saint-Légier</v>
      </c>
      <c r="C275" s="247">
        <f>VPI!R275</f>
        <v>755904.99576642353</v>
      </c>
      <c r="D275" s="633">
        <f>(PCS!I281-PCS!F281)/C275</f>
        <v>13.534799388564833</v>
      </c>
      <c r="E275" s="634">
        <f>'Péréquation directe'!E281/C275</f>
        <v>-10.182161147207912</v>
      </c>
      <c r="F275" s="633">
        <f>'Péréquation directe'!F281/Effort!C275</f>
        <v>0</v>
      </c>
      <c r="G275" s="633">
        <f>'Péréquation directe'!G281/Effort!C275</f>
        <v>-3.3083026787393131</v>
      </c>
      <c r="H275" s="633">
        <f>'Péréquation directe'!J281/Effort!C275</f>
        <v>19.619554427615387</v>
      </c>
      <c r="I275" s="635">
        <f t="shared" si="12"/>
        <v>19.663889990232995</v>
      </c>
      <c r="J275" s="149">
        <f t="shared" si="13"/>
        <v>0</v>
      </c>
      <c r="K275" s="41">
        <f t="shared" si="14"/>
        <v>0</v>
      </c>
      <c r="L275" s="159"/>
    </row>
    <row r="276" spans="1:12" x14ac:dyDescent="0.25">
      <c r="A276" s="37">
        <f>Données!A276</f>
        <v>5902</v>
      </c>
      <c r="B276" s="125" t="str">
        <f>Données!B276</f>
        <v>Belmont-sur-Yverdon</v>
      </c>
      <c r="C276" s="247">
        <f>VPI!R276</f>
        <v>12357.530428571426</v>
      </c>
      <c r="D276" s="633">
        <f>(PCS!I282-PCS!F282)/C276</f>
        <v>11.042630695993056</v>
      </c>
      <c r="E276" s="634">
        <f>'Péréquation directe'!E282/C276</f>
        <v>-4.7865978166846466</v>
      </c>
      <c r="F276" s="633">
        <f>'Péréquation directe'!F282/Effort!C276</f>
        <v>-15.657962721021708</v>
      </c>
      <c r="G276" s="633">
        <f>'Péréquation directe'!G282/Effort!C276</f>
        <v>-1.8730731408870827</v>
      </c>
      <c r="H276" s="633">
        <f>'Péréquation directe'!J282/Effort!C276</f>
        <v>19.619554427615387</v>
      </c>
      <c r="I276" s="635">
        <f t="shared" si="12"/>
        <v>8.3445514450150071</v>
      </c>
      <c r="J276" s="149">
        <f t="shared" si="13"/>
        <v>0</v>
      </c>
      <c r="K276" s="41">
        <f t="shared" si="14"/>
        <v>0</v>
      </c>
      <c r="L276" s="159"/>
    </row>
    <row r="277" spans="1:12" x14ac:dyDescent="0.25">
      <c r="A277" s="37">
        <f>Données!A277</f>
        <v>5903</v>
      </c>
      <c r="B277" s="125" t="str">
        <f>Données!B277</f>
        <v>Bioley-Magnoux</v>
      </c>
      <c r="C277" s="247">
        <f>VPI!R277</f>
        <v>7020.1331746031747</v>
      </c>
      <c r="D277" s="633">
        <f>(PCS!I283-PCS!F283)/C277</f>
        <v>11.042630695993056</v>
      </c>
      <c r="E277" s="634">
        <f>'Péréquation directe'!E283/C277</f>
        <v>-4.8661600427867651</v>
      </c>
      <c r="F277" s="633">
        <f>'Péréquation directe'!F283/Effort!C277</f>
        <v>-17.18533305579971</v>
      </c>
      <c r="G277" s="633">
        <f>'Péréquation directe'!G283/Effort!C277</f>
        <v>-28.900889419932049</v>
      </c>
      <c r="H277" s="633">
        <f>'Péréquation directe'!J283/Effort!C277</f>
        <v>19.619554427615387</v>
      </c>
      <c r="I277" s="635">
        <f t="shared" si="12"/>
        <v>-20.290197394910077</v>
      </c>
      <c r="J277" s="149">
        <f t="shared" si="13"/>
        <v>0</v>
      </c>
      <c r="K277" s="41">
        <f t="shared" si="14"/>
        <v>0</v>
      </c>
      <c r="L277" s="159"/>
    </row>
    <row r="278" spans="1:12" x14ac:dyDescent="0.25">
      <c r="A278" s="37">
        <f>Données!A278</f>
        <v>5904</v>
      </c>
      <c r="B278" s="125" t="str">
        <f>Données!B278</f>
        <v>Chamblon</v>
      </c>
      <c r="C278" s="247">
        <f>VPI!R278</f>
        <v>17094.436818181817</v>
      </c>
      <c r="D278" s="633">
        <f>(PCS!I284-PCS!F284)/C278</f>
        <v>11.042630695993056</v>
      </c>
      <c r="E278" s="634">
        <f>'Péréquation directe'!E284/C278</f>
        <v>-4.3077806710028002</v>
      </c>
      <c r="F278" s="633">
        <f>'Péréquation directe'!F284/Effort!C278</f>
        <v>-10.785092753554331</v>
      </c>
      <c r="G278" s="633">
        <f>'Péréquation directe'!G284/Effort!C278</f>
        <v>-0.29970794123099853</v>
      </c>
      <c r="H278" s="633">
        <f>'Péréquation directe'!J284/Effort!C278</f>
        <v>19.619554427615387</v>
      </c>
      <c r="I278" s="635">
        <f t="shared" si="12"/>
        <v>15.269603757820313</v>
      </c>
      <c r="J278" s="149">
        <f t="shared" si="13"/>
        <v>0</v>
      </c>
      <c r="K278" s="41">
        <f t="shared" si="14"/>
        <v>0</v>
      </c>
      <c r="L278" s="159"/>
    </row>
    <row r="279" spans="1:12" x14ac:dyDescent="0.25">
      <c r="A279" s="37">
        <f>Données!A279</f>
        <v>5905</v>
      </c>
      <c r="B279" s="125" t="str">
        <f>Données!B279</f>
        <v>Champvent</v>
      </c>
      <c r="C279" s="247">
        <f>VPI!R279</f>
        <v>21074.306571428569</v>
      </c>
      <c r="D279" s="633">
        <f>(PCS!I285-PCS!F285)/C279</f>
        <v>11.042630695993054</v>
      </c>
      <c r="E279" s="634">
        <f>'Péréquation directe'!E285/C279</f>
        <v>-4.5728118124095616</v>
      </c>
      <c r="F279" s="633">
        <f>'Péréquation directe'!F285/Effort!C279</f>
        <v>-14.08365960977209</v>
      </c>
      <c r="G279" s="633">
        <f>'Péréquation directe'!G285/Effort!C279</f>
        <v>-5.4878904323186344</v>
      </c>
      <c r="H279" s="633">
        <f>'Péréquation directe'!J285/Effort!C279</f>
        <v>19.619554427615387</v>
      </c>
      <c r="I279" s="635">
        <f t="shared" si="12"/>
        <v>6.5178232691081561</v>
      </c>
      <c r="J279" s="149">
        <f t="shared" si="13"/>
        <v>0</v>
      </c>
      <c r="K279" s="41">
        <f t="shared" si="14"/>
        <v>0</v>
      </c>
      <c r="L279" s="159"/>
    </row>
    <row r="280" spans="1:12" x14ac:dyDescent="0.25">
      <c r="A280" s="37">
        <f>Données!A280</f>
        <v>5907</v>
      </c>
      <c r="B280" s="125" t="str">
        <f>Données!B280</f>
        <v>Chavannes-le-Chêne</v>
      </c>
      <c r="C280" s="247">
        <f>VPI!R280</f>
        <v>7797.3521333333319</v>
      </c>
      <c r="D280" s="633">
        <f>(PCS!I286-PCS!F286)/C280</f>
        <v>11.042630695993056</v>
      </c>
      <c r="E280" s="634">
        <f>'Péréquation directe'!E286/C280</f>
        <v>-5.4891783269676324</v>
      </c>
      <c r="F280" s="633">
        <f>'Péréquation directe'!F286/Effort!C280</f>
        <v>-23.913952405223181</v>
      </c>
      <c r="G280" s="633">
        <f>'Péréquation directe'!G286/Effort!C280</f>
        <v>-8.9296715338341794</v>
      </c>
      <c r="H280" s="633">
        <f>'Péréquation directe'!J286/Effort!C280</f>
        <v>19.619554427615384</v>
      </c>
      <c r="I280" s="635">
        <f t="shared" si="12"/>
        <v>-7.6706171424165532</v>
      </c>
      <c r="J280" s="149">
        <f t="shared" si="13"/>
        <v>0</v>
      </c>
      <c r="K280" s="41">
        <f t="shared" si="14"/>
        <v>0</v>
      </c>
      <c r="L280" s="159"/>
    </row>
    <row r="281" spans="1:12" x14ac:dyDescent="0.25">
      <c r="A281" s="37">
        <f>Données!A281</f>
        <v>5908</v>
      </c>
      <c r="B281" s="125" t="str">
        <f>Données!B281</f>
        <v>Chêne-Pâquier</v>
      </c>
      <c r="C281" s="247">
        <f>VPI!R281</f>
        <v>5664.0389333333333</v>
      </c>
      <c r="D281" s="633">
        <f>(PCS!I287-PCS!F287)/C281</f>
        <v>11.042630695993056</v>
      </c>
      <c r="E281" s="634">
        <f>'Péréquation directe'!E287/C281</f>
        <v>-4.0599294712150211</v>
      </c>
      <c r="F281" s="633">
        <f>'Péréquation directe'!F287/Effort!C281</f>
        <v>-11.831825767869782</v>
      </c>
      <c r="G281" s="633">
        <f>'Péréquation directe'!G287/Effort!C281</f>
        <v>-4.5959778025804523</v>
      </c>
      <c r="H281" s="633">
        <f>'Péréquation directe'!J287/Effort!C281</f>
        <v>19.619554427615387</v>
      </c>
      <c r="I281" s="635">
        <f t="shared" si="12"/>
        <v>10.174452081943187</v>
      </c>
      <c r="J281" s="149">
        <f t="shared" si="13"/>
        <v>0</v>
      </c>
      <c r="K281" s="41">
        <f t="shared" si="14"/>
        <v>0</v>
      </c>
      <c r="L281" s="159"/>
    </row>
    <row r="282" spans="1:12" x14ac:dyDescent="0.25">
      <c r="A282" s="37">
        <f>Données!A282</f>
        <v>5909</v>
      </c>
      <c r="B282" s="125" t="str">
        <f>Données!B282</f>
        <v>Cheseaux-Noréaz</v>
      </c>
      <c r="C282" s="247">
        <f>VPI!R282</f>
        <v>31504.478358208951</v>
      </c>
      <c r="D282" s="633">
        <f>(PCS!I288-PCS!F288)/C282</f>
        <v>11.042630695993056</v>
      </c>
      <c r="E282" s="634">
        <f>'Péréquation directe'!E288/C282</f>
        <v>-3.0968657768506866</v>
      </c>
      <c r="F282" s="633">
        <f>'Péréquation directe'!F288/Effort!C282</f>
        <v>-2.9452517140622581</v>
      </c>
      <c r="G282" s="633">
        <f>'Péréquation directe'!G288/Effort!C282</f>
        <v>-3.0854866717390816</v>
      </c>
      <c r="H282" s="633">
        <f>'Péréquation directe'!J288/Effort!C282</f>
        <v>19.619554427615387</v>
      </c>
      <c r="I282" s="635">
        <f t="shared" si="12"/>
        <v>21.534580960956418</v>
      </c>
      <c r="J282" s="149">
        <f t="shared" si="13"/>
        <v>0</v>
      </c>
      <c r="K282" s="41">
        <f t="shared" si="14"/>
        <v>0</v>
      </c>
      <c r="L282" s="159"/>
    </row>
    <row r="283" spans="1:12" x14ac:dyDescent="0.25">
      <c r="A283" s="37">
        <f>Données!A283</f>
        <v>5910</v>
      </c>
      <c r="B283" s="125" t="str">
        <f>Données!B283</f>
        <v>Cronay</v>
      </c>
      <c r="C283" s="247">
        <f>VPI!R283</f>
        <v>11511.156533333333</v>
      </c>
      <c r="D283" s="633">
        <f>(PCS!I289-PCS!F289)/C283</f>
        <v>11.042630695993058</v>
      </c>
      <c r="E283" s="634">
        <f>'Péréquation directe'!E289/C283</f>
        <v>-4.9075935420739238</v>
      </c>
      <c r="F283" s="633">
        <f>'Péréquation directe'!F289/Effort!C283</f>
        <v>-18.997537049589695</v>
      </c>
      <c r="G283" s="633">
        <f>'Péréquation directe'!G289/Effort!C283</f>
        <v>-12.363730252644583</v>
      </c>
      <c r="H283" s="633">
        <f>'Péréquation directe'!J289/Effort!C283</f>
        <v>19.619554427615387</v>
      </c>
      <c r="I283" s="635">
        <f t="shared" si="12"/>
        <v>-5.6066757206997586</v>
      </c>
      <c r="J283" s="149">
        <f t="shared" si="13"/>
        <v>0</v>
      </c>
      <c r="K283" s="41">
        <f t="shared" si="14"/>
        <v>0</v>
      </c>
      <c r="L283" s="159"/>
    </row>
    <row r="284" spans="1:12" x14ac:dyDescent="0.25">
      <c r="A284" s="37">
        <f>Données!A284</f>
        <v>5911</v>
      </c>
      <c r="B284" s="125" t="str">
        <f>Données!B284</f>
        <v>Cuarny</v>
      </c>
      <c r="C284" s="247">
        <f>VPI!R284</f>
        <v>7072.9457142857154</v>
      </c>
      <c r="D284" s="633">
        <f>(PCS!I290-PCS!F290)/C284</f>
        <v>11.04263069599306</v>
      </c>
      <c r="E284" s="634">
        <f>'Péréquation directe'!E290/C284</f>
        <v>-4.529135706670778</v>
      </c>
      <c r="F284" s="633">
        <f>'Péréquation directe'!F290/Effort!C284</f>
        <v>-16.652059016610277</v>
      </c>
      <c r="G284" s="633">
        <f>'Péréquation directe'!G290/Effort!C284</f>
        <v>-10.35034780965985</v>
      </c>
      <c r="H284" s="633">
        <f>'Péréquation directe'!J290/Effort!C284</f>
        <v>19.619554427615387</v>
      </c>
      <c r="I284" s="635">
        <f t="shared" si="12"/>
        <v>-0.86935740933245498</v>
      </c>
      <c r="J284" s="149">
        <f t="shared" si="13"/>
        <v>0</v>
      </c>
      <c r="K284" s="41">
        <f t="shared" si="14"/>
        <v>0</v>
      </c>
      <c r="L284" s="159"/>
    </row>
    <row r="285" spans="1:12" x14ac:dyDescent="0.25">
      <c r="A285" s="37">
        <f>Données!A285</f>
        <v>5912</v>
      </c>
      <c r="B285" s="125" t="str">
        <f>Données!B285</f>
        <v>Démoret</v>
      </c>
      <c r="C285" s="247">
        <f>VPI!R285</f>
        <v>4054.1132051282052</v>
      </c>
      <c r="D285" s="633">
        <f>(PCS!I291-PCS!F291)/C285</f>
        <v>11.042630695993056</v>
      </c>
      <c r="E285" s="634">
        <f>'Péréquation directe'!E291/C285</f>
        <v>-5.6393778120004487</v>
      </c>
      <c r="F285" s="633">
        <f>'Péréquation directe'!F291/Effort!C285</f>
        <v>-27.238647467290772</v>
      </c>
      <c r="G285" s="633">
        <f>'Péréquation directe'!G291/Effort!C285</f>
        <v>-9.6150505830628941</v>
      </c>
      <c r="H285" s="633">
        <f>'Péréquation directe'!J291/Effort!C285</f>
        <v>19.619554427615387</v>
      </c>
      <c r="I285" s="635">
        <f t="shared" si="12"/>
        <v>-11.830890738745669</v>
      </c>
      <c r="J285" s="149">
        <f t="shared" si="13"/>
        <v>0</v>
      </c>
      <c r="K285" s="41">
        <f t="shared" si="14"/>
        <v>0</v>
      </c>
      <c r="L285" s="159"/>
    </row>
    <row r="286" spans="1:12" s="146" customFormat="1" x14ac:dyDescent="0.25">
      <c r="A286" s="37">
        <f>Données!A286</f>
        <v>5913</v>
      </c>
      <c r="B286" s="125" t="str">
        <f>Données!B286</f>
        <v>Donneloye</v>
      </c>
      <c r="C286" s="247">
        <f>VPI!R286</f>
        <v>21866.794931506847</v>
      </c>
      <c r="D286" s="633">
        <f>(PCS!I292-PCS!F292)/C286</f>
        <v>11.042630695993058</v>
      </c>
      <c r="E286" s="634">
        <f>'Péréquation directe'!E292/C286</f>
        <v>-5.5742034976102879</v>
      </c>
      <c r="F286" s="633">
        <f>'Péréquation directe'!F292/Effort!C286</f>
        <v>-23.336482994512199</v>
      </c>
      <c r="G286" s="633">
        <f>'Péréquation directe'!G292/Effort!C286</f>
        <v>-3.8534281257569671</v>
      </c>
      <c r="H286" s="633">
        <f>'Péréquation directe'!J292/Effort!C286</f>
        <v>19.619554427615387</v>
      </c>
      <c r="I286" s="635">
        <f t="shared" si="12"/>
        <v>-2.1019294942710083</v>
      </c>
      <c r="J286" s="149">
        <f t="shared" si="13"/>
        <v>0</v>
      </c>
      <c r="K286" s="41">
        <f t="shared" si="14"/>
        <v>0</v>
      </c>
      <c r="L286" s="159"/>
    </row>
    <row r="287" spans="1:12" s="146" customFormat="1" x14ac:dyDescent="0.25">
      <c r="A287" s="37">
        <f>Données!A287</f>
        <v>5914</v>
      </c>
      <c r="B287" s="125" t="str">
        <f>Données!B287</f>
        <v>Ependes</v>
      </c>
      <c r="C287" s="247">
        <f>VPI!R287</f>
        <v>10606.318639455782</v>
      </c>
      <c r="D287" s="633">
        <f>(PCS!I293-PCS!F293)/C287</f>
        <v>11.042630695993056</v>
      </c>
      <c r="E287" s="634">
        <f>'Péréquation directe'!E293/C287</f>
        <v>-4.7748410770064806</v>
      </c>
      <c r="F287" s="633">
        <f>'Péréquation directe'!F293/Effort!C287</f>
        <v>-17.167454196435951</v>
      </c>
      <c r="G287" s="633">
        <f>'Péréquation directe'!G293/Effort!C287</f>
        <v>-7.0578896380904155</v>
      </c>
      <c r="H287" s="633">
        <f>'Péréquation directe'!J293/Effort!C287</f>
        <v>19.619554427615387</v>
      </c>
      <c r="I287" s="635">
        <f t="shared" si="12"/>
        <v>1.662000212075597</v>
      </c>
      <c r="J287" s="149">
        <f t="shared" si="13"/>
        <v>0</v>
      </c>
      <c r="K287" s="41">
        <f t="shared" si="14"/>
        <v>0</v>
      </c>
      <c r="L287" s="159"/>
    </row>
    <row r="288" spans="1:12" s="146" customFormat="1" x14ac:dyDescent="0.25">
      <c r="A288" s="37">
        <f>Données!A288</f>
        <v>5919</v>
      </c>
      <c r="B288" s="125" t="str">
        <f>Données!B288</f>
        <v>Mathod</v>
      </c>
      <c r="C288" s="247">
        <f>VPI!R288</f>
        <v>21430.97550925926</v>
      </c>
      <c r="D288" s="633">
        <f>(PCS!I294-PCS!F294)/C288</f>
        <v>11.042630695993056</v>
      </c>
      <c r="E288" s="634">
        <f>'Péréquation directe'!E294/C288</f>
        <v>-4.4967079537062054</v>
      </c>
      <c r="F288" s="633">
        <f>'Péréquation directe'!F294/Effort!C288</f>
        <v>-14.307032623307082</v>
      </c>
      <c r="G288" s="633">
        <f>'Péréquation directe'!G294/Effort!C288</f>
        <v>-7.1973117599006287</v>
      </c>
      <c r="H288" s="633">
        <f>'Péréquation directe'!J294/Effort!C288</f>
        <v>19.619554427615387</v>
      </c>
      <c r="I288" s="635">
        <f t="shared" si="12"/>
        <v>4.6611327866945267</v>
      </c>
      <c r="J288" s="149">
        <f t="shared" si="13"/>
        <v>0</v>
      </c>
      <c r="K288" s="41">
        <f t="shared" si="14"/>
        <v>0</v>
      </c>
      <c r="L288" s="159"/>
    </row>
    <row r="289" spans="1:12" s="146" customFormat="1" x14ac:dyDescent="0.25">
      <c r="A289" s="37">
        <f>Données!A289</f>
        <v>5921</v>
      </c>
      <c r="B289" s="125" t="str">
        <f>Données!B289</f>
        <v>Molondin</v>
      </c>
      <c r="C289" s="247">
        <f>VPI!R289</f>
        <v>8425.9467901234584</v>
      </c>
      <c r="D289" s="633">
        <f>(PCS!I295-PCS!F295)/C289</f>
        <v>11.042630695993056</v>
      </c>
      <c r="E289" s="634">
        <f>'Péréquation directe'!E295/C289</f>
        <v>-4.2435779458924259</v>
      </c>
      <c r="F289" s="633">
        <f>'Péréquation directe'!F295/Effort!C289</f>
        <v>-15.611441079354512</v>
      </c>
      <c r="G289" s="633">
        <f>'Péréquation directe'!G295/Effort!C289</f>
        <v>-2.231884454700829</v>
      </c>
      <c r="H289" s="633">
        <f>'Péréquation directe'!J295/Effort!C289</f>
        <v>19.619554427615387</v>
      </c>
      <c r="I289" s="635">
        <f t="shared" si="12"/>
        <v>8.5752816436606771</v>
      </c>
      <c r="J289" s="149">
        <f t="shared" si="13"/>
        <v>0</v>
      </c>
      <c r="K289" s="41">
        <f t="shared" si="14"/>
        <v>0</v>
      </c>
      <c r="L289" s="159"/>
    </row>
    <row r="290" spans="1:12" s="146" customFormat="1" x14ac:dyDescent="0.25">
      <c r="A290" s="37">
        <f>Données!A290</f>
        <v>5922</v>
      </c>
      <c r="B290" s="125" t="str">
        <f>Données!B290</f>
        <v>Montagny-près-Yverdon</v>
      </c>
      <c r="C290" s="247">
        <f>VPI!R290</f>
        <v>40785.058217054269</v>
      </c>
      <c r="D290" s="633">
        <f>(PCS!I296-PCS!F296)/C290</f>
        <v>11.568347580350455</v>
      </c>
      <c r="E290" s="634">
        <f>'Péréquation directe'!E296/C290</f>
        <v>-2.5518743780265631</v>
      </c>
      <c r="F290" s="633">
        <f>'Péréquation directe'!F296/Effort!C290</f>
        <v>0</v>
      </c>
      <c r="G290" s="633">
        <f>'Péréquation directe'!G296/Effort!C290</f>
        <v>-4.3162122381214481</v>
      </c>
      <c r="H290" s="633">
        <f>'Péréquation directe'!J296/Effort!C290</f>
        <v>19.619554427615387</v>
      </c>
      <c r="I290" s="635">
        <f t="shared" si="12"/>
        <v>24.319815391817833</v>
      </c>
      <c r="J290" s="149">
        <f t="shared" si="13"/>
        <v>0</v>
      </c>
      <c r="K290" s="41">
        <f t="shared" si="14"/>
        <v>0</v>
      </c>
      <c r="L290" s="159"/>
    </row>
    <row r="291" spans="1:12" s="146" customFormat="1" x14ac:dyDescent="0.25">
      <c r="A291" s="37">
        <f>Données!A291</f>
        <v>5923</v>
      </c>
      <c r="B291" s="125" t="str">
        <f>Données!B291</f>
        <v>Oppens</v>
      </c>
      <c r="C291" s="247">
        <f>VPI!R291</f>
        <v>5683.6511392405064</v>
      </c>
      <c r="D291" s="633">
        <f>(PCS!I297-PCS!F297)/C291</f>
        <v>11.042630695993056</v>
      </c>
      <c r="E291" s="634">
        <f>'Péréquation directe'!E297/C291</f>
        <v>-4.7241379625323034</v>
      </c>
      <c r="F291" s="633">
        <f>'Péréquation directe'!F297/Effort!C291</f>
        <v>-19.357306364363161</v>
      </c>
      <c r="G291" s="633">
        <f>'Péréquation directe'!G297/Effort!C291</f>
        <v>-19.959813873065176</v>
      </c>
      <c r="H291" s="633">
        <f>'Péréquation directe'!J297/Effort!C291</f>
        <v>19.619554427615387</v>
      </c>
      <c r="I291" s="635">
        <f t="shared" si="12"/>
        <v>-13.379073076352196</v>
      </c>
      <c r="J291" s="149">
        <f t="shared" si="13"/>
        <v>0</v>
      </c>
      <c r="K291" s="41">
        <f t="shared" si="14"/>
        <v>0</v>
      </c>
      <c r="L291" s="159"/>
    </row>
    <row r="292" spans="1:12" s="146" customFormat="1" x14ac:dyDescent="0.25">
      <c r="A292" s="37">
        <f>Données!A292</f>
        <v>5924</v>
      </c>
      <c r="B292" s="125" t="str">
        <f>Données!B292</f>
        <v>Orges</v>
      </c>
      <c r="C292" s="247">
        <f>VPI!R292</f>
        <v>13265.35135135135</v>
      </c>
      <c r="D292" s="633">
        <f>(PCS!I298-PCS!F298)/C292</f>
        <v>11.042630695993056</v>
      </c>
      <c r="E292" s="634">
        <f>'Péréquation directe'!E298/C292</f>
        <v>-4.2485987319013692</v>
      </c>
      <c r="F292" s="633">
        <f>'Péréquation directe'!F298/Effort!C292</f>
        <v>-13.071078232142067</v>
      </c>
      <c r="G292" s="633">
        <f>'Péréquation directe'!G298/Effort!C292</f>
        <v>-6.8602855607436783</v>
      </c>
      <c r="H292" s="633">
        <f>'Péréquation directe'!J298/Effort!C292</f>
        <v>19.619554427615387</v>
      </c>
      <c r="I292" s="635">
        <f t="shared" si="12"/>
        <v>6.4822225988213287</v>
      </c>
      <c r="J292" s="149">
        <f t="shared" si="13"/>
        <v>0</v>
      </c>
      <c r="K292" s="41">
        <f t="shared" si="14"/>
        <v>0</v>
      </c>
      <c r="L292" s="159"/>
    </row>
    <row r="293" spans="1:12" s="146" customFormat="1" x14ac:dyDescent="0.25">
      <c r="A293" s="37">
        <f>Données!A293</f>
        <v>5925</v>
      </c>
      <c r="B293" s="125" t="str">
        <f>Données!B293</f>
        <v>Orzens</v>
      </c>
      <c r="C293" s="247">
        <f>VPI!R293</f>
        <v>5055.3741772151898</v>
      </c>
      <c r="D293" s="633">
        <f>(PCS!I299-PCS!F299)/C293</f>
        <v>11.042630695993058</v>
      </c>
      <c r="E293" s="634">
        <f>'Péréquation directe'!E299/C293</f>
        <v>-5.6793555925171351</v>
      </c>
      <c r="F293" s="633">
        <f>'Péréquation directe'!F299/Effort!C293</f>
        <v>-28.3165122191566</v>
      </c>
      <c r="G293" s="633">
        <f>'Péréquation directe'!G299/Effort!C293</f>
        <v>-1.3664964478233426</v>
      </c>
      <c r="H293" s="633">
        <f>'Péréquation directe'!J299/Effort!C293</f>
        <v>19.619554427615387</v>
      </c>
      <c r="I293" s="635">
        <f t="shared" si="12"/>
        <v>-4.7001791358886358</v>
      </c>
      <c r="J293" s="149">
        <f t="shared" si="13"/>
        <v>0</v>
      </c>
      <c r="K293" s="41">
        <f t="shared" si="14"/>
        <v>0</v>
      </c>
      <c r="L293" s="159"/>
    </row>
    <row r="294" spans="1:12" x14ac:dyDescent="0.25">
      <c r="A294" s="37">
        <f>Données!A294</f>
        <v>5926</v>
      </c>
      <c r="B294" s="125" t="str">
        <f>Données!B294</f>
        <v>Pomy</v>
      </c>
      <c r="C294" s="247">
        <f>VPI!R294</f>
        <v>26646.407887323945</v>
      </c>
      <c r="D294" s="633">
        <f>(PCS!I300-PCS!F300)/C294</f>
        <v>11.042630695993058</v>
      </c>
      <c r="E294" s="634">
        <f>'Péréquation directe'!E300/C294</f>
        <v>-4.3748134410168307</v>
      </c>
      <c r="F294" s="633">
        <f>'Péréquation directe'!F300/Effort!C294</f>
        <v>-12.988923893773883</v>
      </c>
      <c r="G294" s="633">
        <f>'Péréquation directe'!G300/Effort!C294</f>
        <v>-3.7349265798832043</v>
      </c>
      <c r="H294" s="633">
        <f>'Péréquation directe'!J300/Effort!C294</f>
        <v>19.619554427615387</v>
      </c>
      <c r="I294" s="635">
        <f t="shared" si="12"/>
        <v>9.5635212089345281</v>
      </c>
      <c r="J294" s="149">
        <f t="shared" si="13"/>
        <v>0</v>
      </c>
      <c r="K294" s="41">
        <f t="shared" si="14"/>
        <v>0</v>
      </c>
      <c r="L294" s="159"/>
    </row>
    <row r="295" spans="1:12" x14ac:dyDescent="0.25">
      <c r="A295" s="37">
        <f>Données!A295</f>
        <v>5928</v>
      </c>
      <c r="B295" s="125" t="str">
        <f>Données!B295</f>
        <v>Rovray</v>
      </c>
      <c r="C295" s="247">
        <f>VPI!R295</f>
        <v>5997.0809589041082</v>
      </c>
      <c r="D295" s="633">
        <f>(PCS!I301-PCS!F301)/C295</f>
        <v>11.042630695993056</v>
      </c>
      <c r="E295" s="634">
        <f>'Péréquation directe'!E301/C295</f>
        <v>-4.3220851183796123</v>
      </c>
      <c r="F295" s="633">
        <f>'Péréquation directe'!F301/Effort!C295</f>
        <v>-13.308718771885509</v>
      </c>
      <c r="G295" s="633">
        <f>'Péréquation directe'!G301/Effort!C295</f>
        <v>-2.3642269427867015</v>
      </c>
      <c r="H295" s="633">
        <f>'Péréquation directe'!J301/Effort!C295</f>
        <v>19.619554427615387</v>
      </c>
      <c r="I295" s="635">
        <f t="shared" si="12"/>
        <v>10.667154290556621</v>
      </c>
      <c r="J295" s="149">
        <f t="shared" si="13"/>
        <v>0</v>
      </c>
      <c r="K295" s="41">
        <f t="shared" si="14"/>
        <v>0</v>
      </c>
      <c r="L295" s="159"/>
    </row>
    <row r="296" spans="1:12" x14ac:dyDescent="0.25">
      <c r="A296" s="37">
        <f>Données!A296</f>
        <v>5929</v>
      </c>
      <c r="B296" s="125" t="str">
        <f>Données!B296</f>
        <v>Suchy</v>
      </c>
      <c r="C296" s="247">
        <f>VPI!R296</f>
        <v>22958.537249999998</v>
      </c>
      <c r="D296" s="633">
        <f>(PCS!I302-PCS!F302)/C296</f>
        <v>11.042630695993056</v>
      </c>
      <c r="E296" s="634">
        <f>'Péréquation directe'!E302/C296</f>
        <v>-3.8790841777844225</v>
      </c>
      <c r="F296" s="633">
        <f>'Péréquation directe'!F302/Effort!C296</f>
        <v>-8.9751045513927625</v>
      </c>
      <c r="G296" s="633">
        <f>'Péréquation directe'!G302/Effort!C296</f>
        <v>-0.45120917245276632</v>
      </c>
      <c r="H296" s="633">
        <f>'Péréquation directe'!J302/Effort!C296</f>
        <v>19.619554427615387</v>
      </c>
      <c r="I296" s="635">
        <f t="shared" si="12"/>
        <v>17.356787221978493</v>
      </c>
      <c r="J296" s="149">
        <f t="shared" si="13"/>
        <v>0</v>
      </c>
      <c r="K296" s="41">
        <f t="shared" si="14"/>
        <v>0</v>
      </c>
      <c r="L296" s="159"/>
    </row>
    <row r="297" spans="1:12" x14ac:dyDescent="0.25">
      <c r="A297" s="37">
        <f>Données!A297</f>
        <v>5930</v>
      </c>
      <c r="B297" s="125" t="str">
        <f>Données!B297</f>
        <v>Suscévaz</v>
      </c>
      <c r="C297" s="247">
        <f>VPI!R297</f>
        <v>5123.1661111111116</v>
      </c>
      <c r="D297" s="633">
        <f>(PCS!I303-PCS!F303)/C297</f>
        <v>11.042630695993056</v>
      </c>
      <c r="E297" s="634">
        <f>'Péréquation directe'!E303/C297</f>
        <v>-6.149057079517207</v>
      </c>
      <c r="F297" s="633">
        <f>'Péréquation directe'!F303/Effort!C297</f>
        <v>-27.18003387033367</v>
      </c>
      <c r="G297" s="633">
        <f>'Péréquation directe'!G303/Effort!C297</f>
        <v>-7.6325543515032868</v>
      </c>
      <c r="H297" s="633">
        <f>'Péréquation directe'!J303/Effort!C297</f>
        <v>19.619554427615387</v>
      </c>
      <c r="I297" s="635">
        <f t="shared" si="12"/>
        <v>-10.299460177745722</v>
      </c>
      <c r="J297" s="149">
        <f t="shared" si="13"/>
        <v>0</v>
      </c>
      <c r="K297" s="41">
        <f t="shared" si="14"/>
        <v>0</v>
      </c>
      <c r="L297" s="159"/>
    </row>
    <row r="298" spans="1:12" x14ac:dyDescent="0.25">
      <c r="A298" s="37">
        <f>Données!A298</f>
        <v>5931</v>
      </c>
      <c r="B298" s="125" t="str">
        <f>Données!B298</f>
        <v>Treycovagnes</v>
      </c>
      <c r="C298" s="247">
        <f>VPI!R298</f>
        <v>16489.594109589041</v>
      </c>
      <c r="D298" s="633">
        <f>(PCS!I304-PCS!F304)/C298</f>
        <v>11.042630695993056</v>
      </c>
      <c r="E298" s="634">
        <f>'Péréquation directe'!E304/C298</f>
        <v>-4.1352904207464274</v>
      </c>
      <c r="F298" s="633">
        <f>'Péréquation directe'!F304/Effort!C298</f>
        <v>-11.812747450824549</v>
      </c>
      <c r="G298" s="633">
        <f>'Péréquation directe'!G304/Effort!C298</f>
        <v>-2.7249739650990885</v>
      </c>
      <c r="H298" s="633">
        <f>'Péréquation directe'!J304/Effort!C298</f>
        <v>19.619554427615387</v>
      </c>
      <c r="I298" s="635">
        <f t="shared" si="12"/>
        <v>11.989173286938378</v>
      </c>
      <c r="J298" s="149">
        <f t="shared" si="13"/>
        <v>0</v>
      </c>
      <c r="K298" s="41">
        <f t="shared" si="14"/>
        <v>0</v>
      </c>
      <c r="L298" s="159"/>
    </row>
    <row r="299" spans="1:12" x14ac:dyDescent="0.25">
      <c r="A299" s="37">
        <f>Données!A299</f>
        <v>5932</v>
      </c>
      <c r="B299" s="125" t="str">
        <f>Données!B299</f>
        <v>Ursins</v>
      </c>
      <c r="C299" s="247">
        <f>VPI!R299</f>
        <v>9309.2870666666695</v>
      </c>
      <c r="D299" s="633">
        <f>(PCS!I305-PCS!F305)/C299</f>
        <v>11.042630695993056</v>
      </c>
      <c r="E299" s="634">
        <f>'Péréquation directe'!E305/C299</f>
        <v>-3.3268874922894565</v>
      </c>
      <c r="F299" s="633">
        <f>'Péréquation directe'!F305/Effort!C299</f>
        <v>-5.6350700494885579</v>
      </c>
      <c r="G299" s="633">
        <f>'Péréquation directe'!G305/Effort!C299</f>
        <v>-1.7131182390781114</v>
      </c>
      <c r="H299" s="633">
        <f>'Péréquation directe'!J305/Effort!C299</f>
        <v>19.619554427615387</v>
      </c>
      <c r="I299" s="635">
        <f t="shared" si="12"/>
        <v>19.987109342752319</v>
      </c>
      <c r="J299" s="149">
        <f t="shared" si="13"/>
        <v>0</v>
      </c>
      <c r="K299" s="41">
        <f t="shared" si="14"/>
        <v>0</v>
      </c>
      <c r="L299" s="159"/>
    </row>
    <row r="300" spans="1:12" x14ac:dyDescent="0.25">
      <c r="A300" s="37">
        <f>Données!A300</f>
        <v>5933</v>
      </c>
      <c r="B300" s="125" t="str">
        <f>Données!B300</f>
        <v>Valeyres-sous-Montagny</v>
      </c>
      <c r="C300" s="247">
        <f>VPI!R300</f>
        <v>23289.682127659577</v>
      </c>
      <c r="D300" s="633">
        <f>(PCS!I306-PCS!F306)/C300</f>
        <v>11.042630695993056</v>
      </c>
      <c r="E300" s="634">
        <f>'Péréquation directe'!E306/C300</f>
        <v>-4.0293941903012742</v>
      </c>
      <c r="F300" s="633">
        <f>'Péréquation directe'!F306/Effort!C300</f>
        <v>-10.226518122197632</v>
      </c>
      <c r="G300" s="633">
        <f>'Péréquation directe'!G306/Effort!C300</f>
        <v>-25.485068075941683</v>
      </c>
      <c r="H300" s="633">
        <f>'Péréquation directe'!J306/Effort!C300</f>
        <v>19.619554427615387</v>
      </c>
      <c r="I300" s="635">
        <f t="shared" si="12"/>
        <v>-9.0787952648321451</v>
      </c>
      <c r="J300" s="149">
        <f t="shared" si="13"/>
        <v>0</v>
      </c>
      <c r="K300" s="41">
        <f t="shared" si="14"/>
        <v>0</v>
      </c>
      <c r="L300" s="159"/>
    </row>
    <row r="301" spans="1:12" x14ac:dyDescent="0.25">
      <c r="A301" s="37">
        <f>Données!A301</f>
        <v>5934</v>
      </c>
      <c r="B301" s="125" t="str">
        <f>Données!B301</f>
        <v>Valeyres-sous-Ursins</v>
      </c>
      <c r="C301" s="247">
        <f>VPI!R301</f>
        <v>8590.653896103895</v>
      </c>
      <c r="D301" s="633">
        <f>(PCS!I307-PCS!F307)/C301</f>
        <v>11.042630695993056</v>
      </c>
      <c r="E301" s="634">
        <f>'Péréquation directe'!E307/C301</f>
        <v>-3.6516100740697057</v>
      </c>
      <c r="F301" s="633">
        <f>'Péréquation directe'!F307/Effort!C301</f>
        <v>-8.8330040727172676</v>
      </c>
      <c r="G301" s="633">
        <f>'Péréquation directe'!G307/Effort!C301</f>
        <v>-1.9621195784688987</v>
      </c>
      <c r="H301" s="633">
        <f>'Péréquation directe'!J307/Effort!C301</f>
        <v>19.619554427615387</v>
      </c>
      <c r="I301" s="635">
        <f t="shared" si="12"/>
        <v>16.21545139835257</v>
      </c>
      <c r="J301" s="149">
        <f t="shared" si="13"/>
        <v>0</v>
      </c>
      <c r="K301" s="41">
        <f t="shared" si="14"/>
        <v>0</v>
      </c>
      <c r="L301" s="159"/>
    </row>
    <row r="302" spans="1:12" x14ac:dyDescent="0.25">
      <c r="A302" s="37">
        <f>Données!A302</f>
        <v>5935</v>
      </c>
      <c r="B302" s="125" t="str">
        <f>Données!B302</f>
        <v>Villars-Epeney</v>
      </c>
      <c r="C302" s="247">
        <f>VPI!R302</f>
        <v>10030.652647058823</v>
      </c>
      <c r="D302" s="633">
        <f>(PCS!I308-PCS!F308)/C302</f>
        <v>21.048865281593855</v>
      </c>
      <c r="E302" s="634">
        <f>'Péréquation directe'!E308/C302</f>
        <v>-1.4311764456349949</v>
      </c>
      <c r="F302" s="633">
        <f>'Péréquation directe'!F308/Effort!C302</f>
        <v>0</v>
      </c>
      <c r="G302" s="633">
        <f>'Péréquation directe'!G308/Effort!C302</f>
        <v>0</v>
      </c>
      <c r="H302" s="633">
        <f>'Péréquation directe'!J308/Effort!C302</f>
        <v>19.619554427615387</v>
      </c>
      <c r="I302" s="635">
        <f t="shared" si="12"/>
        <v>39.237243263574243</v>
      </c>
      <c r="J302" s="149">
        <f t="shared" si="13"/>
        <v>0</v>
      </c>
      <c r="K302" s="41">
        <f t="shared" si="14"/>
        <v>0</v>
      </c>
      <c r="L302" s="159"/>
    </row>
    <row r="303" spans="1:12" x14ac:dyDescent="0.25">
      <c r="A303" s="37">
        <f>Données!A303</f>
        <v>5937</v>
      </c>
      <c r="B303" s="125" t="str">
        <f>Données!B303</f>
        <v>Vugelles-La Mothe</v>
      </c>
      <c r="C303" s="247">
        <f>VPI!R303</f>
        <v>4424.7368571428569</v>
      </c>
      <c r="D303" s="633">
        <f>(PCS!I309-PCS!F309)/C303</f>
        <v>11.042630695993056</v>
      </c>
      <c r="E303" s="634">
        <f>'Péréquation directe'!E309/C303</f>
        <v>-4.4159942855163283</v>
      </c>
      <c r="F303" s="633">
        <f>'Péréquation directe'!F309/Effort!C303</f>
        <v>-12.928867829441982</v>
      </c>
      <c r="G303" s="633">
        <f>'Péréquation directe'!G309/Effort!C303</f>
        <v>-2.5339485397231454</v>
      </c>
      <c r="H303" s="633">
        <f>'Péréquation directe'!J309/Effort!C303</f>
        <v>19.619554427615387</v>
      </c>
      <c r="I303" s="635">
        <f t="shared" si="12"/>
        <v>10.783374468926988</v>
      </c>
      <c r="J303" s="149">
        <f t="shared" si="13"/>
        <v>0</v>
      </c>
      <c r="K303" s="41">
        <f t="shared" si="14"/>
        <v>0</v>
      </c>
      <c r="L303" s="159"/>
    </row>
    <row r="304" spans="1:12" x14ac:dyDescent="0.25">
      <c r="A304" s="37">
        <f>Données!A304</f>
        <v>5938</v>
      </c>
      <c r="B304" s="125" t="str">
        <f>Données!B304</f>
        <v>Yverdon-les-Bains</v>
      </c>
      <c r="C304" s="247">
        <f>VPI!R304</f>
        <v>801823.39555555547</v>
      </c>
      <c r="D304" s="633">
        <f>(PCS!I310-PCS!F310)/C304</f>
        <v>11.042630695993056</v>
      </c>
      <c r="E304" s="634">
        <f>'Péréquation directe'!E310/C304</f>
        <v>-34.313635906414156</v>
      </c>
      <c r="F304" s="633">
        <f>'Péréquation directe'!F310/Effort!C304</f>
        <v>-20.017903043890012</v>
      </c>
      <c r="G304" s="633">
        <f>'Péréquation directe'!G310/Effort!C304</f>
        <v>-12.989612778523027</v>
      </c>
      <c r="H304" s="633">
        <f>'Péréquation directe'!J310/Effort!C304</f>
        <v>19.619554427615387</v>
      </c>
      <c r="I304" s="635">
        <f t="shared" si="12"/>
        <v>-36.658966605218751</v>
      </c>
      <c r="J304" s="149">
        <f t="shared" si="13"/>
        <v>0</v>
      </c>
      <c r="K304" s="41">
        <f t="shared" si="14"/>
        <v>0</v>
      </c>
      <c r="L304" s="159"/>
    </row>
    <row r="305" spans="1:14" x14ac:dyDescent="0.25">
      <c r="A305" s="37">
        <f>Données!A305</f>
        <v>5939</v>
      </c>
      <c r="B305" s="125" t="str">
        <f>Données!B305</f>
        <v>Yvonand</v>
      </c>
      <c r="C305" s="247">
        <f>VPI!R305</f>
        <v>95983.007692307685</v>
      </c>
      <c r="D305" s="636">
        <f>(PCS!I311-PCS!F311)/C305</f>
        <v>11.042630695993054</v>
      </c>
      <c r="E305" s="634">
        <f>'Péréquation directe'!E311/C305</f>
        <v>-12.048237330144707</v>
      </c>
      <c r="F305" s="633">
        <f>'Péréquation directe'!F311/Effort!C305</f>
        <v>-17.066203222786317</v>
      </c>
      <c r="G305" s="633">
        <f>'Péréquation directe'!G311/Effort!C305</f>
        <v>-5.9303197307239701</v>
      </c>
      <c r="H305" s="633">
        <f>'Péréquation directe'!J311/Effort!C305</f>
        <v>19.619554427615387</v>
      </c>
      <c r="I305" s="635">
        <f t="shared" si="12"/>
        <v>-4.3825751600465495</v>
      </c>
      <c r="J305" s="149">
        <f t="shared" si="13"/>
        <v>0</v>
      </c>
      <c r="K305" s="41">
        <f t="shared" si="14"/>
        <v>0</v>
      </c>
      <c r="L305" s="159"/>
    </row>
    <row r="306" spans="1:14" x14ac:dyDescent="0.25">
      <c r="A306" s="24"/>
      <c r="B306" s="129">
        <f>COUNTA(B6:B305)</f>
        <v>300</v>
      </c>
      <c r="C306" s="59">
        <f>SUM(C6:C305)</f>
        <v>42757870.01587484</v>
      </c>
      <c r="D306" s="637">
        <f>(PCS!I312-PCS!F312)/C306</f>
        <v>14.602715915881317</v>
      </c>
      <c r="E306" s="637">
        <f>'Péréquation directe'!E312/C306</f>
        <v>-11.557684700434272</v>
      </c>
      <c r="F306" s="637">
        <f>'Péréquation directe'!F312/Effort!C306</f>
        <v>-3.6250693756906558</v>
      </c>
      <c r="G306" s="637">
        <f>'Péréquation directe'!G312/Effort!C306</f>
        <v>-4.4999999999999982</v>
      </c>
      <c r="H306" s="637">
        <f>'Péréquation directe'!J312/Effort!C306</f>
        <v>19.619554427615387</v>
      </c>
      <c r="I306" s="638">
        <f>SUM(D306:H306)</f>
        <v>14.539516267371779</v>
      </c>
      <c r="J306" s="298">
        <f>IF(I306&gt;J$5,J$5-I306,0)</f>
        <v>0</v>
      </c>
      <c r="K306" s="29">
        <f>SUM(K6:K305)</f>
        <v>-6656460.2143581361</v>
      </c>
      <c r="L306" s="12"/>
      <c r="M306" s="9"/>
      <c r="N306" s="9"/>
    </row>
    <row r="307" spans="1:14" x14ac:dyDescent="0.25">
      <c r="I307" s="4"/>
    </row>
    <row r="310" spans="1:14" x14ac:dyDescent="0.25">
      <c r="H310" s="22"/>
      <c r="I310" s="22"/>
    </row>
    <row r="312" spans="1:14" x14ac:dyDescent="0.25">
      <c r="I312" s="22"/>
    </row>
  </sheetData>
  <sheetProtection sheet="1" objects="1" scenarios="1"/>
  <mergeCells count="10">
    <mergeCell ref="C4:C5"/>
    <mergeCell ref="B4:B5"/>
    <mergeCell ref="A4:A5"/>
    <mergeCell ref="K4:K5"/>
    <mergeCell ref="I4:I5"/>
    <mergeCell ref="E4:E5"/>
    <mergeCell ref="D4:D5"/>
    <mergeCell ref="F4:F5"/>
    <mergeCell ref="H4:H5"/>
    <mergeCell ref="G4:G5"/>
  </mergeCells>
  <phoneticPr fontId="0" type="noConversion"/>
  <conditionalFormatting sqref="D6:I306">
    <cfRule type="cellIs" dxfId="12" priority="5" operator="lessThan">
      <formula>0</formula>
    </cfRule>
    <cfRule type="cellIs" dxfId="11" priority="6" operator="greaterThan">
      <formula>0</formula>
    </cfRule>
  </conditionalFormatting>
  <conditionalFormatting sqref="J5">
    <cfRule type="cellIs" dxfId="10" priority="1" operator="lessThan">
      <formula>0</formula>
    </cfRule>
    <cfRule type="cellIs" dxfId="9" priority="2" operator="greaterThan">
      <formula>0</formula>
    </cfRule>
  </conditionalFormatting>
  <hyperlinks>
    <hyperlink ref="C1" location="DT!A1" display="← Précédent" xr:uid="{0324FF71-E272-4507-A06C-68FB6D7F6A39}"/>
    <hyperlink ref="E1" location="Aide!A1" display="Suivant →" xr:uid="{714C2376-5506-440A-A3BB-74D004A26952}"/>
    <hyperlink ref="D1" location="'Table des matières'!A1" display="Table des             matières" xr:uid="{F4DD9665-E693-4988-9116-9650F129F802}"/>
  </hyperlinks>
  <printOptions horizontalCentered="1"/>
  <pageMargins left="0" right="0" top="0" bottom="0" header="0.51181102362204722" footer="0.51181102362204722"/>
  <pageSetup paperSize="9" scale="64" orientation="portrait" horizontalDpi="4294967292" verticalDpi="4294967292"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4">
    <tabColor theme="6" tint="0.39997558519241921"/>
  </sheetPr>
  <dimension ref="A1:Y308"/>
  <sheetViews>
    <sheetView workbookViewId="0">
      <pane xSplit="2" ySplit="5" topLeftCell="C6" activePane="bottomRight" state="frozen"/>
      <selection pane="topRight" activeCell="C1" sqref="C1"/>
      <selection pane="bottomLeft" activeCell="A6" sqref="A6"/>
      <selection pane="bottomRight"/>
    </sheetView>
  </sheetViews>
  <sheetFormatPr baseColWidth="10" defaultColWidth="10.75" defaultRowHeight="15" x14ac:dyDescent="0.25"/>
  <cols>
    <col min="1" max="1" width="7.25" style="10" customWidth="1"/>
    <col min="2" max="2" width="22.75" style="10" customWidth="1"/>
    <col min="3" max="3" width="16" style="10" customWidth="1"/>
    <col min="4" max="4" width="13.375" style="10" customWidth="1"/>
    <col min="5" max="6" width="13" style="10" customWidth="1"/>
    <col min="7" max="7" width="24.375" style="10" customWidth="1"/>
    <col min="8" max="8" width="9.875" style="10" bestFit="1" customWidth="1"/>
    <col min="9" max="9" width="10" style="10" customWidth="1"/>
    <col min="10" max="10" width="12.875" style="10" customWidth="1"/>
    <col min="11" max="14" width="12.125" style="10" customWidth="1"/>
    <col min="15" max="17" width="8.125" style="10" customWidth="1"/>
    <col min="18" max="16384" width="10.75" style="10"/>
  </cols>
  <sheetData>
    <row r="1" spans="1:25" s="200" customFormat="1" ht="26.25" x14ac:dyDescent="0.4">
      <c r="A1" s="187" t="s">
        <v>399</v>
      </c>
      <c r="B1" s="192"/>
      <c r="C1" s="287" t="s">
        <v>402</v>
      </c>
      <c r="D1" s="208" t="s">
        <v>394</v>
      </c>
      <c r="E1" s="348" t="s">
        <v>403</v>
      </c>
      <c r="G1" s="196"/>
      <c r="H1" s="196"/>
      <c r="I1" s="196"/>
      <c r="J1" s="196"/>
      <c r="L1" s="203"/>
      <c r="N1" s="194"/>
      <c r="O1" s="194"/>
      <c r="P1" s="194"/>
      <c r="Q1" s="194"/>
      <c r="R1" s="194"/>
      <c r="Y1" s="194"/>
    </row>
    <row r="2" spans="1:25" s="32" customFormat="1" ht="15.75" x14ac:dyDescent="0.25">
      <c r="A2" s="253" t="str">
        <f>Paramètres!B4</f>
        <v>Décompte 2024</v>
      </c>
      <c r="B2" s="31"/>
      <c r="C2" s="148"/>
      <c r="D2" s="148"/>
      <c r="E2" s="148"/>
      <c r="F2" s="148"/>
      <c r="G2" s="148"/>
      <c r="H2" s="148"/>
      <c r="I2" s="148"/>
      <c r="J2" s="148"/>
      <c r="L2" s="42"/>
      <c r="N2" s="146"/>
      <c r="O2" s="146"/>
      <c r="P2" s="146"/>
      <c r="Q2" s="146"/>
      <c r="R2" s="146"/>
      <c r="Y2" s="146"/>
    </row>
    <row r="4" spans="1:25" ht="45" customHeight="1" x14ac:dyDescent="0.25">
      <c r="A4" s="763" t="s">
        <v>44</v>
      </c>
      <c r="B4" s="763" t="s">
        <v>84</v>
      </c>
      <c r="C4" s="763" t="s">
        <v>409</v>
      </c>
      <c r="D4" s="763" t="s">
        <v>431</v>
      </c>
      <c r="E4" s="345" t="s">
        <v>423</v>
      </c>
      <c r="F4" s="346" t="s">
        <v>498</v>
      </c>
      <c r="G4" s="763" t="s">
        <v>527</v>
      </c>
      <c r="H4" s="345" t="s">
        <v>429</v>
      </c>
      <c r="I4" s="763" t="s">
        <v>551</v>
      </c>
    </row>
    <row r="5" spans="1:25" x14ac:dyDescent="0.25">
      <c r="A5" s="764"/>
      <c r="B5" s="765"/>
      <c r="C5" s="764"/>
      <c r="D5" s="764"/>
      <c r="E5" s="356" t="s">
        <v>485</v>
      </c>
      <c r="F5" s="333" t="s">
        <v>486</v>
      </c>
      <c r="G5" s="765"/>
      <c r="H5" s="638">
        <f>-Paramètres!B45</f>
        <v>-10</v>
      </c>
      <c r="I5" s="764"/>
    </row>
    <row r="6" spans="1:25" x14ac:dyDescent="0.25">
      <c r="A6" s="35">
        <f>Données!A6</f>
        <v>5401</v>
      </c>
      <c r="B6" s="125" t="str">
        <f>Données!B6</f>
        <v>Aigle</v>
      </c>
      <c r="C6" s="246">
        <f>VPI!R6</f>
        <v>311614.01419191912</v>
      </c>
      <c r="D6" s="630">
        <f>Effort!I6-IF(PCS!I12&lt;0, Effort!D6, 0)</f>
        <v>-20.539784419872777</v>
      </c>
      <c r="E6" s="631">
        <f>IF(PCS!I12&lt;0, 0, PCS!F12/Aide!C6)</f>
        <v>5.3666238000773676</v>
      </c>
      <c r="F6" s="631">
        <f>Effort!G6</f>
        <v>-13.240886246001981</v>
      </c>
      <c r="G6" s="632">
        <f>D6+E6-F6</f>
        <v>-1.9322743737934296</v>
      </c>
      <c r="H6" s="149">
        <f>IF(G6&lt;H$5,G6-H$5,0)</f>
        <v>0</v>
      </c>
      <c r="I6" s="61">
        <f>-H6*C6</f>
        <v>0</v>
      </c>
      <c r="J6" s="28"/>
    </row>
    <row r="7" spans="1:25" x14ac:dyDescent="0.25">
      <c r="A7" s="37">
        <f>Données!A7</f>
        <v>5402</v>
      </c>
      <c r="B7" s="125" t="str">
        <f>Données!B7</f>
        <v>Bex</v>
      </c>
      <c r="C7" s="247">
        <f>VPI!R7</f>
        <v>199600.34901408452</v>
      </c>
      <c r="D7" s="633">
        <f>Effort!I7-IF(PCS!I13&lt;0, Effort!D7, 0)</f>
        <v>-30.494535815872357</v>
      </c>
      <c r="E7" s="634">
        <f>IF(PCS!I13&lt;0, 0, PCS!F13/Aide!C7)</f>
        <v>5.8444130020919163</v>
      </c>
      <c r="F7" s="634">
        <f>Effort!G7</f>
        <v>-14.994971422766904</v>
      </c>
      <c r="G7" s="635">
        <f t="shared" ref="G7:G70" si="0">D7+E7-F7</f>
        <v>-9.655151391013538</v>
      </c>
      <c r="H7" s="149">
        <f t="shared" ref="H7:H70" si="1">IF(G7&lt;H$5,G7-H$5,0)</f>
        <v>0</v>
      </c>
      <c r="I7" s="41">
        <f t="shared" ref="I7:I70" si="2">-H7*C7</f>
        <v>0</v>
      </c>
      <c r="J7" s="28"/>
    </row>
    <row r="8" spans="1:25" x14ac:dyDescent="0.25">
      <c r="A8" s="37">
        <f>Données!A8</f>
        <v>5403</v>
      </c>
      <c r="B8" s="125" t="str">
        <f>Données!B8</f>
        <v>Chessel</v>
      </c>
      <c r="C8" s="247">
        <f>VPI!R8</f>
        <v>12200.842307692306</v>
      </c>
      <c r="D8" s="633">
        <f>Effort!I8-IF(PCS!I14&lt;0, Effort!D8, 0)</f>
        <v>3.6487746646611434</v>
      </c>
      <c r="E8" s="634">
        <f>IF(PCS!I14&lt;0, 0, PCS!F14/Aide!C8)</f>
        <v>7.1973620988967033</v>
      </c>
      <c r="F8" s="634">
        <f>Effort!G8</f>
        <v>-1.6282668154207554</v>
      </c>
      <c r="G8" s="635">
        <f t="shared" si="0"/>
        <v>12.474403578978603</v>
      </c>
      <c r="H8" s="149">
        <f t="shared" si="1"/>
        <v>0</v>
      </c>
      <c r="I8" s="41">
        <f t="shared" si="2"/>
        <v>0</v>
      </c>
      <c r="J8" s="28"/>
    </row>
    <row r="9" spans="1:25" x14ac:dyDescent="0.25">
      <c r="A9" s="37">
        <f>Données!A9</f>
        <v>5404</v>
      </c>
      <c r="B9" s="125" t="str">
        <f>Données!B9</f>
        <v>Corbeyrier</v>
      </c>
      <c r="C9" s="247">
        <f>VPI!R9</f>
        <v>12100.787342342343</v>
      </c>
      <c r="D9" s="633">
        <f>Effort!I9-IF(PCS!I15&lt;0, Effort!D9, 0)</f>
        <v>-10.425759813067035</v>
      </c>
      <c r="E9" s="634">
        <f>IF(PCS!I15&lt;0, 0, PCS!F15/Aide!C9)</f>
        <v>2.7396766889701198</v>
      </c>
      <c r="F9" s="634">
        <f>Effort!G9</f>
        <v>-17.155761924405493</v>
      </c>
      <c r="G9" s="635">
        <f t="shared" si="0"/>
        <v>9.4696788003085768</v>
      </c>
      <c r="H9" s="149">
        <f t="shared" si="1"/>
        <v>0</v>
      </c>
      <c r="I9" s="41">
        <f t="shared" si="2"/>
        <v>0</v>
      </c>
      <c r="J9" s="28"/>
    </row>
    <row r="10" spans="1:25" x14ac:dyDescent="0.25">
      <c r="A10" s="37">
        <f>Données!A10</f>
        <v>5405</v>
      </c>
      <c r="B10" s="125" t="str">
        <f>Données!B10</f>
        <v>Gryon</v>
      </c>
      <c r="C10" s="247">
        <f>VPI!R10</f>
        <v>80049.808163265319</v>
      </c>
      <c r="D10" s="633">
        <f>Effort!I10-IF(PCS!I16&lt;0, Effort!D10, 0)</f>
        <v>15.791322804069404</v>
      </c>
      <c r="E10" s="634">
        <f>IF(PCS!I16&lt;0, 0, PCS!F16/Aide!C10)</f>
        <v>6.5914471515515105</v>
      </c>
      <c r="F10" s="634">
        <f>Effort!G10</f>
        <v>-11.47689298220466</v>
      </c>
      <c r="G10" s="635">
        <f t="shared" si="0"/>
        <v>33.859662937825576</v>
      </c>
      <c r="H10" s="149">
        <f t="shared" si="1"/>
        <v>0</v>
      </c>
      <c r="I10" s="41">
        <f t="shared" si="2"/>
        <v>0</v>
      </c>
      <c r="J10" s="28"/>
    </row>
    <row r="11" spans="1:25" x14ac:dyDescent="0.25">
      <c r="A11" s="37">
        <f>Données!A11</f>
        <v>5406</v>
      </c>
      <c r="B11" s="125" t="str">
        <f>Données!B11</f>
        <v>Lavey-Morcles</v>
      </c>
      <c r="C11" s="247">
        <f>VPI!R11</f>
        <v>23811.433641742868</v>
      </c>
      <c r="D11" s="633">
        <f>Effort!I11-IF(PCS!I17&lt;0, Effort!D11, 0)</f>
        <v>-8.7959822330055673</v>
      </c>
      <c r="E11" s="634">
        <f>IF(PCS!I17&lt;0, 0, PCS!F17/Aide!C11)</f>
        <v>3.9943474815923925</v>
      </c>
      <c r="F11" s="634">
        <f>Effort!G11</f>
        <v>-10.607110076137921</v>
      </c>
      <c r="G11" s="635">
        <f t="shared" si="0"/>
        <v>5.8054753247247461</v>
      </c>
      <c r="H11" s="149">
        <f t="shared" si="1"/>
        <v>0</v>
      </c>
      <c r="I11" s="41">
        <f t="shared" si="2"/>
        <v>0</v>
      </c>
      <c r="J11" s="28"/>
    </row>
    <row r="12" spans="1:25" x14ac:dyDescent="0.25">
      <c r="A12" s="37">
        <f>Données!A12</f>
        <v>5407</v>
      </c>
      <c r="B12" s="125" t="str">
        <f>Données!B12</f>
        <v>Leysin</v>
      </c>
      <c r="C12" s="247">
        <f>VPI!R12</f>
        <v>94315.702863247876</v>
      </c>
      <c r="D12" s="633">
        <f>Effort!I12-IF(PCS!I18&lt;0, Effort!D12, 0)</f>
        <v>-20.578614636368332</v>
      </c>
      <c r="E12" s="634">
        <f>IF(PCS!I18&lt;0, 0, PCS!F18/Aide!C12)</f>
        <v>5.2740050161236818</v>
      </c>
      <c r="F12" s="634">
        <f>Effort!G12</f>
        <v>-14.916617910865176</v>
      </c>
      <c r="G12" s="635">
        <f t="shared" si="0"/>
        <v>-0.38799170937947558</v>
      </c>
      <c r="H12" s="149">
        <f t="shared" si="1"/>
        <v>0</v>
      </c>
      <c r="I12" s="41">
        <f t="shared" si="2"/>
        <v>0</v>
      </c>
      <c r="J12" s="28"/>
    </row>
    <row r="13" spans="1:25" x14ac:dyDescent="0.25">
      <c r="A13" s="37">
        <f>Données!A13</f>
        <v>5408</v>
      </c>
      <c r="B13" s="125" t="str">
        <f>Données!B13</f>
        <v>Noville</v>
      </c>
      <c r="C13" s="247">
        <f>VPI!R13</f>
        <v>41741.779422222215</v>
      </c>
      <c r="D13" s="633">
        <f>Effort!I13-IF(PCS!I19&lt;0, Effort!D13, 0)</f>
        <v>14.608775905316392</v>
      </c>
      <c r="E13" s="634">
        <f>IF(PCS!I19&lt;0, 0, PCS!F19/Aide!C13)</f>
        <v>3.9381833327518585</v>
      </c>
      <c r="F13" s="634">
        <f>Effort!G13</f>
        <v>-0.98464970960115172</v>
      </c>
      <c r="G13" s="635">
        <f t="shared" si="0"/>
        <v>19.531608947669401</v>
      </c>
      <c r="H13" s="149">
        <f t="shared" si="1"/>
        <v>0</v>
      </c>
      <c r="I13" s="41">
        <f t="shared" si="2"/>
        <v>0</v>
      </c>
      <c r="J13" s="28"/>
    </row>
    <row r="14" spans="1:25" x14ac:dyDescent="0.25">
      <c r="A14" s="37">
        <f>Données!A14</f>
        <v>5409</v>
      </c>
      <c r="B14" s="125" t="str">
        <f>Données!B14</f>
        <v>Ollon</v>
      </c>
      <c r="C14" s="247">
        <f>VPI!R14</f>
        <v>429709.0160746607</v>
      </c>
      <c r="D14" s="633">
        <f>Effort!I14-IF(PCS!I20&lt;0, Effort!D14, 0)</f>
        <v>13.78057004036366</v>
      </c>
      <c r="E14" s="634">
        <f>IF(PCS!I20&lt;0, 0, PCS!F20/Aide!C14)</f>
        <v>5.7491742960561067</v>
      </c>
      <c r="F14" s="634">
        <f>Effort!G14</f>
        <v>-8.1793355121291125</v>
      </c>
      <c r="G14" s="635">
        <f t="shared" si="0"/>
        <v>27.709079848548882</v>
      </c>
      <c r="H14" s="149">
        <f t="shared" si="1"/>
        <v>0</v>
      </c>
      <c r="I14" s="41">
        <f t="shared" si="2"/>
        <v>0</v>
      </c>
      <c r="J14" s="28"/>
    </row>
    <row r="15" spans="1:25" x14ac:dyDescent="0.25">
      <c r="A15" s="37">
        <f>Données!A15</f>
        <v>5410</v>
      </c>
      <c r="B15" s="125" t="str">
        <f>Données!B15</f>
        <v>Ormont-Dessous</v>
      </c>
      <c r="C15" s="247">
        <f>VPI!R15</f>
        <v>39461.333506493509</v>
      </c>
      <c r="D15" s="633">
        <f>Effort!I15-IF(PCS!I21&lt;0, Effort!D15, 0)</f>
        <v>-33.089326127993928</v>
      </c>
      <c r="E15" s="634">
        <f>IF(PCS!I21&lt;0, 0, PCS!F21/Aide!C15)</f>
        <v>6.0677897507087222</v>
      </c>
      <c r="F15" s="634">
        <f>Effort!G15</f>
        <v>-44.448679715483799</v>
      </c>
      <c r="G15" s="635">
        <f t="shared" si="0"/>
        <v>17.427143338198594</v>
      </c>
      <c r="H15" s="149">
        <f t="shared" si="1"/>
        <v>0</v>
      </c>
      <c r="I15" s="41">
        <f t="shared" si="2"/>
        <v>0</v>
      </c>
      <c r="J15" s="28"/>
    </row>
    <row r="16" spans="1:25" x14ac:dyDescent="0.25">
      <c r="A16" s="37">
        <f>Données!A16</f>
        <v>5411</v>
      </c>
      <c r="B16" s="125" t="str">
        <f>Données!B16</f>
        <v>Ormont-Dessus</v>
      </c>
      <c r="C16" s="247">
        <f>VPI!R16</f>
        <v>82773.582149122798</v>
      </c>
      <c r="D16" s="633">
        <f>Effort!I16-IF(PCS!I22&lt;0, Effort!D16, 0)</f>
        <v>22.74648819121175</v>
      </c>
      <c r="E16" s="634">
        <f>IF(PCS!I22&lt;0, 0, PCS!F22/Aide!C16)</f>
        <v>6.0427111164392295</v>
      </c>
      <c r="F16" s="634">
        <f>Effort!G16</f>
        <v>-6.3873134388929911</v>
      </c>
      <c r="G16" s="635">
        <f t="shared" si="0"/>
        <v>35.17651274654397</v>
      </c>
      <c r="H16" s="149">
        <f t="shared" si="1"/>
        <v>0</v>
      </c>
      <c r="I16" s="41">
        <f t="shared" si="2"/>
        <v>0</v>
      </c>
      <c r="J16" s="28"/>
    </row>
    <row r="17" spans="1:10" x14ac:dyDescent="0.25">
      <c r="A17" s="37">
        <f>Données!A17</f>
        <v>5412</v>
      </c>
      <c r="B17" s="125" t="str">
        <f>Données!B17</f>
        <v>Rennaz</v>
      </c>
      <c r="C17" s="247">
        <f>VPI!R17</f>
        <v>31259.838939393936</v>
      </c>
      <c r="D17" s="633">
        <f>Effort!I17-IF(PCS!I23&lt;0, Effort!D17, 0)</f>
        <v>14.069300293222366</v>
      </c>
      <c r="E17" s="634">
        <f>IF(PCS!I23&lt;0, 0, PCS!F23/Aide!C17)</f>
        <v>18.516431294550426</v>
      </c>
      <c r="F17" s="634">
        <f>Effort!G17</f>
        <v>-3.556093899832244</v>
      </c>
      <c r="G17" s="635">
        <f t="shared" si="0"/>
        <v>36.141825487605033</v>
      </c>
      <c r="H17" s="149">
        <f t="shared" si="1"/>
        <v>0</v>
      </c>
      <c r="I17" s="41">
        <f t="shared" si="2"/>
        <v>0</v>
      </c>
      <c r="J17" s="28"/>
    </row>
    <row r="18" spans="1:10" x14ac:dyDescent="0.25">
      <c r="A18" s="37">
        <f>Données!A18</f>
        <v>5413</v>
      </c>
      <c r="B18" s="125" t="str">
        <f>Données!B18</f>
        <v>Roche</v>
      </c>
      <c r="C18" s="247">
        <f>VPI!R18</f>
        <v>41768.164926470592</v>
      </c>
      <c r="D18" s="633">
        <f>Effort!I18-IF(PCS!I24&lt;0, Effort!D18, 0)</f>
        <v>-10.14076950453801</v>
      </c>
      <c r="E18" s="634">
        <f>IF(PCS!I24&lt;0, 0, PCS!F24/Aide!C18)</f>
        <v>11.042938463108943</v>
      </c>
      <c r="F18" s="634">
        <f>Effort!G18</f>
        <v>-3.0909910945362062</v>
      </c>
      <c r="G18" s="635">
        <f t="shared" si="0"/>
        <v>3.9931600531071387</v>
      </c>
      <c r="H18" s="149">
        <f t="shared" si="1"/>
        <v>0</v>
      </c>
      <c r="I18" s="41">
        <f t="shared" si="2"/>
        <v>0</v>
      </c>
      <c r="J18" s="28"/>
    </row>
    <row r="19" spans="1:10" x14ac:dyDescent="0.25">
      <c r="A19" s="37">
        <f>Données!A19</f>
        <v>5414</v>
      </c>
      <c r="B19" s="125" t="str">
        <f>Données!B19</f>
        <v>Villeneuve</v>
      </c>
      <c r="C19" s="247">
        <f>VPI!R19</f>
        <v>175995.0642105263</v>
      </c>
      <c r="D19" s="633">
        <f>Effort!I19-IF(PCS!I25&lt;0, Effort!D19, 0)</f>
        <v>-9.4764016462920431</v>
      </c>
      <c r="E19" s="634">
        <f>IF(PCS!I25&lt;0, 0, PCS!F25/Aide!C19)</f>
        <v>5.9178305066222823</v>
      </c>
      <c r="F19" s="634">
        <f>Effort!G19</f>
        <v>-12.712884562170002</v>
      </c>
      <c r="G19" s="635">
        <f t="shared" si="0"/>
        <v>9.1543134225002412</v>
      </c>
      <c r="H19" s="149">
        <f t="shared" si="1"/>
        <v>0</v>
      </c>
      <c r="I19" s="41">
        <f t="shared" si="2"/>
        <v>0</v>
      </c>
      <c r="J19" s="28"/>
    </row>
    <row r="20" spans="1:10" x14ac:dyDescent="0.25">
      <c r="A20" s="37">
        <f>Données!A20</f>
        <v>5415</v>
      </c>
      <c r="B20" s="125" t="str">
        <f>Données!B20</f>
        <v>Yvorne</v>
      </c>
      <c r="C20" s="247">
        <f>VPI!R20</f>
        <v>36884.950722610716</v>
      </c>
      <c r="D20" s="633">
        <f>Effort!I20-IF(PCS!I26&lt;0, Effort!D20, 0)</f>
        <v>7.88188425852214</v>
      </c>
      <c r="E20" s="634">
        <f>IF(PCS!I26&lt;0, 0, PCS!F26/Aide!C20)</f>
        <v>2.179131825455531</v>
      </c>
      <c r="F20" s="634">
        <f>Effort!G20</f>
        <v>-7.7729185687583593</v>
      </c>
      <c r="G20" s="635">
        <f t="shared" si="0"/>
        <v>17.83393465273603</v>
      </c>
      <c r="H20" s="149">
        <f t="shared" si="1"/>
        <v>0</v>
      </c>
      <c r="I20" s="41">
        <f t="shared" si="2"/>
        <v>0</v>
      </c>
      <c r="J20" s="28"/>
    </row>
    <row r="21" spans="1:10" x14ac:dyDescent="0.25">
      <c r="A21" s="37">
        <f>Données!A21</f>
        <v>5422</v>
      </c>
      <c r="B21" s="125" t="str">
        <f>Données!B21</f>
        <v>Aubonne</v>
      </c>
      <c r="C21" s="247">
        <f>VPI!R21</f>
        <v>367761.87779411761</v>
      </c>
      <c r="D21" s="633">
        <f>Effort!I21-IF(PCS!I27&lt;0, Effort!D21, 0)</f>
        <v>37.46089940488438</v>
      </c>
      <c r="E21" s="634">
        <f>IF(PCS!I27&lt;0, 0, PCS!F27/Aide!C21)</f>
        <v>2.0379448095475978</v>
      </c>
      <c r="F21" s="634">
        <f>Effort!G21</f>
        <v>0</v>
      </c>
      <c r="G21" s="635">
        <f t="shared" si="0"/>
        <v>39.498844214431976</v>
      </c>
      <c r="H21" s="149">
        <f t="shared" si="1"/>
        <v>0</v>
      </c>
      <c r="I21" s="41">
        <f t="shared" si="2"/>
        <v>0</v>
      </c>
      <c r="J21" s="28"/>
    </row>
    <row r="22" spans="1:10" x14ac:dyDescent="0.25">
      <c r="A22" s="37">
        <f>Données!A22</f>
        <v>5423</v>
      </c>
      <c r="B22" s="125" t="str">
        <f>Données!B22</f>
        <v>Ballens</v>
      </c>
      <c r="C22" s="247">
        <f>VPI!R22</f>
        <v>16526.279041095891</v>
      </c>
      <c r="D22" s="633">
        <f>Effort!I22-IF(PCS!I28&lt;0, Effort!D22, 0)</f>
        <v>-0.38843452750245078</v>
      </c>
      <c r="E22" s="634">
        <f>IF(PCS!I28&lt;0, 0, PCS!F28/Aide!C22)</f>
        <v>2.0794015346434089</v>
      </c>
      <c r="F22" s="634">
        <f>Effort!G22</f>
        <v>-10.403088356166533</v>
      </c>
      <c r="G22" s="635">
        <f t="shared" si="0"/>
        <v>12.094055363307492</v>
      </c>
      <c r="H22" s="149">
        <f t="shared" si="1"/>
        <v>0</v>
      </c>
      <c r="I22" s="41">
        <f t="shared" si="2"/>
        <v>0</v>
      </c>
      <c r="J22" s="28"/>
    </row>
    <row r="23" spans="1:10" x14ac:dyDescent="0.25">
      <c r="A23" s="37">
        <f>Données!A23</f>
        <v>5424</v>
      </c>
      <c r="B23" s="125" t="str">
        <f>Données!B23</f>
        <v>Berolle</v>
      </c>
      <c r="C23" s="247">
        <f>VPI!R23</f>
        <v>9736.045430463575</v>
      </c>
      <c r="D23" s="633">
        <f>Effort!I23-IF(PCS!I29&lt;0, Effort!D23, 0)</f>
        <v>4.4751797914444769</v>
      </c>
      <c r="E23" s="634">
        <f>IF(PCS!I29&lt;0, 0, PCS!F29/Aide!C23)</f>
        <v>3.2460818127566191</v>
      </c>
      <c r="F23" s="634">
        <f>Effort!G23</f>
        <v>-9.4021144439762185</v>
      </c>
      <c r="G23" s="635">
        <f t="shared" si="0"/>
        <v>17.123376048177313</v>
      </c>
      <c r="H23" s="149">
        <f t="shared" si="1"/>
        <v>0</v>
      </c>
      <c r="I23" s="41">
        <f t="shared" si="2"/>
        <v>0</v>
      </c>
      <c r="J23" s="28"/>
    </row>
    <row r="24" spans="1:10" x14ac:dyDescent="0.25">
      <c r="A24" s="37">
        <f>Données!A24</f>
        <v>5425</v>
      </c>
      <c r="B24" s="125" t="str">
        <f>Données!B24</f>
        <v>Bière</v>
      </c>
      <c r="C24" s="247">
        <f>VPI!R24</f>
        <v>44858.928245877061</v>
      </c>
      <c r="D24" s="633">
        <f>Effort!I24-IF(PCS!I30&lt;0, Effort!D24, 0)</f>
        <v>-10.982433277186356</v>
      </c>
      <c r="E24" s="634">
        <f>IF(PCS!I30&lt;0, 0, PCS!F30/Aide!C24)</f>
        <v>3.468583202593583</v>
      </c>
      <c r="F24" s="634">
        <f>Effort!G24</f>
        <v>-16.456095757126654</v>
      </c>
      <c r="G24" s="635">
        <f t="shared" si="0"/>
        <v>8.9422456825338816</v>
      </c>
      <c r="H24" s="149">
        <f t="shared" si="1"/>
        <v>0</v>
      </c>
      <c r="I24" s="41">
        <f t="shared" si="2"/>
        <v>0</v>
      </c>
      <c r="J24" s="28"/>
    </row>
    <row r="25" spans="1:10" x14ac:dyDescent="0.25">
      <c r="A25" s="37">
        <f>Données!A25</f>
        <v>5426</v>
      </c>
      <c r="B25" s="125" t="str">
        <f>Données!B25</f>
        <v>Bougy-Villars</v>
      </c>
      <c r="C25" s="247">
        <f>VPI!R25</f>
        <v>68704.794547803613</v>
      </c>
      <c r="D25" s="633">
        <f>Effort!I25-IF(PCS!I31&lt;0, Effort!D25, 0)</f>
        <v>45.863835693942491</v>
      </c>
      <c r="E25" s="634">
        <f>IF(PCS!I31&lt;0, 0, PCS!F31/Aide!C25)</f>
        <v>8.2247949902073447</v>
      </c>
      <c r="F25" s="634">
        <f>Effort!G25</f>
        <v>0</v>
      </c>
      <c r="G25" s="635">
        <f t="shared" si="0"/>
        <v>54.088630684149834</v>
      </c>
      <c r="H25" s="149">
        <f t="shared" si="1"/>
        <v>0</v>
      </c>
      <c r="I25" s="41">
        <f t="shared" si="2"/>
        <v>0</v>
      </c>
      <c r="J25" s="28"/>
    </row>
    <row r="26" spans="1:10" x14ac:dyDescent="0.25">
      <c r="A26" s="37">
        <f>Données!A26</f>
        <v>5427</v>
      </c>
      <c r="B26" s="125" t="str">
        <f>Données!B26</f>
        <v>Féchy</v>
      </c>
      <c r="C26" s="247">
        <f>VPI!R26</f>
        <v>103018.21625</v>
      </c>
      <c r="D26" s="633">
        <f>Effort!I26-IF(PCS!I32&lt;0, Effort!D26, 0)</f>
        <v>42.363545273932999</v>
      </c>
      <c r="E26" s="634">
        <f>IF(PCS!I32&lt;0, 0, PCS!F32/Aide!C26)</f>
        <v>3.1678065479997093</v>
      </c>
      <c r="F26" s="634">
        <f>Effort!G26</f>
        <v>0</v>
      </c>
      <c r="G26" s="635">
        <f t="shared" si="0"/>
        <v>45.531351821932709</v>
      </c>
      <c r="H26" s="149">
        <f t="shared" si="1"/>
        <v>0</v>
      </c>
      <c r="I26" s="41">
        <f t="shared" si="2"/>
        <v>0</v>
      </c>
      <c r="J26" s="28"/>
    </row>
    <row r="27" spans="1:10" x14ac:dyDescent="0.25">
      <c r="A27" s="37">
        <f>Données!A27</f>
        <v>5428</v>
      </c>
      <c r="B27" s="125" t="str">
        <f>Données!B27</f>
        <v>Gimel</v>
      </c>
      <c r="C27" s="247">
        <f>VPI!R27</f>
        <v>75149.866461187237</v>
      </c>
      <c r="D27" s="633">
        <f>Effort!I27-IF(PCS!I33&lt;0, Effort!D27, 0)</f>
        <v>-0.21673434690499604</v>
      </c>
      <c r="E27" s="634">
        <f>IF(PCS!I33&lt;0, 0, PCS!F33/Aide!C27)</f>
        <v>3.2008334322754015</v>
      </c>
      <c r="F27" s="634">
        <f>Effort!G27</f>
        <v>-8.3760679000157463</v>
      </c>
      <c r="G27" s="635">
        <f t="shared" si="0"/>
        <v>11.360166985386151</v>
      </c>
      <c r="H27" s="149">
        <f t="shared" si="1"/>
        <v>0</v>
      </c>
      <c r="I27" s="41">
        <f t="shared" si="2"/>
        <v>0</v>
      </c>
      <c r="J27" s="28"/>
    </row>
    <row r="28" spans="1:10" x14ac:dyDescent="0.25">
      <c r="A28" s="37">
        <f>Données!A28</f>
        <v>5429</v>
      </c>
      <c r="B28" s="125" t="str">
        <f>Données!B28</f>
        <v>Longirod</v>
      </c>
      <c r="C28" s="247">
        <f>VPI!R28</f>
        <v>17947.478064516126</v>
      </c>
      <c r="D28" s="633">
        <f>Effort!I28-IF(PCS!I34&lt;0, Effort!D28, 0)</f>
        <v>7.3176199798612966</v>
      </c>
      <c r="E28" s="634">
        <f>IF(PCS!I34&lt;0, 0, PCS!F34/Aide!C28)</f>
        <v>1.847554006239928</v>
      </c>
      <c r="F28" s="634">
        <f>Effort!G28</f>
        <v>-6.1444481515963236</v>
      </c>
      <c r="G28" s="635">
        <f t="shared" si="0"/>
        <v>15.309622137697549</v>
      </c>
      <c r="H28" s="149">
        <f t="shared" si="1"/>
        <v>0</v>
      </c>
      <c r="I28" s="41">
        <f t="shared" si="2"/>
        <v>0</v>
      </c>
      <c r="J28" s="28"/>
    </row>
    <row r="29" spans="1:10" x14ac:dyDescent="0.25">
      <c r="A29" s="37">
        <f>Données!A29</f>
        <v>5430</v>
      </c>
      <c r="B29" s="125" t="str">
        <f>Données!B29</f>
        <v>Marchissy</v>
      </c>
      <c r="C29" s="247">
        <f>VPI!R29</f>
        <v>16228.828774193547</v>
      </c>
      <c r="D29" s="633">
        <f>Effort!I29-IF(PCS!I35&lt;0, Effort!D29, 0)</f>
        <v>8.1867478814662107</v>
      </c>
      <c r="E29" s="634">
        <f>IF(PCS!I35&lt;0, 0, PCS!F35/Aide!C29)</f>
        <v>1.2167667965910411</v>
      </c>
      <c r="F29" s="634">
        <f>Effort!G29</f>
        <v>-4.6062939719132512</v>
      </c>
      <c r="G29" s="635">
        <f t="shared" si="0"/>
        <v>14.009808649970504</v>
      </c>
      <c r="H29" s="149">
        <f t="shared" si="1"/>
        <v>0</v>
      </c>
      <c r="I29" s="41">
        <f t="shared" si="2"/>
        <v>0</v>
      </c>
      <c r="J29" s="28"/>
    </row>
    <row r="30" spans="1:10" x14ac:dyDescent="0.25">
      <c r="A30" s="37">
        <f>Données!A30</f>
        <v>5431</v>
      </c>
      <c r="B30" s="125" t="str">
        <f>Données!B30</f>
        <v>Mollens</v>
      </c>
      <c r="C30" s="247">
        <f>VPI!R30</f>
        <v>10701.336756756757</v>
      </c>
      <c r="D30" s="633">
        <f>Effort!I30-IF(PCS!I36&lt;0, Effort!D30, 0)</f>
        <v>7.4047792301841664</v>
      </c>
      <c r="E30" s="634">
        <f>IF(PCS!I36&lt;0, 0, PCS!F36/Aide!C30)</f>
        <v>5.4157930282314313</v>
      </c>
      <c r="F30" s="634">
        <f>Effort!G30</f>
        <v>-8.0066028346761353</v>
      </c>
      <c r="G30" s="635">
        <f t="shared" si="0"/>
        <v>20.827175093091732</v>
      </c>
      <c r="H30" s="149">
        <f t="shared" si="1"/>
        <v>0</v>
      </c>
      <c r="I30" s="41">
        <f t="shared" si="2"/>
        <v>0</v>
      </c>
      <c r="J30" s="28"/>
    </row>
    <row r="31" spans="1:10" x14ac:dyDescent="0.25">
      <c r="A31" s="37">
        <f>Données!A31</f>
        <v>5434</v>
      </c>
      <c r="B31" s="125" t="str">
        <f>Données!B31</f>
        <v>Saint-George</v>
      </c>
      <c r="C31" s="247">
        <f>VPI!R31</f>
        <v>50881.209304556367</v>
      </c>
      <c r="D31" s="633">
        <f>Effort!I31-IF(PCS!I37&lt;0, Effort!D31, 0)</f>
        <v>25.100906789594752</v>
      </c>
      <c r="E31" s="634">
        <f>IF(PCS!I37&lt;0, 0, PCS!F37/Aide!C31)</f>
        <v>1.5585902159935199</v>
      </c>
      <c r="F31" s="634">
        <f>Effort!G31</f>
        <v>-1.1153262995089261</v>
      </c>
      <c r="G31" s="635">
        <f t="shared" si="0"/>
        <v>27.774823305097197</v>
      </c>
      <c r="H31" s="149">
        <f t="shared" si="1"/>
        <v>0</v>
      </c>
      <c r="I31" s="41">
        <f t="shared" si="2"/>
        <v>0</v>
      </c>
      <c r="J31" s="28"/>
    </row>
    <row r="32" spans="1:10" x14ac:dyDescent="0.25">
      <c r="A32" s="37">
        <f>Données!A32</f>
        <v>5435</v>
      </c>
      <c r="B32" s="125" t="str">
        <f>Données!B32</f>
        <v>Saint-Livres</v>
      </c>
      <c r="C32" s="247">
        <f>VPI!R32</f>
        <v>27013.42144927536</v>
      </c>
      <c r="D32" s="633">
        <f>Effort!I32-IF(PCS!I38&lt;0, Effort!D32, 0)</f>
        <v>18.718706744220935</v>
      </c>
      <c r="E32" s="634">
        <f>IF(PCS!I38&lt;0, 0, PCS!F38/Aide!C32)</f>
        <v>1.9458353359163256</v>
      </c>
      <c r="F32" s="634">
        <f>Effort!G32</f>
        <v>-2.2866093461341577</v>
      </c>
      <c r="G32" s="635">
        <f t="shared" si="0"/>
        <v>22.951151426271416</v>
      </c>
      <c r="H32" s="149">
        <f t="shared" si="1"/>
        <v>0</v>
      </c>
      <c r="I32" s="41">
        <f t="shared" si="2"/>
        <v>0</v>
      </c>
      <c r="J32" s="28"/>
    </row>
    <row r="33" spans="1:10" x14ac:dyDescent="0.25">
      <c r="A33" s="37">
        <f>Données!A33</f>
        <v>5436</v>
      </c>
      <c r="B33" s="125" t="str">
        <f>Données!B33</f>
        <v>Saint-Oyens</v>
      </c>
      <c r="C33" s="247">
        <f>VPI!R33</f>
        <v>17587.95702531646</v>
      </c>
      <c r="D33" s="633">
        <f>Effort!I33-IF(PCS!I39&lt;0, Effort!D33, 0)</f>
        <v>19.765686205862636</v>
      </c>
      <c r="E33" s="634">
        <f>IF(PCS!I39&lt;0, 0, PCS!F39/Aide!C33)</f>
        <v>5.5539000271262262</v>
      </c>
      <c r="F33" s="634">
        <f>Effort!G33</f>
        <v>0</v>
      </c>
      <c r="G33" s="635">
        <f t="shared" si="0"/>
        <v>25.319586232988861</v>
      </c>
      <c r="H33" s="149">
        <f t="shared" si="1"/>
        <v>0</v>
      </c>
      <c r="I33" s="41">
        <f t="shared" si="2"/>
        <v>0</v>
      </c>
      <c r="J33" s="28"/>
    </row>
    <row r="34" spans="1:10" x14ac:dyDescent="0.25">
      <c r="A34" s="37">
        <f>Données!A34</f>
        <v>5437</v>
      </c>
      <c r="B34" s="125" t="str">
        <f>Données!B34</f>
        <v>Saubraz</v>
      </c>
      <c r="C34" s="247">
        <f>VPI!R34</f>
        <v>13211.02075</v>
      </c>
      <c r="D34" s="633">
        <f>Effort!I34-IF(PCS!I40&lt;0, Effort!D34, 0)</f>
        <v>-14.352195034574944</v>
      </c>
      <c r="E34" s="634">
        <f>IF(PCS!I40&lt;0, 0, PCS!F40/Aide!C34)</f>
        <v>3.7909761817609744</v>
      </c>
      <c r="F34" s="634">
        <f>Effort!G34</f>
        <v>-22.953248375542962</v>
      </c>
      <c r="G34" s="635">
        <f t="shared" si="0"/>
        <v>12.392029522728993</v>
      </c>
      <c r="H34" s="149">
        <f t="shared" si="1"/>
        <v>0</v>
      </c>
      <c r="I34" s="41">
        <f t="shared" si="2"/>
        <v>0</v>
      </c>
      <c r="J34" s="28"/>
    </row>
    <row r="35" spans="1:10" x14ac:dyDescent="0.25">
      <c r="A35" s="37">
        <f>Données!A35</f>
        <v>5451</v>
      </c>
      <c r="B35" s="125" t="str">
        <f>Données!B35</f>
        <v>Avenches</v>
      </c>
      <c r="C35" s="247">
        <f>VPI!R35</f>
        <v>142009.89482051283</v>
      </c>
      <c r="D35" s="633">
        <f>Effort!I35-IF(PCS!I41&lt;0, Effort!D35, 0)</f>
        <v>-4.2056513638865702</v>
      </c>
      <c r="E35" s="634">
        <f>IF(PCS!I41&lt;0, 0, PCS!F41/Aide!C35)</f>
        <v>3.689046778480729</v>
      </c>
      <c r="F35" s="634">
        <f>Effort!G35</f>
        <v>-9.3948243471269617</v>
      </c>
      <c r="G35" s="635">
        <f t="shared" si="0"/>
        <v>8.8782197617211196</v>
      </c>
      <c r="H35" s="149">
        <f t="shared" si="1"/>
        <v>0</v>
      </c>
      <c r="I35" s="41">
        <f t="shared" si="2"/>
        <v>0</v>
      </c>
      <c r="J35" s="28"/>
    </row>
    <row r="36" spans="1:10" x14ac:dyDescent="0.25">
      <c r="A36" s="37">
        <f>Données!A36</f>
        <v>5456</v>
      </c>
      <c r="B36" s="125" t="str">
        <f>Données!B36</f>
        <v>Cudrefin</v>
      </c>
      <c r="C36" s="247">
        <f>VPI!R36</f>
        <v>69270.195988700565</v>
      </c>
      <c r="D36" s="633">
        <f>Effort!I36-IF(PCS!I42&lt;0, Effort!D36, 0)</f>
        <v>15.698724648128577</v>
      </c>
      <c r="E36" s="634">
        <f>IF(PCS!I42&lt;0, 0, PCS!F42/Aide!C36)</f>
        <v>2.2832117441359485</v>
      </c>
      <c r="F36" s="634">
        <f>Effort!G36</f>
        <v>-3.2839497356952605</v>
      </c>
      <c r="G36" s="635">
        <f t="shared" si="0"/>
        <v>21.265886127959785</v>
      </c>
      <c r="H36" s="149">
        <f t="shared" si="1"/>
        <v>0</v>
      </c>
      <c r="I36" s="41">
        <f t="shared" si="2"/>
        <v>0</v>
      </c>
      <c r="J36" s="28"/>
    </row>
    <row r="37" spans="1:10" x14ac:dyDescent="0.25">
      <c r="A37" s="37">
        <f>Données!A37</f>
        <v>5458</v>
      </c>
      <c r="B37" s="125" t="str">
        <f>Données!B37</f>
        <v>Faoug</v>
      </c>
      <c r="C37" s="247">
        <f>VPI!R37</f>
        <v>33300.633333333331</v>
      </c>
      <c r="D37" s="633">
        <f>Effort!I37-IF(PCS!I43&lt;0, Effort!D37, 0)</f>
        <v>18.084379337506597</v>
      </c>
      <c r="E37" s="634">
        <f>IF(PCS!I43&lt;0, 0, PCS!F43/Aide!C37)</f>
        <v>2.4394099111228114</v>
      </c>
      <c r="F37" s="634">
        <f>Effort!G37</f>
        <v>-3.0667298648311472</v>
      </c>
      <c r="G37" s="635">
        <f t="shared" si="0"/>
        <v>23.590519113460555</v>
      </c>
      <c r="H37" s="149">
        <f t="shared" si="1"/>
        <v>0</v>
      </c>
      <c r="I37" s="41">
        <f t="shared" si="2"/>
        <v>0</v>
      </c>
      <c r="J37" s="28"/>
    </row>
    <row r="38" spans="1:10" x14ac:dyDescent="0.25">
      <c r="A38" s="37">
        <f>Données!A38</f>
        <v>5464</v>
      </c>
      <c r="B38" s="125" t="str">
        <f>Données!B38</f>
        <v>Vully-les-Lacs</v>
      </c>
      <c r="C38" s="247">
        <f>VPI!R38</f>
        <v>124498.36985074625</v>
      </c>
      <c r="D38" s="633">
        <f>Effort!I38-IF(PCS!I44&lt;0, Effort!D38, 0)</f>
        <v>6.4053710258440049</v>
      </c>
      <c r="E38" s="634">
        <f>IF(PCS!I44&lt;0, 0, PCS!F44/Aide!C38)</f>
        <v>2.8891996773228743</v>
      </c>
      <c r="F38" s="634">
        <f>Effort!G38</f>
        <v>-6.2175020838279513</v>
      </c>
      <c r="G38" s="635">
        <f t="shared" si="0"/>
        <v>15.512072786994832</v>
      </c>
      <c r="H38" s="149">
        <f t="shared" si="1"/>
        <v>0</v>
      </c>
      <c r="I38" s="41">
        <f t="shared" si="2"/>
        <v>0</v>
      </c>
      <c r="J38" s="28"/>
    </row>
    <row r="39" spans="1:10" x14ac:dyDescent="0.25">
      <c r="A39" s="37">
        <f>Données!A39</f>
        <v>5471</v>
      </c>
      <c r="B39" s="125" t="str">
        <f>Données!B39</f>
        <v>Bettens</v>
      </c>
      <c r="C39" s="247">
        <f>VPI!R39</f>
        <v>23785.854190476188</v>
      </c>
      <c r="D39" s="633">
        <f>Effort!I39-IF(PCS!I45&lt;0, Effort!D39, 0)</f>
        <v>19.551590694149944</v>
      </c>
      <c r="E39" s="634">
        <f>IF(PCS!I45&lt;0, 0, PCS!F45/Aide!C39)</f>
        <v>4.5234513815812631</v>
      </c>
      <c r="F39" s="634">
        <f>Effort!G39</f>
        <v>-0.17946343313099222</v>
      </c>
      <c r="G39" s="635">
        <f t="shared" si="0"/>
        <v>24.254505508862199</v>
      </c>
      <c r="H39" s="149">
        <f t="shared" si="1"/>
        <v>0</v>
      </c>
      <c r="I39" s="41">
        <f t="shared" si="2"/>
        <v>0</v>
      </c>
      <c r="J39" s="28"/>
    </row>
    <row r="40" spans="1:10" x14ac:dyDescent="0.25">
      <c r="A40" s="37">
        <f>Données!A40</f>
        <v>5472</v>
      </c>
      <c r="B40" s="125" t="str">
        <f>Données!B40</f>
        <v>Bournens</v>
      </c>
      <c r="C40" s="247">
        <f>VPI!R40</f>
        <v>19794.03169230769</v>
      </c>
      <c r="D40" s="633">
        <f>Effort!I40-IF(PCS!I46&lt;0, Effort!D40, 0)</f>
        <v>17.85255210417791</v>
      </c>
      <c r="E40" s="634">
        <f>IF(PCS!I46&lt;0, 0, PCS!F46/Aide!C40)</f>
        <v>2.9094527529922272</v>
      </c>
      <c r="F40" s="634">
        <f>Effort!G40</f>
        <v>-3.4448253139400613</v>
      </c>
      <c r="G40" s="635">
        <f t="shared" si="0"/>
        <v>24.206830171110198</v>
      </c>
      <c r="H40" s="149">
        <f t="shared" si="1"/>
        <v>0</v>
      </c>
      <c r="I40" s="41">
        <f t="shared" si="2"/>
        <v>0</v>
      </c>
      <c r="J40" s="28"/>
    </row>
    <row r="41" spans="1:10" x14ac:dyDescent="0.25">
      <c r="A41" s="37">
        <f>Données!A41</f>
        <v>5473</v>
      </c>
      <c r="B41" s="125" t="str">
        <f>Données!B41</f>
        <v>Boussens</v>
      </c>
      <c r="C41" s="247">
        <f>VPI!R41</f>
        <v>38638.005156250001</v>
      </c>
      <c r="D41" s="633">
        <f>Effort!I41-IF(PCS!I47&lt;0, Effort!D41, 0)</f>
        <v>22.205464439280931</v>
      </c>
      <c r="E41" s="634">
        <f>IF(PCS!I47&lt;0, 0, PCS!F47/Aide!C41)</f>
        <v>1.7568856033194937</v>
      </c>
      <c r="F41" s="634">
        <f>Effort!G41</f>
        <v>0</v>
      </c>
      <c r="G41" s="635">
        <f t="shared" si="0"/>
        <v>23.962350042600423</v>
      </c>
      <c r="H41" s="149">
        <f t="shared" si="1"/>
        <v>0</v>
      </c>
      <c r="I41" s="41">
        <f t="shared" si="2"/>
        <v>0</v>
      </c>
      <c r="J41" s="28"/>
    </row>
    <row r="42" spans="1:10" x14ac:dyDescent="0.25">
      <c r="A42" s="37">
        <f>Données!A42</f>
        <v>5474</v>
      </c>
      <c r="B42" s="125" t="str">
        <f>Données!B42</f>
        <v>La Chaux (Cossonay)</v>
      </c>
      <c r="C42" s="247">
        <f>VPI!R42</f>
        <v>13264.060789473682</v>
      </c>
      <c r="D42" s="633">
        <f>Effort!I42-IF(PCS!I48&lt;0, Effort!D42, 0)</f>
        <v>3.3027001145736854</v>
      </c>
      <c r="E42" s="634">
        <f>IF(PCS!I48&lt;0, 0, PCS!F48/Aide!C42)</f>
        <v>3.6626128883964277</v>
      </c>
      <c r="F42" s="634">
        <f>Effort!G42</f>
        <v>-8.1555955378101324</v>
      </c>
      <c r="G42" s="635">
        <f t="shared" si="0"/>
        <v>15.120908540780245</v>
      </c>
      <c r="H42" s="149">
        <f t="shared" si="1"/>
        <v>0</v>
      </c>
      <c r="I42" s="41">
        <f t="shared" si="2"/>
        <v>0</v>
      </c>
      <c r="J42" s="28"/>
    </row>
    <row r="43" spans="1:10" x14ac:dyDescent="0.25">
      <c r="A43" s="37">
        <f>Données!A43</f>
        <v>5475</v>
      </c>
      <c r="B43" s="125" t="str">
        <f>Données!B43</f>
        <v>Chavannes-le-Veyron</v>
      </c>
      <c r="C43" s="247">
        <f>VPI!R43</f>
        <v>4088.5965333333334</v>
      </c>
      <c r="D43" s="633">
        <f>Effort!I43-IF(PCS!I49&lt;0, Effort!D43, 0)</f>
        <v>-22.61409679856413</v>
      </c>
      <c r="E43" s="634">
        <f>IF(PCS!I49&lt;0, 0, PCS!F49/Aide!C43)</f>
        <v>14.959644342831382</v>
      </c>
      <c r="F43" s="634">
        <f>Effort!G43</f>
        <v>-26.590930372686366</v>
      </c>
      <c r="G43" s="635">
        <f t="shared" si="0"/>
        <v>18.936477916953617</v>
      </c>
      <c r="H43" s="149">
        <f t="shared" si="1"/>
        <v>0</v>
      </c>
      <c r="I43" s="41">
        <f t="shared" si="2"/>
        <v>0</v>
      </c>
      <c r="J43" s="28"/>
    </row>
    <row r="44" spans="1:10" x14ac:dyDescent="0.25">
      <c r="A44" s="37">
        <f>Données!A44</f>
        <v>5476</v>
      </c>
      <c r="B44" s="125" t="str">
        <f>Données!B44</f>
        <v>Chevilly</v>
      </c>
      <c r="C44" s="247">
        <f>VPI!R44</f>
        <v>11956.878714285715</v>
      </c>
      <c r="D44" s="633">
        <f>Effort!I44-IF(PCS!I50&lt;0, Effort!D44, 0)</f>
        <v>8.5681639492380057</v>
      </c>
      <c r="E44" s="634">
        <f>IF(PCS!I50&lt;0, 0, PCS!F50/Aide!C44)</f>
        <v>2.5589182370348897</v>
      </c>
      <c r="F44" s="634">
        <f>Effort!G44</f>
        <v>-9.5130192055786473</v>
      </c>
      <c r="G44" s="635">
        <f t="shared" si="0"/>
        <v>20.640101391851545</v>
      </c>
      <c r="H44" s="149">
        <f t="shared" si="1"/>
        <v>0</v>
      </c>
      <c r="I44" s="41">
        <f t="shared" si="2"/>
        <v>0</v>
      </c>
      <c r="J44" s="28"/>
    </row>
    <row r="45" spans="1:10" x14ac:dyDescent="0.25">
      <c r="A45" s="37">
        <f>Données!A45</f>
        <v>5477</v>
      </c>
      <c r="B45" s="125" t="str">
        <f>Données!B45</f>
        <v>Cossonay</v>
      </c>
      <c r="C45" s="247">
        <f>VPI!R45</f>
        <v>181500.7204411765</v>
      </c>
      <c r="D45" s="633">
        <f>Effort!I45-IF(PCS!I51&lt;0, Effort!D45, 0)</f>
        <v>9.1745893649780328</v>
      </c>
      <c r="E45" s="634">
        <f>IF(PCS!I51&lt;0, 0, PCS!F51/Aide!C45)</f>
        <v>6.0479293268467238</v>
      </c>
      <c r="F45" s="634">
        <f>Effort!G45</f>
        <v>-4.6216969710875908</v>
      </c>
      <c r="G45" s="635">
        <f t="shared" si="0"/>
        <v>19.844215662912347</v>
      </c>
      <c r="H45" s="149">
        <f t="shared" si="1"/>
        <v>0</v>
      </c>
      <c r="I45" s="41">
        <f t="shared" si="2"/>
        <v>0</v>
      </c>
      <c r="J45" s="28"/>
    </row>
    <row r="46" spans="1:10" x14ac:dyDescent="0.25">
      <c r="A46" s="37">
        <f>Données!A46</f>
        <v>5479</v>
      </c>
      <c r="B46" s="125" t="str">
        <f>Données!B46</f>
        <v>Cuarnens</v>
      </c>
      <c r="C46" s="247">
        <f>VPI!R46</f>
        <v>19152.633421052633</v>
      </c>
      <c r="D46" s="633">
        <f>Effort!I46-IF(PCS!I52&lt;0, Effort!D46, 0)</f>
        <v>5.5433618725094753</v>
      </c>
      <c r="E46" s="634">
        <f>IF(PCS!I52&lt;0, 0, PCS!F52/Aide!C46)</f>
        <v>1.0338434702266517</v>
      </c>
      <c r="F46" s="634">
        <f>Effort!G46</f>
        <v>-10.521179274686126</v>
      </c>
      <c r="G46" s="635">
        <f t="shared" si="0"/>
        <v>17.098384617422255</v>
      </c>
      <c r="H46" s="149">
        <f t="shared" si="1"/>
        <v>0</v>
      </c>
      <c r="I46" s="41">
        <f t="shared" si="2"/>
        <v>0</v>
      </c>
      <c r="J46" s="28"/>
    </row>
    <row r="47" spans="1:10" x14ac:dyDescent="0.25">
      <c r="A47" s="37">
        <f>Données!A47</f>
        <v>5480</v>
      </c>
      <c r="B47" s="125" t="str">
        <f>Données!B47</f>
        <v>Daillens</v>
      </c>
      <c r="C47" s="247">
        <f>VPI!R47</f>
        <v>49509.108484848482</v>
      </c>
      <c r="D47" s="633">
        <f>Effort!I47-IF(PCS!I53&lt;0, Effort!D47, 0)</f>
        <v>23.374058008961825</v>
      </c>
      <c r="E47" s="634">
        <f>IF(PCS!I53&lt;0, 0, PCS!F53/Aide!C47)</f>
        <v>4.7386563236499777</v>
      </c>
      <c r="F47" s="634">
        <f>Effort!G47</f>
        <v>-1.9585704713625967</v>
      </c>
      <c r="G47" s="635">
        <f t="shared" si="0"/>
        <v>30.071284803974397</v>
      </c>
      <c r="H47" s="149">
        <f t="shared" si="1"/>
        <v>0</v>
      </c>
      <c r="I47" s="41">
        <f t="shared" si="2"/>
        <v>0</v>
      </c>
      <c r="J47" s="28"/>
    </row>
    <row r="48" spans="1:10" x14ac:dyDescent="0.25">
      <c r="A48" s="37">
        <f>Données!A48</f>
        <v>5481</v>
      </c>
      <c r="B48" s="125" t="str">
        <f>Données!B48</f>
        <v>Dizy</v>
      </c>
      <c r="C48" s="247">
        <f>VPI!R48</f>
        <v>12384.965733333334</v>
      </c>
      <c r="D48" s="633">
        <f>Effort!I48-IF(PCS!I54&lt;0, Effort!D48, 0)</f>
        <v>28.124175145670385</v>
      </c>
      <c r="E48" s="634">
        <f>IF(PCS!I54&lt;0, 0, PCS!F54/Aide!C48)</f>
        <v>1.6952004916326344</v>
      </c>
      <c r="F48" s="634">
        <f>Effort!G48</f>
        <v>-0.58098590559222518</v>
      </c>
      <c r="G48" s="635">
        <f t="shared" si="0"/>
        <v>30.400361542895244</v>
      </c>
      <c r="H48" s="149">
        <f t="shared" si="1"/>
        <v>0</v>
      </c>
      <c r="I48" s="41">
        <f t="shared" si="2"/>
        <v>0</v>
      </c>
      <c r="J48" s="28"/>
    </row>
    <row r="49" spans="1:10" x14ac:dyDescent="0.25">
      <c r="A49" s="37">
        <f>Données!A49</f>
        <v>5482</v>
      </c>
      <c r="B49" s="125" t="str">
        <f>Données!B49</f>
        <v>Eclépens</v>
      </c>
      <c r="C49" s="247">
        <f>VPI!R49</f>
        <v>54393.337391304347</v>
      </c>
      <c r="D49" s="633">
        <f>Effort!I49-IF(PCS!I55&lt;0, Effort!D49, 0)</f>
        <v>22.925473127610861</v>
      </c>
      <c r="E49" s="634">
        <f>IF(PCS!I55&lt;0, 0, PCS!F55/Aide!C49)</f>
        <v>3.908258073423251</v>
      </c>
      <c r="F49" s="634">
        <f>Effort!G49</f>
        <v>-2.8981987374700591</v>
      </c>
      <c r="G49" s="635">
        <f t="shared" si="0"/>
        <v>29.731929938504173</v>
      </c>
      <c r="H49" s="149">
        <f t="shared" si="1"/>
        <v>0</v>
      </c>
      <c r="I49" s="41">
        <f t="shared" si="2"/>
        <v>0</v>
      </c>
      <c r="J49" s="28"/>
    </row>
    <row r="50" spans="1:10" x14ac:dyDescent="0.25">
      <c r="A50" s="37">
        <f>Données!A50</f>
        <v>5483</v>
      </c>
      <c r="B50" s="125" t="str">
        <f>Données!B50</f>
        <v>Ferreyres</v>
      </c>
      <c r="C50" s="247">
        <f>VPI!R50</f>
        <v>11195.615526315791</v>
      </c>
      <c r="D50" s="633">
        <f>Effort!I50-IF(PCS!I56&lt;0, Effort!D50, 0)</f>
        <v>17.984375921251289</v>
      </c>
      <c r="E50" s="634">
        <f>IF(PCS!I56&lt;0, 0, PCS!F56/Aide!C50)</f>
        <v>1.4235278053751257</v>
      </c>
      <c r="F50" s="634">
        <f>Effort!G50</f>
        <v>-0.25594834021592089</v>
      </c>
      <c r="G50" s="635">
        <f t="shared" si="0"/>
        <v>19.663852066842335</v>
      </c>
      <c r="H50" s="149">
        <f t="shared" si="1"/>
        <v>0</v>
      </c>
      <c r="I50" s="41">
        <f t="shared" si="2"/>
        <v>0</v>
      </c>
      <c r="J50" s="28"/>
    </row>
    <row r="51" spans="1:10" x14ac:dyDescent="0.25">
      <c r="A51" s="37">
        <f>Données!A51</f>
        <v>5484</v>
      </c>
      <c r="B51" s="125" t="str">
        <f>Données!B51</f>
        <v>Gollion</v>
      </c>
      <c r="C51" s="247">
        <f>VPI!R51</f>
        <v>33718.962837837833</v>
      </c>
      <c r="D51" s="633">
        <f>Effort!I51-IF(PCS!I57&lt;0, Effort!D51, 0)</f>
        <v>0.92123457263300423</v>
      </c>
      <c r="E51" s="634">
        <f>IF(PCS!I57&lt;0, 0, PCS!F57/Aide!C51)</f>
        <v>3.7586108626621901</v>
      </c>
      <c r="F51" s="634">
        <f>Effort!G51</f>
        <v>-12.46771679803391</v>
      </c>
      <c r="G51" s="635">
        <f t="shared" si="0"/>
        <v>17.147562233329104</v>
      </c>
      <c r="H51" s="149">
        <f t="shared" si="1"/>
        <v>0</v>
      </c>
      <c r="I51" s="41">
        <f t="shared" si="2"/>
        <v>0</v>
      </c>
      <c r="J51" s="28"/>
    </row>
    <row r="52" spans="1:10" x14ac:dyDescent="0.25">
      <c r="A52" s="37">
        <f>Données!A52</f>
        <v>5485</v>
      </c>
      <c r="B52" s="125" t="str">
        <f>Données!B52</f>
        <v>Grancy</v>
      </c>
      <c r="C52" s="247">
        <f>VPI!R52</f>
        <v>26449.499428571431</v>
      </c>
      <c r="D52" s="633">
        <f>Effort!I52-IF(PCS!I58&lt;0, Effort!D52, 0)</f>
        <v>24.072678618169068</v>
      </c>
      <c r="E52" s="634">
        <f>IF(PCS!I58&lt;0, 0, PCS!F58/Aide!C52)</f>
        <v>2.7533424667134936</v>
      </c>
      <c r="F52" s="634">
        <f>Effort!G52</f>
        <v>-3.4818144335657593</v>
      </c>
      <c r="G52" s="635">
        <f t="shared" si="0"/>
        <v>30.307835518448321</v>
      </c>
      <c r="H52" s="149">
        <f t="shared" si="1"/>
        <v>0</v>
      </c>
      <c r="I52" s="41">
        <f t="shared" si="2"/>
        <v>0</v>
      </c>
      <c r="J52" s="28"/>
    </row>
    <row r="53" spans="1:10" x14ac:dyDescent="0.25">
      <c r="A53" s="37">
        <f>Données!A53</f>
        <v>5486</v>
      </c>
      <c r="B53" s="125" t="str">
        <f>Données!B53</f>
        <v>L'Isle</v>
      </c>
      <c r="C53" s="247">
        <f>VPI!R53</f>
        <v>36962.66320000001</v>
      </c>
      <c r="D53" s="633">
        <f>Effort!I53-IF(PCS!I59&lt;0, Effort!D53, 0)</f>
        <v>7.948316682435479</v>
      </c>
      <c r="E53" s="634">
        <f>IF(PCS!I59&lt;0, 0, PCS!F59/Aide!C53)</f>
        <v>3.8795433712146576</v>
      </c>
      <c r="F53" s="634">
        <f>Effort!G53</f>
        <v>-7.3216123723095183</v>
      </c>
      <c r="G53" s="635">
        <f t="shared" si="0"/>
        <v>19.149472425959654</v>
      </c>
      <c r="H53" s="149">
        <f t="shared" si="1"/>
        <v>0</v>
      </c>
      <c r="I53" s="41">
        <f t="shared" si="2"/>
        <v>0</v>
      </c>
      <c r="J53" s="28"/>
    </row>
    <row r="54" spans="1:10" x14ac:dyDescent="0.25">
      <c r="A54" s="37">
        <f>Données!A54</f>
        <v>5487</v>
      </c>
      <c r="B54" s="125" t="str">
        <f>Données!B54</f>
        <v>Lussery-Villars</v>
      </c>
      <c r="C54" s="247">
        <f>VPI!R54</f>
        <v>15075.076666666666</v>
      </c>
      <c r="D54" s="633">
        <f>Effort!I54-IF(PCS!I60&lt;0, Effort!D54, 0)</f>
        <v>14.140829160916063</v>
      </c>
      <c r="E54" s="634">
        <f>IF(PCS!I60&lt;0, 0, PCS!F60/Aide!C54)</f>
        <v>2.8149193492216624</v>
      </c>
      <c r="F54" s="634">
        <f>Effort!G54</f>
        <v>0</v>
      </c>
      <c r="G54" s="635">
        <f t="shared" si="0"/>
        <v>16.955748510137724</v>
      </c>
      <c r="H54" s="149">
        <f t="shared" si="1"/>
        <v>0</v>
      </c>
      <c r="I54" s="41">
        <f t="shared" si="2"/>
        <v>0</v>
      </c>
      <c r="J54" s="28"/>
    </row>
    <row r="55" spans="1:10" x14ac:dyDescent="0.25">
      <c r="A55" s="37">
        <f>Données!A55</f>
        <v>5488</v>
      </c>
      <c r="B55" s="125" t="str">
        <f>Données!B55</f>
        <v>Mauraz</v>
      </c>
      <c r="C55" s="247">
        <f>VPI!R55</f>
        <v>1889.5633766233766</v>
      </c>
      <c r="D55" s="633">
        <f>Effort!I55-IF(PCS!I61&lt;0, Effort!D55, 0)</f>
        <v>-14.060527918072221</v>
      </c>
      <c r="E55" s="634">
        <f>IF(PCS!I61&lt;0, 0, PCS!F61/Aide!C55)</f>
        <v>0</v>
      </c>
      <c r="F55" s="634">
        <f>Effort!G55</f>
        <v>-21.717798799409884</v>
      </c>
      <c r="G55" s="635">
        <f t="shared" si="0"/>
        <v>7.6572708813376629</v>
      </c>
      <c r="H55" s="149">
        <f t="shared" si="1"/>
        <v>0</v>
      </c>
      <c r="I55" s="41">
        <f t="shared" si="2"/>
        <v>0</v>
      </c>
      <c r="J55" s="28"/>
    </row>
    <row r="56" spans="1:10" x14ac:dyDescent="0.25">
      <c r="A56" s="37">
        <f>Données!A56</f>
        <v>5489</v>
      </c>
      <c r="B56" s="125" t="str">
        <f>Données!B56</f>
        <v>Mex</v>
      </c>
      <c r="C56" s="247">
        <f>VPI!R56</f>
        <v>77108.405546218492</v>
      </c>
      <c r="D56" s="633">
        <f>Effort!I56-IF(PCS!I62&lt;0, Effort!D56, 0)</f>
        <v>22.976606598023807</v>
      </c>
      <c r="E56" s="634">
        <f>IF(PCS!I62&lt;0, 0, PCS!F62/Aide!C56)</f>
        <v>1.339493953588375</v>
      </c>
      <c r="F56" s="634">
        <f>Effort!G56</f>
        <v>-15.431082811658589</v>
      </c>
      <c r="G56" s="635">
        <f t="shared" si="0"/>
        <v>39.747183363270771</v>
      </c>
      <c r="H56" s="149">
        <f t="shared" si="1"/>
        <v>0</v>
      </c>
      <c r="I56" s="41">
        <f t="shared" si="2"/>
        <v>0</v>
      </c>
      <c r="J56" s="28"/>
    </row>
    <row r="57" spans="1:10" x14ac:dyDescent="0.25">
      <c r="A57" s="37">
        <f>Données!A57</f>
        <v>5490</v>
      </c>
      <c r="B57" s="125" t="str">
        <f>Données!B57</f>
        <v>Moiry</v>
      </c>
      <c r="C57" s="247">
        <f>VPI!R57</f>
        <v>8086.7260526315777</v>
      </c>
      <c r="D57" s="633">
        <f>Effort!I57-IF(PCS!I63&lt;0, Effort!D57, 0)</f>
        <v>0.2876131453668016</v>
      </c>
      <c r="E57" s="634">
        <f>IF(PCS!I63&lt;0, 0, PCS!F63/Aide!C57)</f>
        <v>10.973167561565074</v>
      </c>
      <c r="F57" s="634">
        <f>Effort!G57</f>
        <v>-5.8906630588079851</v>
      </c>
      <c r="G57" s="635">
        <f t="shared" si="0"/>
        <v>17.15144376573986</v>
      </c>
      <c r="H57" s="149">
        <f t="shared" si="1"/>
        <v>0</v>
      </c>
      <c r="I57" s="41">
        <f t="shared" si="2"/>
        <v>0</v>
      </c>
      <c r="J57" s="28"/>
    </row>
    <row r="58" spans="1:10" x14ac:dyDescent="0.25">
      <c r="A58" s="37">
        <f>Données!A58</f>
        <v>5491</v>
      </c>
      <c r="B58" s="125" t="str">
        <f>Données!B58</f>
        <v>Mont-la-Ville</v>
      </c>
      <c r="C58" s="247">
        <f>VPI!R58</f>
        <v>14059.996578947368</v>
      </c>
      <c r="D58" s="633">
        <f>Effort!I58-IF(PCS!I64&lt;0, Effort!D58, 0)</f>
        <v>-45.833920206982242</v>
      </c>
      <c r="E58" s="634">
        <f>IF(PCS!I64&lt;0, 0, PCS!F64/Aide!C58)</f>
        <v>3.5303344294068206</v>
      </c>
      <c r="F58" s="634">
        <f>Effort!G58</f>
        <v>-54.287037868993451</v>
      </c>
      <c r="G58" s="635">
        <f t="shared" si="0"/>
        <v>11.98345209141803</v>
      </c>
      <c r="H58" s="149">
        <f t="shared" si="1"/>
        <v>0</v>
      </c>
      <c r="I58" s="41">
        <f t="shared" si="2"/>
        <v>0</v>
      </c>
      <c r="J58" s="28"/>
    </row>
    <row r="59" spans="1:10" x14ac:dyDescent="0.25">
      <c r="A59" s="37">
        <f>Données!A59</f>
        <v>5492</v>
      </c>
      <c r="B59" s="125" t="str">
        <f>Données!B59</f>
        <v>Montricher</v>
      </c>
      <c r="C59" s="247">
        <f>VPI!R59</f>
        <v>198155.03156250002</v>
      </c>
      <c r="D59" s="633">
        <f>Effort!I59-IF(PCS!I65&lt;0, Effort!D59, 0)</f>
        <v>53.433522339017429</v>
      </c>
      <c r="E59" s="634">
        <f>IF(PCS!I65&lt;0, 0, PCS!F65/Aide!C59)</f>
        <v>7.4707536736612097</v>
      </c>
      <c r="F59" s="634">
        <f>Effort!G59</f>
        <v>-0.2346837773266465</v>
      </c>
      <c r="G59" s="635">
        <f t="shared" si="0"/>
        <v>61.138959790005281</v>
      </c>
      <c r="H59" s="149">
        <f t="shared" si="1"/>
        <v>0</v>
      </c>
      <c r="I59" s="41">
        <f t="shared" si="2"/>
        <v>0</v>
      </c>
      <c r="J59" s="28"/>
    </row>
    <row r="60" spans="1:10" x14ac:dyDescent="0.25">
      <c r="A60" s="37">
        <f>Données!A60</f>
        <v>5493</v>
      </c>
      <c r="B60" s="125" t="str">
        <f>Données!B60</f>
        <v>Orny</v>
      </c>
      <c r="C60" s="247">
        <f>VPI!R60</f>
        <v>16121.406280295052</v>
      </c>
      <c r="D60" s="633">
        <f>Effort!I60-IF(PCS!I66&lt;0, Effort!D60, 0)</f>
        <v>10.024780966141631</v>
      </c>
      <c r="E60" s="634">
        <f>IF(PCS!I66&lt;0, 0, PCS!F66/Aide!C60)</f>
        <v>2.9763687587632597</v>
      </c>
      <c r="F60" s="634">
        <f>Effort!G60</f>
        <v>-5.0269914451611459</v>
      </c>
      <c r="G60" s="635">
        <f t="shared" si="0"/>
        <v>18.028141170066036</v>
      </c>
      <c r="H60" s="149">
        <f t="shared" si="1"/>
        <v>0</v>
      </c>
      <c r="I60" s="41">
        <f t="shared" si="2"/>
        <v>0</v>
      </c>
      <c r="J60" s="28"/>
    </row>
    <row r="61" spans="1:10" x14ac:dyDescent="0.25">
      <c r="A61" s="37">
        <f>Données!A61</f>
        <v>5495</v>
      </c>
      <c r="B61" s="125" t="str">
        <f>Données!B61</f>
        <v>Penthalaz</v>
      </c>
      <c r="C61" s="247">
        <f>VPI!R61</f>
        <v>96624.252827586228</v>
      </c>
      <c r="D61" s="633">
        <f>Effort!I61-IF(PCS!I67&lt;0, Effort!D61, 0)</f>
        <v>0.21148960634251068</v>
      </c>
      <c r="E61" s="634">
        <f>IF(PCS!I67&lt;0, 0, PCS!F67/Aide!C61)</f>
        <v>3.2318572290252705</v>
      </c>
      <c r="F61" s="634">
        <f>Effort!G61</f>
        <v>-6.8879795308774669</v>
      </c>
      <c r="G61" s="635">
        <f t="shared" si="0"/>
        <v>10.331326366245248</v>
      </c>
      <c r="H61" s="149">
        <f t="shared" si="1"/>
        <v>0</v>
      </c>
      <c r="I61" s="41">
        <f t="shared" si="2"/>
        <v>0</v>
      </c>
      <c r="J61" s="28"/>
    </row>
    <row r="62" spans="1:10" x14ac:dyDescent="0.25">
      <c r="A62" s="37">
        <f>Données!A62</f>
        <v>5496</v>
      </c>
      <c r="B62" s="125" t="str">
        <f>Données!B62</f>
        <v>Penthaz</v>
      </c>
      <c r="C62" s="247">
        <f>VPI!R62</f>
        <v>63424.403453237413</v>
      </c>
      <c r="D62" s="633">
        <f>Effort!I62-IF(PCS!I68&lt;0, Effort!D62, 0)</f>
        <v>8.6293212221563707</v>
      </c>
      <c r="E62" s="634">
        <f>IF(PCS!I68&lt;0, 0, PCS!F68/Aide!C62)</f>
        <v>1.0492221664972277</v>
      </c>
      <c r="F62" s="634">
        <f>Effort!G62</f>
        <v>-4.0919675687818984</v>
      </c>
      <c r="G62" s="635">
        <f t="shared" si="0"/>
        <v>13.770510957435496</v>
      </c>
      <c r="H62" s="149">
        <f t="shared" si="1"/>
        <v>0</v>
      </c>
      <c r="I62" s="41">
        <f t="shared" si="2"/>
        <v>0</v>
      </c>
      <c r="J62" s="28"/>
    </row>
    <row r="63" spans="1:10" x14ac:dyDescent="0.25">
      <c r="A63" s="37">
        <f>Données!A63</f>
        <v>5497</v>
      </c>
      <c r="B63" s="125" t="str">
        <f>Données!B63</f>
        <v>Pompaples</v>
      </c>
      <c r="C63" s="247">
        <f>VPI!R63</f>
        <v>29282.771666666667</v>
      </c>
      <c r="D63" s="633">
        <f>Effort!I63-IF(PCS!I69&lt;0, Effort!D63, 0)</f>
        <v>9.3174463568595627</v>
      </c>
      <c r="E63" s="634">
        <f>IF(PCS!I69&lt;0, 0, PCS!F69/Aide!C63)</f>
        <v>4.603950627852111</v>
      </c>
      <c r="F63" s="634">
        <f>Effort!G63</f>
        <v>-6.902781664021334</v>
      </c>
      <c r="G63" s="635">
        <f t="shared" si="0"/>
        <v>20.824178648733007</v>
      </c>
      <c r="H63" s="149">
        <f t="shared" si="1"/>
        <v>0</v>
      </c>
      <c r="I63" s="41">
        <f t="shared" si="2"/>
        <v>0</v>
      </c>
      <c r="J63" s="28"/>
    </row>
    <row r="64" spans="1:10" x14ac:dyDescent="0.25">
      <c r="A64" s="37">
        <f>Données!A64</f>
        <v>5498</v>
      </c>
      <c r="B64" s="125" t="str">
        <f>Données!B64</f>
        <v>La Sarraz</v>
      </c>
      <c r="C64" s="247">
        <f>VPI!R64</f>
        <v>76599.208428571437</v>
      </c>
      <c r="D64" s="633">
        <f>Effort!I64-IF(PCS!I70&lt;0, Effort!D64, 0)</f>
        <v>2.0444875546620267</v>
      </c>
      <c r="E64" s="634">
        <f>IF(PCS!I70&lt;0, 0, PCS!F70/Aide!C64)</f>
        <v>3.2387424764492012</v>
      </c>
      <c r="F64" s="634">
        <f>Effort!G64</f>
        <v>-5.1565762996899656</v>
      </c>
      <c r="G64" s="635">
        <f t="shared" si="0"/>
        <v>10.439806330801193</v>
      </c>
      <c r="H64" s="149">
        <f t="shared" si="1"/>
        <v>0</v>
      </c>
      <c r="I64" s="41">
        <f t="shared" si="2"/>
        <v>0</v>
      </c>
      <c r="J64" s="28"/>
    </row>
    <row r="65" spans="1:10" x14ac:dyDescent="0.25">
      <c r="A65" s="37">
        <f>Données!A65</f>
        <v>5499</v>
      </c>
      <c r="B65" s="125" t="str">
        <f>Données!B65</f>
        <v>Senarclens</v>
      </c>
      <c r="C65" s="247">
        <f>VPI!R65</f>
        <v>21136.176934306572</v>
      </c>
      <c r="D65" s="633">
        <f>Effort!I65-IF(PCS!I71&lt;0, Effort!D65, 0)</f>
        <v>15.439349003317734</v>
      </c>
      <c r="E65" s="634">
        <f>IF(PCS!I71&lt;0, 0, PCS!F71/Aide!C65)</f>
        <v>3.1085841684716002</v>
      </c>
      <c r="F65" s="634">
        <f>Effort!G65</f>
        <v>-9.6770991050647162</v>
      </c>
      <c r="G65" s="635">
        <f t="shared" si="0"/>
        <v>28.225032276854051</v>
      </c>
      <c r="H65" s="149">
        <f t="shared" si="1"/>
        <v>0</v>
      </c>
      <c r="I65" s="41">
        <f t="shared" si="2"/>
        <v>0</v>
      </c>
      <c r="J65" s="28"/>
    </row>
    <row r="66" spans="1:10" x14ac:dyDescent="0.25">
      <c r="A66" s="37">
        <f>Données!A66</f>
        <v>5501</v>
      </c>
      <c r="B66" s="125" t="str">
        <f>Données!B66</f>
        <v>Sullens</v>
      </c>
      <c r="C66" s="247">
        <f>VPI!R66</f>
        <v>57751.835468749996</v>
      </c>
      <c r="D66" s="633">
        <f>Effort!I66-IF(PCS!I72&lt;0, Effort!D66, 0)</f>
        <v>25.930638810763391</v>
      </c>
      <c r="E66" s="634">
        <f>IF(PCS!I72&lt;0, 0, PCS!F72/Aide!C66)</f>
        <v>4.3509436186832016</v>
      </c>
      <c r="F66" s="634">
        <f>Effort!G66</f>
        <v>0</v>
      </c>
      <c r="G66" s="635">
        <f t="shared" si="0"/>
        <v>30.281582429446594</v>
      </c>
      <c r="H66" s="149">
        <f t="shared" si="1"/>
        <v>0</v>
      </c>
      <c r="I66" s="41">
        <f t="shared" si="2"/>
        <v>0</v>
      </c>
      <c r="J66" s="28"/>
    </row>
    <row r="67" spans="1:10" x14ac:dyDescent="0.25">
      <c r="A67" s="37">
        <f>Données!A67</f>
        <v>5503</v>
      </c>
      <c r="B67" s="125" t="str">
        <f>Données!B67</f>
        <v>Vufflens-la-Ville</v>
      </c>
      <c r="C67" s="247">
        <f>VPI!R67</f>
        <v>68821.666815920398</v>
      </c>
      <c r="D67" s="633">
        <f>Effort!I67-IF(PCS!I73&lt;0, Effort!D67, 0)</f>
        <v>21.792081554238418</v>
      </c>
      <c r="E67" s="634">
        <f>IF(PCS!I73&lt;0, 0, PCS!F73/Aide!C67)</f>
        <v>4.3203071177465144</v>
      </c>
      <c r="F67" s="634">
        <f>Effort!G67</f>
        <v>-5.4334355311817895</v>
      </c>
      <c r="G67" s="635">
        <f t="shared" si="0"/>
        <v>31.54582420316672</v>
      </c>
      <c r="H67" s="149">
        <f t="shared" si="1"/>
        <v>0</v>
      </c>
      <c r="I67" s="41">
        <f t="shared" si="2"/>
        <v>0</v>
      </c>
      <c r="J67" s="28"/>
    </row>
    <row r="68" spans="1:10" x14ac:dyDescent="0.25">
      <c r="A68" s="37">
        <f>Données!A68</f>
        <v>5511</v>
      </c>
      <c r="B68" s="125" t="str">
        <f>Données!B68</f>
        <v>Assens</v>
      </c>
      <c r="C68" s="247">
        <f>VPI!R68</f>
        <v>69828.319999999992</v>
      </c>
      <c r="D68" s="633">
        <f>Effort!I68-IF(PCS!I74&lt;0, Effort!D68, 0)</f>
        <v>17.691311055584428</v>
      </c>
      <c r="E68" s="634">
        <f>IF(PCS!I74&lt;0, 0, PCS!F74/Aide!C68)</f>
        <v>4.5247396758220733</v>
      </c>
      <c r="F68" s="634">
        <f>Effort!G68</f>
        <v>-2.8836148144154858</v>
      </c>
      <c r="G68" s="635">
        <f t="shared" si="0"/>
        <v>25.099665545821985</v>
      </c>
      <c r="H68" s="149">
        <f t="shared" si="1"/>
        <v>0</v>
      </c>
      <c r="I68" s="41">
        <f t="shared" si="2"/>
        <v>0</v>
      </c>
      <c r="J68" s="28"/>
    </row>
    <row r="69" spans="1:10" x14ac:dyDescent="0.25">
      <c r="A69" s="37">
        <f>Données!A69</f>
        <v>5512</v>
      </c>
      <c r="B69" s="125" t="str">
        <f>Données!B69</f>
        <v>Bercher</v>
      </c>
      <c r="C69" s="247">
        <f>VPI!R69</f>
        <v>41189.844430379737</v>
      </c>
      <c r="D69" s="633">
        <f>Effort!I69-IF(PCS!I75&lt;0, Effort!D69, 0)</f>
        <v>2.1313479715385064</v>
      </c>
      <c r="E69" s="634">
        <f>IF(PCS!I75&lt;0, 0, PCS!F75/Aide!C69)</f>
        <v>4.3657224854039622</v>
      </c>
      <c r="F69" s="634">
        <f>Effort!G69</f>
        <v>-6.4674867176084074</v>
      </c>
      <c r="G69" s="635">
        <f t="shared" si="0"/>
        <v>12.964557174550876</v>
      </c>
      <c r="H69" s="149">
        <f t="shared" si="1"/>
        <v>0</v>
      </c>
      <c r="I69" s="41">
        <f t="shared" si="2"/>
        <v>0</v>
      </c>
      <c r="J69" s="28"/>
    </row>
    <row r="70" spans="1:10" x14ac:dyDescent="0.25">
      <c r="A70" s="37">
        <f>Données!A70</f>
        <v>5514</v>
      </c>
      <c r="B70" s="125" t="str">
        <f>Données!B70</f>
        <v>Bottens</v>
      </c>
      <c r="C70" s="247">
        <f>VPI!R70</f>
        <v>45955.362896551727</v>
      </c>
      <c r="D70" s="633">
        <f>Effort!I70-IF(PCS!I76&lt;0, Effort!D70, 0)</f>
        <v>13.841388053142486</v>
      </c>
      <c r="E70" s="634">
        <f>IF(PCS!I76&lt;0, 0, PCS!F76/Aide!C70)</f>
        <v>2.5163523408641622</v>
      </c>
      <c r="F70" s="634">
        <f>Effort!G70</f>
        <v>-1.0156326739671691</v>
      </c>
      <c r="G70" s="635">
        <f t="shared" si="0"/>
        <v>17.373373067973816</v>
      </c>
      <c r="H70" s="149">
        <f t="shared" si="1"/>
        <v>0</v>
      </c>
      <c r="I70" s="41">
        <f t="shared" si="2"/>
        <v>0</v>
      </c>
      <c r="J70" s="28"/>
    </row>
    <row r="71" spans="1:10" x14ac:dyDescent="0.25">
      <c r="A71" s="37">
        <f>Données!A71</f>
        <v>5515</v>
      </c>
      <c r="B71" s="125" t="str">
        <f>Données!B71</f>
        <v>Bretigny-sur-Morrens</v>
      </c>
      <c r="C71" s="247">
        <f>VPI!R71</f>
        <v>32116.031538461531</v>
      </c>
      <c r="D71" s="633">
        <f>Effort!I71-IF(PCS!I77&lt;0, Effort!D71, 0)</f>
        <v>17.263465410252191</v>
      </c>
      <c r="E71" s="634">
        <f>IF(PCS!I77&lt;0, 0, PCS!F77/Aide!C71)</f>
        <v>1.523198466828489</v>
      </c>
      <c r="F71" s="634">
        <f>Effort!G71</f>
        <v>-2.3346110082259876E-2</v>
      </c>
      <c r="G71" s="635">
        <f t="shared" ref="G71:G134" si="3">D71+E71-F71</f>
        <v>18.810009987162942</v>
      </c>
      <c r="H71" s="149">
        <f t="shared" ref="H71:H134" si="4">IF(G71&lt;H$5,G71-H$5,0)</f>
        <v>0</v>
      </c>
      <c r="I71" s="41">
        <f t="shared" ref="I71:I134" si="5">-H71*C71</f>
        <v>0</v>
      </c>
      <c r="J71" s="28"/>
    </row>
    <row r="72" spans="1:10" x14ac:dyDescent="0.25">
      <c r="A72" s="37">
        <f>Données!A72</f>
        <v>5516</v>
      </c>
      <c r="B72" s="125" t="str">
        <f>Données!B72</f>
        <v>Cugy</v>
      </c>
      <c r="C72" s="247">
        <f>VPI!R72</f>
        <v>112038.1875</v>
      </c>
      <c r="D72" s="633">
        <f>Effort!I72-IF(PCS!I78&lt;0, Effort!D72, 0)</f>
        <v>14.493688947621381</v>
      </c>
      <c r="E72" s="634">
        <f>IF(PCS!I78&lt;0, 0, PCS!F78/Aide!C72)</f>
        <v>3.0339335416328472</v>
      </c>
      <c r="F72" s="634">
        <f>Effort!G72</f>
        <v>-3.3955073336002055</v>
      </c>
      <c r="G72" s="635">
        <f t="shared" si="3"/>
        <v>20.923129822854435</v>
      </c>
      <c r="H72" s="149">
        <f t="shared" si="4"/>
        <v>0</v>
      </c>
      <c r="I72" s="41">
        <f t="shared" si="5"/>
        <v>0</v>
      </c>
      <c r="J72" s="28"/>
    </row>
    <row r="73" spans="1:10" x14ac:dyDescent="0.25">
      <c r="A73" s="37">
        <f>Données!A73</f>
        <v>5518</v>
      </c>
      <c r="B73" s="125" t="str">
        <f>Données!B73</f>
        <v>Echallens</v>
      </c>
      <c r="C73" s="247">
        <f>VPI!R73</f>
        <v>216867.084137931</v>
      </c>
      <c r="D73" s="633">
        <f>Effort!I73-IF(PCS!I79&lt;0, Effort!D73, 0)</f>
        <v>-1.7465821908389287</v>
      </c>
      <c r="E73" s="634">
        <f>IF(PCS!I79&lt;0, 0, PCS!F79/Aide!C73)</f>
        <v>3.0367059511029533</v>
      </c>
      <c r="F73" s="634">
        <f>Effort!G73</f>
        <v>-6.8627764659816677</v>
      </c>
      <c r="G73" s="635">
        <f t="shared" si="3"/>
        <v>8.1529002262456913</v>
      </c>
      <c r="H73" s="149">
        <f t="shared" si="4"/>
        <v>0</v>
      </c>
      <c r="I73" s="41">
        <f t="shared" si="5"/>
        <v>0</v>
      </c>
      <c r="J73" s="28"/>
    </row>
    <row r="74" spans="1:10" x14ac:dyDescent="0.25">
      <c r="A74" s="37">
        <f>Données!A74</f>
        <v>5520</v>
      </c>
      <c r="B74" s="125" t="str">
        <f>Données!B74</f>
        <v>Essertines-sur-Yverdon</v>
      </c>
      <c r="C74" s="247">
        <f>VPI!R74</f>
        <v>35335.874054054053</v>
      </c>
      <c r="D74" s="633">
        <f>Effort!I74-IF(PCS!I80&lt;0, Effort!D74, 0)</f>
        <v>-13.086008848988595</v>
      </c>
      <c r="E74" s="634">
        <f>IF(PCS!I80&lt;0, 0, PCS!F80/Aide!C74)</f>
        <v>2.6332488580206688</v>
      </c>
      <c r="F74" s="634">
        <f>Effort!G74</f>
        <v>-24.782003497413889</v>
      </c>
      <c r="G74" s="635">
        <f t="shared" si="3"/>
        <v>14.329243506445962</v>
      </c>
      <c r="H74" s="149">
        <f t="shared" si="4"/>
        <v>0</v>
      </c>
      <c r="I74" s="41">
        <f t="shared" si="5"/>
        <v>0</v>
      </c>
      <c r="J74" s="28"/>
    </row>
    <row r="75" spans="1:10" x14ac:dyDescent="0.25">
      <c r="A75" s="37">
        <f>Données!A75</f>
        <v>5521</v>
      </c>
      <c r="B75" s="125" t="str">
        <f>Données!B75</f>
        <v>Etagnières</v>
      </c>
      <c r="C75" s="247">
        <f>VPI!R75</f>
        <v>46868.677397260268</v>
      </c>
      <c r="D75" s="633">
        <f>Effort!I75-IF(PCS!I81&lt;0, Effort!D75, 0)</f>
        <v>17.344015966330932</v>
      </c>
      <c r="E75" s="634">
        <f>IF(PCS!I81&lt;0, 0, PCS!F81/Aide!C75)</f>
        <v>6.122819245946439</v>
      </c>
      <c r="F75" s="634">
        <f>Effort!G75</f>
        <v>-3.2807965889071116</v>
      </c>
      <c r="G75" s="635">
        <f t="shared" si="3"/>
        <v>26.747631801184482</v>
      </c>
      <c r="H75" s="149">
        <f t="shared" si="4"/>
        <v>0</v>
      </c>
      <c r="I75" s="41">
        <f t="shared" si="5"/>
        <v>0</v>
      </c>
      <c r="J75" s="28"/>
    </row>
    <row r="76" spans="1:10" x14ac:dyDescent="0.25">
      <c r="A76" s="37">
        <f>Données!A76</f>
        <v>5522</v>
      </c>
      <c r="B76" s="125" t="str">
        <f>Données!B76</f>
        <v>Fey</v>
      </c>
      <c r="C76" s="247">
        <f>VPI!R76</f>
        <v>25183.4012</v>
      </c>
      <c r="D76" s="633">
        <f>Effort!I76-IF(PCS!I82&lt;0, Effort!D76, 0)</f>
        <v>5.6038381503579799</v>
      </c>
      <c r="E76" s="634">
        <f>IF(PCS!I82&lt;0, 0, PCS!F82/Aide!C76)</f>
        <v>2.619870504227205</v>
      </c>
      <c r="F76" s="634">
        <f>Effort!G76</f>
        <v>-8.1781842379549836</v>
      </c>
      <c r="G76" s="635">
        <f t="shared" si="3"/>
        <v>16.401892892540168</v>
      </c>
      <c r="H76" s="149">
        <f t="shared" si="4"/>
        <v>0</v>
      </c>
      <c r="I76" s="41">
        <f t="shared" si="5"/>
        <v>0</v>
      </c>
      <c r="J76" s="28"/>
    </row>
    <row r="77" spans="1:10" x14ac:dyDescent="0.25">
      <c r="A77" s="37">
        <f>Données!A77</f>
        <v>5523</v>
      </c>
      <c r="B77" s="125" t="str">
        <f>Données!B77</f>
        <v>Froideville</v>
      </c>
      <c r="C77" s="247">
        <f>VPI!R77</f>
        <v>89218.615555555531</v>
      </c>
      <c r="D77" s="633">
        <f>Effort!I77-IF(PCS!I83&lt;0, Effort!D77, 0)</f>
        <v>8.1377289544384315</v>
      </c>
      <c r="E77" s="634">
        <f>IF(PCS!I83&lt;0, 0, PCS!F83/Aide!C77)</f>
        <v>0.88426327295870533</v>
      </c>
      <c r="F77" s="634">
        <f>Effort!G77</f>
        <v>-2.8403808068692613</v>
      </c>
      <c r="G77" s="635">
        <f t="shared" si="3"/>
        <v>11.862373034266398</v>
      </c>
      <c r="H77" s="149">
        <f t="shared" si="4"/>
        <v>0</v>
      </c>
      <c r="I77" s="41">
        <f t="shared" si="5"/>
        <v>0</v>
      </c>
      <c r="J77" s="28"/>
    </row>
    <row r="78" spans="1:10" x14ac:dyDescent="0.25">
      <c r="A78" s="37">
        <f>Données!A78</f>
        <v>5527</v>
      </c>
      <c r="B78" s="125" t="str">
        <f>Données!B78</f>
        <v>Morrens</v>
      </c>
      <c r="C78" s="247">
        <f>VPI!R78</f>
        <v>42618.641486486493</v>
      </c>
      <c r="D78" s="633">
        <f>Effort!I78-IF(PCS!I84&lt;0, Effort!D78, 0)</f>
        <v>17.704253153590216</v>
      </c>
      <c r="E78" s="634">
        <f>IF(PCS!I84&lt;0, 0, PCS!F84/Aide!C78)</f>
        <v>3.1099785299826301</v>
      </c>
      <c r="F78" s="634">
        <f>Effort!G78</f>
        <v>-0.80185162988621428</v>
      </c>
      <c r="G78" s="635">
        <f t="shared" si="3"/>
        <v>21.616083313459061</v>
      </c>
      <c r="H78" s="149">
        <f t="shared" si="4"/>
        <v>0</v>
      </c>
      <c r="I78" s="41">
        <f t="shared" si="5"/>
        <v>0</v>
      </c>
      <c r="J78" s="28"/>
    </row>
    <row r="79" spans="1:10" x14ac:dyDescent="0.25">
      <c r="A79" s="37">
        <f>Données!A79</f>
        <v>5529</v>
      </c>
      <c r="B79" s="125" t="str">
        <f>Données!B79</f>
        <v>Oulens-sous-Echallens</v>
      </c>
      <c r="C79" s="247">
        <f>VPI!R79</f>
        <v>21320.008028169017</v>
      </c>
      <c r="D79" s="633">
        <f>Effort!I79-IF(PCS!I85&lt;0, Effort!D79, 0)</f>
        <v>12.943831684079152</v>
      </c>
      <c r="E79" s="634">
        <f>IF(PCS!I85&lt;0, 0, PCS!F85/Aide!C79)</f>
        <v>3.4870798313852602</v>
      </c>
      <c r="F79" s="634">
        <f>Effort!G79</f>
        <v>-5.4176786428529518</v>
      </c>
      <c r="G79" s="635">
        <f t="shared" si="3"/>
        <v>21.848590158317364</v>
      </c>
      <c r="H79" s="149">
        <f t="shared" si="4"/>
        <v>0</v>
      </c>
      <c r="I79" s="41">
        <f t="shared" si="5"/>
        <v>0</v>
      </c>
      <c r="J79" s="28"/>
    </row>
    <row r="80" spans="1:10" x14ac:dyDescent="0.25">
      <c r="A80" s="37">
        <f>Données!A80</f>
        <v>5530</v>
      </c>
      <c r="B80" s="125" t="str">
        <f>Données!B80</f>
        <v>Pailly</v>
      </c>
      <c r="C80" s="247">
        <f>VPI!R80</f>
        <v>18985.526425438595</v>
      </c>
      <c r="D80" s="633">
        <f>Effort!I80-IF(PCS!I86&lt;0, Effort!D80, 0)</f>
        <v>-0.4165704945437767</v>
      </c>
      <c r="E80" s="634">
        <f>IF(PCS!I86&lt;0, 0, PCS!F86/Aide!C80)</f>
        <v>2.9959390498536571</v>
      </c>
      <c r="F80" s="634">
        <f>Effort!G80</f>
        <v>-15.132745648025701</v>
      </c>
      <c r="G80" s="635">
        <f t="shared" si="3"/>
        <v>17.712114203335581</v>
      </c>
      <c r="H80" s="149">
        <f t="shared" si="4"/>
        <v>0</v>
      </c>
      <c r="I80" s="41">
        <f t="shared" si="5"/>
        <v>0</v>
      </c>
      <c r="J80" s="28"/>
    </row>
    <row r="81" spans="1:10" x14ac:dyDescent="0.25">
      <c r="A81" s="37">
        <f>Données!A81</f>
        <v>5531</v>
      </c>
      <c r="B81" s="125" t="str">
        <f>Données!B81</f>
        <v>Penthéréaz</v>
      </c>
      <c r="C81" s="247">
        <f>VPI!R81</f>
        <v>16979.020135135139</v>
      </c>
      <c r="D81" s="633">
        <f>Effort!I81-IF(PCS!I87&lt;0, Effort!D81, 0)</f>
        <v>18.838840460145722</v>
      </c>
      <c r="E81" s="634">
        <f>IF(PCS!I87&lt;0, 0, PCS!F87/Aide!C81)</f>
        <v>1.9322890684432816</v>
      </c>
      <c r="F81" s="634">
        <f>Effort!G81</f>
        <v>-2.6467772045359705</v>
      </c>
      <c r="G81" s="635">
        <f t="shared" si="3"/>
        <v>23.417906733124973</v>
      </c>
      <c r="H81" s="149">
        <f t="shared" si="4"/>
        <v>0</v>
      </c>
      <c r="I81" s="41">
        <f t="shared" si="5"/>
        <v>0</v>
      </c>
      <c r="J81" s="28"/>
    </row>
    <row r="82" spans="1:10" x14ac:dyDescent="0.25">
      <c r="A82" s="37">
        <f>Données!A82</f>
        <v>5533</v>
      </c>
      <c r="B82" s="125" t="str">
        <f>Données!B82</f>
        <v>Poliez-Pittet</v>
      </c>
      <c r="C82" s="247">
        <f>VPI!R82</f>
        <v>27367.358493150681</v>
      </c>
      <c r="D82" s="633">
        <f>Effort!I82-IF(PCS!I88&lt;0, Effort!D82, 0)</f>
        <v>11.946400559005527</v>
      </c>
      <c r="E82" s="634">
        <f>IF(PCS!I88&lt;0, 0, PCS!F88/Aide!C82)</f>
        <v>4.2565997017635011</v>
      </c>
      <c r="F82" s="634">
        <f>Effort!G82</f>
        <v>-2.829572425934693</v>
      </c>
      <c r="G82" s="635">
        <f t="shared" si="3"/>
        <v>19.03257268670372</v>
      </c>
      <c r="H82" s="149">
        <f t="shared" si="4"/>
        <v>0</v>
      </c>
      <c r="I82" s="41">
        <f t="shared" si="5"/>
        <v>0</v>
      </c>
      <c r="J82" s="28"/>
    </row>
    <row r="83" spans="1:10" x14ac:dyDescent="0.25">
      <c r="A83" s="37">
        <f>Données!A83</f>
        <v>5534</v>
      </c>
      <c r="B83" s="125" t="str">
        <f>Données!B83</f>
        <v>Rueyres</v>
      </c>
      <c r="C83" s="247">
        <f>VPI!R83</f>
        <v>17982.384452054797</v>
      </c>
      <c r="D83" s="633">
        <f>Effort!I83-IF(PCS!I89&lt;0, Effort!D83, 0)</f>
        <v>30.682637410275085</v>
      </c>
      <c r="E83" s="634">
        <f>IF(PCS!I89&lt;0, 0, PCS!F89/Aide!C83)</f>
        <v>2.4758126553629936</v>
      </c>
      <c r="F83" s="634">
        <f>Effort!G83</f>
        <v>0</v>
      </c>
      <c r="G83" s="635">
        <f t="shared" si="3"/>
        <v>33.158450065638078</v>
      </c>
      <c r="H83" s="149">
        <f t="shared" si="4"/>
        <v>0</v>
      </c>
      <c r="I83" s="41">
        <f t="shared" si="5"/>
        <v>0</v>
      </c>
      <c r="J83" s="28"/>
    </row>
    <row r="84" spans="1:10" x14ac:dyDescent="0.25">
      <c r="A84" s="37">
        <f>Données!A84</f>
        <v>5535</v>
      </c>
      <c r="B84" s="125" t="str">
        <f>Données!B84</f>
        <v>Saint-Barthélemy</v>
      </c>
      <c r="C84" s="247">
        <f>VPI!R84</f>
        <v>26523.088000000003</v>
      </c>
      <c r="D84" s="633">
        <f>Effort!I84-IF(PCS!I90&lt;0, Effort!D84, 0)</f>
        <v>12.862108663281468</v>
      </c>
      <c r="E84" s="634">
        <f>IF(PCS!I90&lt;0, 0, PCS!F90/Aide!C84)</f>
        <v>3.1695455295401493</v>
      </c>
      <c r="F84" s="634">
        <f>Effort!G84</f>
        <v>-0.63435457394967387</v>
      </c>
      <c r="G84" s="635">
        <f t="shared" si="3"/>
        <v>16.666008766771292</v>
      </c>
      <c r="H84" s="149">
        <f t="shared" si="4"/>
        <v>0</v>
      </c>
      <c r="I84" s="41">
        <f t="shared" si="5"/>
        <v>0</v>
      </c>
      <c r="J84" s="28"/>
    </row>
    <row r="85" spans="1:10" x14ac:dyDescent="0.25">
      <c r="A85" s="37">
        <f>Données!A85</f>
        <v>5537</v>
      </c>
      <c r="B85" s="125" t="str">
        <f>Données!B85</f>
        <v>Villars-le-Terroir</v>
      </c>
      <c r="C85" s="247">
        <f>VPI!R85</f>
        <v>36821.563947368428</v>
      </c>
      <c r="D85" s="633">
        <f>Effort!I85-IF(PCS!I91&lt;0, Effort!D85, 0)</f>
        <v>2.7755698496107719</v>
      </c>
      <c r="E85" s="634">
        <f>IF(PCS!I91&lt;0, 0, PCS!F91/Aide!C85)</f>
        <v>2.5256091819708359</v>
      </c>
      <c r="F85" s="634">
        <f>Effort!G85</f>
        <v>-3.3105369292429514</v>
      </c>
      <c r="G85" s="635">
        <f t="shared" si="3"/>
        <v>8.6117159608245597</v>
      </c>
      <c r="H85" s="149">
        <f t="shared" si="4"/>
        <v>0</v>
      </c>
      <c r="I85" s="41">
        <f t="shared" si="5"/>
        <v>0</v>
      </c>
      <c r="J85" s="28"/>
    </row>
    <row r="86" spans="1:10" x14ac:dyDescent="0.25">
      <c r="A86" s="37">
        <f>Données!A86</f>
        <v>5539</v>
      </c>
      <c r="B86" s="125" t="str">
        <f>Données!B86</f>
        <v>Vuarrens</v>
      </c>
      <c r="C86" s="247">
        <f>VPI!R86</f>
        <v>34903.7481632653</v>
      </c>
      <c r="D86" s="633">
        <f>Effort!I86-IF(PCS!I92&lt;0, Effort!D86, 0)</f>
        <v>11.628631329700273</v>
      </c>
      <c r="E86" s="634">
        <f>IF(PCS!I92&lt;0, 0, PCS!F92/Aide!C86)</f>
        <v>4.128252195895973</v>
      </c>
      <c r="F86" s="634">
        <f>Effort!G86</f>
        <v>-0.91548670293790468</v>
      </c>
      <c r="G86" s="635">
        <f t="shared" si="3"/>
        <v>16.672370228534149</v>
      </c>
      <c r="H86" s="149">
        <f t="shared" si="4"/>
        <v>0</v>
      </c>
      <c r="I86" s="41">
        <f t="shared" si="5"/>
        <v>0</v>
      </c>
      <c r="J86" s="28"/>
    </row>
    <row r="87" spans="1:10" x14ac:dyDescent="0.25">
      <c r="A87" s="37">
        <f>Données!A87</f>
        <v>5540</v>
      </c>
      <c r="B87" s="125" t="str">
        <f>Données!B87</f>
        <v>Montilliez</v>
      </c>
      <c r="C87" s="247">
        <f>VPI!R87</f>
        <v>65033.644896551712</v>
      </c>
      <c r="D87" s="633">
        <f>Effort!I87-IF(PCS!I93&lt;0, Effort!D87, 0)</f>
        <v>12.510850779380405</v>
      </c>
      <c r="E87" s="634">
        <f>IF(PCS!I93&lt;0, 0, PCS!F93/Aide!C87)</f>
        <v>1.5502208919762639</v>
      </c>
      <c r="F87" s="634">
        <f>Effort!G87</f>
        <v>-1.8635049118576996</v>
      </c>
      <c r="G87" s="635">
        <f t="shared" si="3"/>
        <v>15.924576583214368</v>
      </c>
      <c r="H87" s="149">
        <f t="shared" si="4"/>
        <v>0</v>
      </c>
      <c r="I87" s="41">
        <f t="shared" si="5"/>
        <v>0</v>
      </c>
      <c r="J87" s="28"/>
    </row>
    <row r="88" spans="1:10" x14ac:dyDescent="0.25">
      <c r="A88" s="37">
        <f>Données!A88</f>
        <v>5541</v>
      </c>
      <c r="B88" s="125" t="str">
        <f>Données!B88</f>
        <v>Goumoëns</v>
      </c>
      <c r="C88" s="247">
        <f>VPI!R88</f>
        <v>41006.934834437088</v>
      </c>
      <c r="D88" s="633">
        <f>Effort!I88-IF(PCS!I94&lt;0, Effort!D88, 0)</f>
        <v>13.360882787975696</v>
      </c>
      <c r="E88" s="634">
        <f>IF(PCS!I94&lt;0, 0, PCS!F94/Aide!C88)</f>
        <v>0.80707458710634228</v>
      </c>
      <c r="F88" s="634">
        <f>Effort!G88</f>
        <v>-1.3070081335276791</v>
      </c>
      <c r="G88" s="635">
        <f t="shared" si="3"/>
        <v>15.474965508609717</v>
      </c>
      <c r="H88" s="149">
        <f t="shared" si="4"/>
        <v>0</v>
      </c>
      <c r="I88" s="41">
        <f t="shared" si="5"/>
        <v>0</v>
      </c>
      <c r="J88" s="28"/>
    </row>
    <row r="89" spans="1:10" x14ac:dyDescent="0.25">
      <c r="A89" s="37">
        <f>Données!A89</f>
        <v>5551</v>
      </c>
      <c r="B89" s="125" t="str">
        <f>Données!B89</f>
        <v>Bonvillars</v>
      </c>
      <c r="C89" s="247">
        <f>VPI!R89</f>
        <v>19467.158771929826</v>
      </c>
      <c r="D89" s="633">
        <f>Effort!I89-IF(PCS!I95&lt;0, Effort!D89, 0)</f>
        <v>19.678179777569341</v>
      </c>
      <c r="E89" s="634">
        <f>IF(PCS!I95&lt;0, 0, PCS!F95/Aide!C89)</f>
        <v>3.8328079035132538</v>
      </c>
      <c r="F89" s="634">
        <f>Effort!G89</f>
        <v>-3.1667096395917338</v>
      </c>
      <c r="G89" s="635">
        <f t="shared" si="3"/>
        <v>26.677697320674326</v>
      </c>
      <c r="H89" s="149">
        <f t="shared" si="4"/>
        <v>0</v>
      </c>
      <c r="I89" s="41">
        <f t="shared" si="5"/>
        <v>0</v>
      </c>
      <c r="J89" s="28"/>
    </row>
    <row r="90" spans="1:10" x14ac:dyDescent="0.25">
      <c r="A90" s="37">
        <f>Données!A90</f>
        <v>5552</v>
      </c>
      <c r="B90" s="125" t="str">
        <f>Données!B90</f>
        <v>Bullet</v>
      </c>
      <c r="C90" s="247">
        <f>VPI!R90</f>
        <v>20081.650000000001</v>
      </c>
      <c r="D90" s="633">
        <f>Effort!I90-IF(PCS!I96&lt;0, Effort!D90, 0)</f>
        <v>-0.23558171286220997</v>
      </c>
      <c r="E90" s="634">
        <f>IF(PCS!I96&lt;0, 0, PCS!F96/Aide!C90)</f>
        <v>6.3034688384669577</v>
      </c>
      <c r="F90" s="634">
        <f>Effort!G90</f>
        <v>-11.940002551407229</v>
      </c>
      <c r="G90" s="635">
        <f t="shared" si="3"/>
        <v>18.007889677011978</v>
      </c>
      <c r="H90" s="149">
        <f t="shared" si="4"/>
        <v>0</v>
      </c>
      <c r="I90" s="41">
        <f t="shared" si="5"/>
        <v>0</v>
      </c>
      <c r="J90" s="28"/>
    </row>
    <row r="91" spans="1:10" x14ac:dyDescent="0.25">
      <c r="A91" s="37">
        <f>Données!A91</f>
        <v>5553</v>
      </c>
      <c r="B91" s="125" t="str">
        <f>Données!B91</f>
        <v>Champagne</v>
      </c>
      <c r="C91" s="247">
        <f>VPI!R91</f>
        <v>38368.423846153841</v>
      </c>
      <c r="D91" s="633">
        <f>Effort!I91-IF(PCS!I97&lt;0, Effort!D91, 0)</f>
        <v>8.7465895278956758</v>
      </c>
      <c r="E91" s="634">
        <f>IF(PCS!I97&lt;0, 0, PCS!F97/Aide!C91)</f>
        <v>5.3536881218692844</v>
      </c>
      <c r="F91" s="634">
        <f>Effort!G91</f>
        <v>-11.095185895890038</v>
      </c>
      <c r="G91" s="635">
        <f t="shared" si="3"/>
        <v>25.195463545654999</v>
      </c>
      <c r="H91" s="149">
        <f t="shared" si="4"/>
        <v>0</v>
      </c>
      <c r="I91" s="41">
        <f t="shared" si="5"/>
        <v>0</v>
      </c>
      <c r="J91" s="28"/>
    </row>
    <row r="92" spans="1:10" x14ac:dyDescent="0.25">
      <c r="A92" s="37">
        <f>Données!A92</f>
        <v>5554</v>
      </c>
      <c r="B92" s="125" t="str">
        <f>Données!B92</f>
        <v>Concise</v>
      </c>
      <c r="C92" s="247">
        <f>VPI!R92</f>
        <v>33009.838309859158</v>
      </c>
      <c r="D92" s="633">
        <f>Effort!I92-IF(PCS!I98&lt;0, Effort!D92, 0)</f>
        <v>7.8072557596514969</v>
      </c>
      <c r="E92" s="634">
        <f>IF(PCS!I98&lt;0, 0, PCS!F98/Aide!C92)</f>
        <v>4.0209007918817132</v>
      </c>
      <c r="F92" s="634">
        <f>Effort!G92</f>
        <v>-7.4315556700330569</v>
      </c>
      <c r="G92" s="635">
        <f t="shared" si="3"/>
        <v>19.259712221566268</v>
      </c>
      <c r="H92" s="149">
        <f t="shared" si="4"/>
        <v>0</v>
      </c>
      <c r="I92" s="41">
        <f t="shared" si="5"/>
        <v>0</v>
      </c>
      <c r="J92" s="28"/>
    </row>
    <row r="93" spans="1:10" x14ac:dyDescent="0.25">
      <c r="A93" s="37">
        <f>Données!A93</f>
        <v>5555</v>
      </c>
      <c r="B93" s="125" t="str">
        <f>Données!B93</f>
        <v>Corcelles-près-Concise</v>
      </c>
      <c r="C93" s="247">
        <f>VPI!R93</f>
        <v>14189.979565217391</v>
      </c>
      <c r="D93" s="633">
        <f>Effort!I93-IF(PCS!I99&lt;0, Effort!D93, 0)</f>
        <v>1.6360987001019076</v>
      </c>
      <c r="E93" s="634">
        <f>IF(PCS!I99&lt;0, 0, PCS!F99/Aide!C93)</f>
        <v>5.2009962143218464</v>
      </c>
      <c r="F93" s="634">
        <f>Effort!G93</f>
        <v>-14.601271989001438</v>
      </c>
      <c r="G93" s="635">
        <f t="shared" si="3"/>
        <v>21.438366903425191</v>
      </c>
      <c r="H93" s="149">
        <f t="shared" si="4"/>
        <v>0</v>
      </c>
      <c r="I93" s="41">
        <f t="shared" si="5"/>
        <v>0</v>
      </c>
      <c r="J93" s="28"/>
    </row>
    <row r="94" spans="1:10" x14ac:dyDescent="0.25">
      <c r="A94" s="37">
        <f>Données!A94</f>
        <v>5556</v>
      </c>
      <c r="B94" s="125" t="str">
        <f>Données!B94</f>
        <v>Fiez</v>
      </c>
      <c r="C94" s="247">
        <f>VPI!R94</f>
        <v>12811.352608695654</v>
      </c>
      <c r="D94" s="633">
        <f>Effort!I94-IF(PCS!I100&lt;0, Effort!D94, 0)</f>
        <v>9.9292615310392307</v>
      </c>
      <c r="E94" s="634">
        <f>IF(PCS!I100&lt;0, 0, PCS!F100/Aide!C94)</f>
        <v>6.3428099656585148</v>
      </c>
      <c r="F94" s="634">
        <f>Effort!G94</f>
        <v>-3.2998455719308324</v>
      </c>
      <c r="G94" s="635">
        <f t="shared" si="3"/>
        <v>19.571917068628576</v>
      </c>
      <c r="H94" s="149">
        <f t="shared" si="4"/>
        <v>0</v>
      </c>
      <c r="I94" s="41">
        <f t="shared" si="5"/>
        <v>0</v>
      </c>
      <c r="J94" s="28"/>
    </row>
    <row r="95" spans="1:10" x14ac:dyDescent="0.25">
      <c r="A95" s="37">
        <f>Données!A95</f>
        <v>5557</v>
      </c>
      <c r="B95" s="125" t="str">
        <f>Données!B95</f>
        <v>Fontaines-sur-Grandson</v>
      </c>
      <c r="C95" s="247">
        <f>VPI!R95</f>
        <v>5164.2157971014494</v>
      </c>
      <c r="D95" s="633">
        <f>Effort!I95-IF(PCS!I101&lt;0, Effort!D95, 0)</f>
        <v>-9.0380149221310084</v>
      </c>
      <c r="E95" s="634">
        <f>IF(PCS!I101&lt;0, 0, PCS!F101/Aide!C95)</f>
        <v>1.9262169496447532</v>
      </c>
      <c r="F95" s="634">
        <f>Effort!G95</f>
        <v>-12.555884688898866</v>
      </c>
      <c r="G95" s="635">
        <f t="shared" si="3"/>
        <v>5.4440867164126105</v>
      </c>
      <c r="H95" s="149">
        <f t="shared" si="4"/>
        <v>0</v>
      </c>
      <c r="I95" s="41">
        <f t="shared" si="5"/>
        <v>0</v>
      </c>
      <c r="J95" s="28"/>
    </row>
    <row r="96" spans="1:10" x14ac:dyDescent="0.25">
      <c r="A96" s="37">
        <f>Données!A96</f>
        <v>5559</v>
      </c>
      <c r="B96" s="125" t="str">
        <f>Données!B96</f>
        <v>Giez</v>
      </c>
      <c r="C96" s="247">
        <f>VPI!R96</f>
        <v>23273.261029411766</v>
      </c>
      <c r="D96" s="633">
        <f>Effort!I96-IF(PCS!I102&lt;0, Effort!D96, 0)</f>
        <v>26.201633608501069</v>
      </c>
      <c r="E96" s="634">
        <f>IF(PCS!I102&lt;0, 0, PCS!F102/Aide!C96)</f>
        <v>1.54631896898849</v>
      </c>
      <c r="F96" s="634">
        <f>Effort!G96</f>
        <v>-1.8626525887621053</v>
      </c>
      <c r="G96" s="635">
        <f t="shared" si="3"/>
        <v>29.610605166251666</v>
      </c>
      <c r="H96" s="149">
        <f t="shared" si="4"/>
        <v>0</v>
      </c>
      <c r="I96" s="41">
        <f t="shared" si="5"/>
        <v>0</v>
      </c>
      <c r="J96" s="28"/>
    </row>
    <row r="97" spans="1:10" x14ac:dyDescent="0.25">
      <c r="A97" s="37">
        <f>Données!A97</f>
        <v>5560</v>
      </c>
      <c r="B97" s="125" t="str">
        <f>Données!B97</f>
        <v>Grandevent</v>
      </c>
      <c r="C97" s="247">
        <f>VPI!R97</f>
        <v>8016.4264285714298</v>
      </c>
      <c r="D97" s="633">
        <f>Effort!I97-IF(PCS!I103&lt;0, Effort!D97, 0)</f>
        <v>-4.7258684715871127</v>
      </c>
      <c r="E97" s="634">
        <f>IF(PCS!I103&lt;0, 0, PCS!F103/Aide!C97)</f>
        <v>1.9889535745220279</v>
      </c>
      <c r="F97" s="634">
        <f>Effort!G97</f>
        <v>-21.55526930961393</v>
      </c>
      <c r="G97" s="635">
        <f t="shared" si="3"/>
        <v>18.818354412548846</v>
      </c>
      <c r="H97" s="149">
        <f t="shared" si="4"/>
        <v>0</v>
      </c>
      <c r="I97" s="41">
        <f t="shared" si="5"/>
        <v>0</v>
      </c>
      <c r="J97" s="28"/>
    </row>
    <row r="98" spans="1:10" x14ac:dyDescent="0.25">
      <c r="A98" s="37">
        <f>Données!A98</f>
        <v>5561</v>
      </c>
      <c r="B98" s="125" t="str">
        <f>Données!B98</f>
        <v>Grandson</v>
      </c>
      <c r="C98" s="247">
        <f>VPI!R98</f>
        <v>125721.38057971014</v>
      </c>
      <c r="D98" s="633">
        <f>Effort!I98-IF(PCS!I104&lt;0, Effort!D98, 0)</f>
        <v>6.4564877986592233</v>
      </c>
      <c r="E98" s="634">
        <f>IF(PCS!I104&lt;0, 0, PCS!F104/Aide!C98)</f>
        <v>3.8705374754573176</v>
      </c>
      <c r="F98" s="634">
        <f>Effort!G98</f>
        <v>-8.8971194991290918</v>
      </c>
      <c r="G98" s="635">
        <f t="shared" si="3"/>
        <v>19.224144773245634</v>
      </c>
      <c r="H98" s="149">
        <f t="shared" si="4"/>
        <v>0</v>
      </c>
      <c r="I98" s="41">
        <f t="shared" si="5"/>
        <v>0</v>
      </c>
      <c r="J98" s="28"/>
    </row>
    <row r="99" spans="1:10" x14ac:dyDescent="0.25">
      <c r="A99" s="37">
        <f>Données!A99</f>
        <v>5562</v>
      </c>
      <c r="B99" s="125" t="str">
        <f>Données!B99</f>
        <v>Mauborget</v>
      </c>
      <c r="C99" s="247">
        <f>VPI!R99</f>
        <v>4554.1072619047618</v>
      </c>
      <c r="D99" s="633">
        <f>Effort!I99-IF(PCS!I105&lt;0, Effort!D99, 0)</f>
        <v>5.0317686658256857</v>
      </c>
      <c r="E99" s="634">
        <f>IF(PCS!I105&lt;0, 0, PCS!F105/Aide!C99)</f>
        <v>5.2395252522049631</v>
      </c>
      <c r="F99" s="634">
        <f>Effort!G99</f>
        <v>-9.8230249539329364</v>
      </c>
      <c r="G99" s="635">
        <f t="shared" si="3"/>
        <v>20.094318871963587</v>
      </c>
      <c r="H99" s="149">
        <f t="shared" si="4"/>
        <v>0</v>
      </c>
      <c r="I99" s="41">
        <f t="shared" si="5"/>
        <v>0</v>
      </c>
      <c r="J99" s="28"/>
    </row>
    <row r="100" spans="1:10" x14ac:dyDescent="0.25">
      <c r="A100" s="37">
        <f>Données!A100</f>
        <v>5563</v>
      </c>
      <c r="B100" s="125" t="str">
        <f>Données!B100</f>
        <v>Mutrux</v>
      </c>
      <c r="C100" s="247">
        <f>VPI!R100</f>
        <v>4029.343875</v>
      </c>
      <c r="D100" s="633">
        <f>Effort!I100-IF(PCS!I106&lt;0, Effort!D100, 0)</f>
        <v>-9.0365907705486315</v>
      </c>
      <c r="E100" s="634">
        <f>IF(PCS!I106&lt;0, 0, PCS!F106/Aide!C100)</f>
        <v>5.0455547182604272</v>
      </c>
      <c r="F100" s="634">
        <f>Effort!G100</f>
        <v>-14.845711932544466</v>
      </c>
      <c r="G100" s="635">
        <f t="shared" si="3"/>
        <v>10.854675880256263</v>
      </c>
      <c r="H100" s="149">
        <f t="shared" si="4"/>
        <v>0</v>
      </c>
      <c r="I100" s="41">
        <f t="shared" si="5"/>
        <v>0</v>
      </c>
      <c r="J100" s="28"/>
    </row>
    <row r="101" spans="1:10" x14ac:dyDescent="0.25">
      <c r="A101" s="37">
        <f>Données!A101</f>
        <v>5564</v>
      </c>
      <c r="B101" s="125" t="str">
        <f>Données!B101</f>
        <v>Novalles</v>
      </c>
      <c r="C101" s="247">
        <f>VPI!R101</f>
        <v>2464.3180592105264</v>
      </c>
      <c r="D101" s="633">
        <f>Effort!I101-IF(PCS!I107&lt;0, Effort!D101, 0)</f>
        <v>-6.1888178464717463</v>
      </c>
      <c r="E101" s="634">
        <f>IF(PCS!I107&lt;0, 0, PCS!F107/Aide!C101)</f>
        <v>2.8500785333895018</v>
      </c>
      <c r="F101" s="634">
        <f>Effort!G101</f>
        <v>-4.5954709846254387</v>
      </c>
      <c r="G101" s="635">
        <f t="shared" si="3"/>
        <v>1.2567316715431942</v>
      </c>
      <c r="H101" s="149">
        <f t="shared" si="4"/>
        <v>0</v>
      </c>
      <c r="I101" s="41">
        <f t="shared" si="5"/>
        <v>0</v>
      </c>
      <c r="J101" s="28"/>
    </row>
    <row r="102" spans="1:10" x14ac:dyDescent="0.25">
      <c r="A102" s="37">
        <f>Données!A102</f>
        <v>5565</v>
      </c>
      <c r="B102" s="125" t="str">
        <f>Données!B102</f>
        <v>Onnens</v>
      </c>
      <c r="C102" s="247">
        <f>VPI!R102</f>
        <v>20188.105039370083</v>
      </c>
      <c r="D102" s="633">
        <f>Effort!I102-IF(PCS!I108&lt;0, Effort!D102, 0)</f>
        <v>19.207289954460219</v>
      </c>
      <c r="E102" s="634">
        <f>IF(PCS!I108&lt;0, 0, PCS!F108/Aide!C102)</f>
        <v>4.0655056450291251</v>
      </c>
      <c r="F102" s="634">
        <f>Effort!G102</f>
        <v>-3.4044635800901775</v>
      </c>
      <c r="G102" s="635">
        <f t="shared" si="3"/>
        <v>26.677259179579519</v>
      </c>
      <c r="H102" s="149">
        <f t="shared" si="4"/>
        <v>0</v>
      </c>
      <c r="I102" s="41">
        <f t="shared" si="5"/>
        <v>0</v>
      </c>
      <c r="J102" s="28"/>
    </row>
    <row r="103" spans="1:10" x14ac:dyDescent="0.25">
      <c r="A103" s="37">
        <f>Données!A103</f>
        <v>5566</v>
      </c>
      <c r="B103" s="125" t="str">
        <f>Données!B103</f>
        <v>Provence</v>
      </c>
      <c r="C103" s="247">
        <f>VPI!R103</f>
        <v>11354.81353909465</v>
      </c>
      <c r="D103" s="633">
        <f>Effort!I103-IF(PCS!I109&lt;0, Effort!D103, 0)</f>
        <v>-31.824576624962969</v>
      </c>
      <c r="E103" s="634">
        <f>IF(PCS!I109&lt;0, 0, PCS!F109/Aide!C103)</f>
        <v>7.4465331120480673</v>
      </c>
      <c r="F103" s="634">
        <f>Effort!G103</f>
        <v>-36.466443664684448</v>
      </c>
      <c r="G103" s="635">
        <f t="shared" si="3"/>
        <v>12.088400151769548</v>
      </c>
      <c r="H103" s="149">
        <f t="shared" si="4"/>
        <v>0</v>
      </c>
      <c r="I103" s="41">
        <f t="shared" si="5"/>
        <v>0</v>
      </c>
      <c r="J103" s="28"/>
    </row>
    <row r="104" spans="1:10" x14ac:dyDescent="0.25">
      <c r="A104" s="37">
        <f>Données!A104</f>
        <v>5568</v>
      </c>
      <c r="B104" s="125" t="str">
        <f>Données!B104</f>
        <v>Sainte-Croix</v>
      </c>
      <c r="C104" s="247">
        <f>VPI!R104</f>
        <v>114571.34028571429</v>
      </c>
      <c r="D104" s="633">
        <f>Effort!I104-IF(PCS!I110&lt;0, Effort!D104, 0)</f>
        <v>-26.526446211426816</v>
      </c>
      <c r="E104" s="634">
        <f>IF(PCS!I110&lt;0, 0, PCS!F110/Aide!C104)</f>
        <v>10.423563798955644</v>
      </c>
      <c r="F104" s="634">
        <f>Effort!G104</f>
        <v>-15.288585957825587</v>
      </c>
      <c r="G104" s="635">
        <f t="shared" si="3"/>
        <v>-0.81429645464558398</v>
      </c>
      <c r="H104" s="149">
        <f t="shared" si="4"/>
        <v>0</v>
      </c>
      <c r="I104" s="41">
        <f t="shared" si="5"/>
        <v>0</v>
      </c>
      <c r="J104" s="28"/>
    </row>
    <row r="105" spans="1:10" x14ac:dyDescent="0.25">
      <c r="A105" s="37">
        <f>Données!A105</f>
        <v>5571</v>
      </c>
      <c r="B105" s="125" t="str">
        <f>Données!B105</f>
        <v>Tévenon</v>
      </c>
      <c r="C105" s="247">
        <f>VPI!R105</f>
        <v>26145.544382284381</v>
      </c>
      <c r="D105" s="633">
        <f>Effort!I105-IF(PCS!I111&lt;0, Effort!D105, 0)</f>
        <v>7.7145780522600518</v>
      </c>
      <c r="E105" s="634">
        <f>IF(PCS!I111&lt;0, 0, PCS!F111/Aide!C105)</f>
        <v>5.4741235411788747</v>
      </c>
      <c r="F105" s="634">
        <f>Effort!G105</f>
        <v>-5.3788879193463659</v>
      </c>
      <c r="G105" s="635">
        <f t="shared" si="3"/>
        <v>18.567589512785293</v>
      </c>
      <c r="H105" s="149">
        <f t="shared" si="4"/>
        <v>0</v>
      </c>
      <c r="I105" s="41">
        <f t="shared" si="5"/>
        <v>0</v>
      </c>
      <c r="J105" s="28"/>
    </row>
    <row r="106" spans="1:10" x14ac:dyDescent="0.25">
      <c r="A106" s="37">
        <f>Données!A106</f>
        <v>5581</v>
      </c>
      <c r="B106" s="125" t="str">
        <f>Données!B106</f>
        <v>Belmont-sur-Lausanne</v>
      </c>
      <c r="C106" s="247">
        <f>VPI!R106</f>
        <v>246930.40333333338</v>
      </c>
      <c r="D106" s="633">
        <f>Effort!I106-IF(PCS!I112&lt;0, Effort!D106, 0)</f>
        <v>23.876706705003116</v>
      </c>
      <c r="E106" s="634">
        <f>IF(PCS!I112&lt;0, 0, PCS!F112/Aide!C106)</f>
        <v>2.6119774085872316</v>
      </c>
      <c r="F106" s="634">
        <f>Effort!G106</f>
        <v>-4.562864993134224</v>
      </c>
      <c r="G106" s="635">
        <f t="shared" si="3"/>
        <v>31.051549106724572</v>
      </c>
      <c r="H106" s="149">
        <f t="shared" si="4"/>
        <v>0</v>
      </c>
      <c r="I106" s="41">
        <f t="shared" si="5"/>
        <v>0</v>
      </c>
      <c r="J106" s="28"/>
    </row>
    <row r="107" spans="1:10" x14ac:dyDescent="0.25">
      <c r="A107" s="37">
        <f>Données!A107</f>
        <v>5582</v>
      </c>
      <c r="B107" s="125" t="str">
        <f>Données!B107</f>
        <v>Cheseaux-sur-Lausanne</v>
      </c>
      <c r="C107" s="247">
        <f>VPI!R107</f>
        <v>179580.92342465755</v>
      </c>
      <c r="D107" s="633">
        <f>Effort!I107-IF(PCS!I113&lt;0, Effort!D107, 0)</f>
        <v>9.6605963240473933</v>
      </c>
      <c r="E107" s="634">
        <f>IF(PCS!I113&lt;0, 0, PCS!F113/Aide!C107)</f>
        <v>3.0156876614303036</v>
      </c>
      <c r="F107" s="634">
        <f>Effort!G107</f>
        <v>-3.1498334424502379</v>
      </c>
      <c r="G107" s="635">
        <f t="shared" si="3"/>
        <v>15.826117427927935</v>
      </c>
      <c r="H107" s="149">
        <f t="shared" si="4"/>
        <v>0</v>
      </c>
      <c r="I107" s="41">
        <f t="shared" si="5"/>
        <v>0</v>
      </c>
      <c r="J107" s="28"/>
    </row>
    <row r="108" spans="1:10" x14ac:dyDescent="0.25">
      <c r="A108" s="37">
        <f>Données!A108</f>
        <v>5583</v>
      </c>
      <c r="B108" s="125" t="str">
        <f>Données!B108</f>
        <v>Crissier</v>
      </c>
      <c r="C108" s="247">
        <f>VPI!R108</f>
        <v>456346.42330708652</v>
      </c>
      <c r="D108" s="633">
        <f>Effort!I108-IF(PCS!I114&lt;0, Effort!D108, 0)</f>
        <v>6.8289431053970766</v>
      </c>
      <c r="E108" s="634">
        <f>IF(PCS!I114&lt;0, 0, PCS!F114/Aide!C108)</f>
        <v>7.9448872278335623</v>
      </c>
      <c r="F108" s="634">
        <f>Effort!G108</f>
        <v>-7.9304476550032019</v>
      </c>
      <c r="G108" s="635">
        <f t="shared" si="3"/>
        <v>22.704277988233841</v>
      </c>
      <c r="H108" s="149">
        <f t="shared" si="4"/>
        <v>0</v>
      </c>
      <c r="I108" s="41">
        <f t="shared" si="5"/>
        <v>0</v>
      </c>
      <c r="J108" s="28"/>
    </row>
    <row r="109" spans="1:10" x14ac:dyDescent="0.25">
      <c r="A109" s="37">
        <f>Données!A109</f>
        <v>5584</v>
      </c>
      <c r="B109" s="125" t="str">
        <f>Données!B109</f>
        <v>Epalinges</v>
      </c>
      <c r="C109" s="247">
        <f>VPI!R109</f>
        <v>527681.12604651169</v>
      </c>
      <c r="D109" s="633">
        <f>Effort!I109-IF(PCS!I115&lt;0, Effort!D109, 0)</f>
        <v>13.265727179322722</v>
      </c>
      <c r="E109" s="634">
        <f>IF(PCS!I115&lt;0, 0, PCS!F115/Aide!C109)</f>
        <v>3.0434164512043691</v>
      </c>
      <c r="F109" s="634">
        <f>Effort!G109</f>
        <v>-8.1332712834892629</v>
      </c>
      <c r="G109" s="635">
        <f t="shared" si="3"/>
        <v>24.442414914016354</v>
      </c>
      <c r="H109" s="149">
        <f t="shared" si="4"/>
        <v>0</v>
      </c>
      <c r="I109" s="41">
        <f t="shared" si="5"/>
        <v>0</v>
      </c>
      <c r="J109" s="28"/>
    </row>
    <row r="110" spans="1:10" x14ac:dyDescent="0.25">
      <c r="A110" s="37">
        <f>Données!A110</f>
        <v>5585</v>
      </c>
      <c r="B110" s="125" t="str">
        <f>Données!B110</f>
        <v>Jouxtens-Mézery</v>
      </c>
      <c r="C110" s="247">
        <f>VPI!R110</f>
        <v>207839.61429378533</v>
      </c>
      <c r="D110" s="633">
        <f>Effort!I110-IF(PCS!I116&lt;0, Effort!D110, 0)</f>
        <v>44.575826418021748</v>
      </c>
      <c r="E110" s="634">
        <f>IF(PCS!I116&lt;0, 0, PCS!F116/Aide!C110)</f>
        <v>1.1790191962809433</v>
      </c>
      <c r="F110" s="634">
        <f>Effort!G110</f>
        <v>0</v>
      </c>
      <c r="G110" s="635">
        <f t="shared" si="3"/>
        <v>45.754845614302688</v>
      </c>
      <c r="H110" s="149">
        <f t="shared" si="4"/>
        <v>0</v>
      </c>
      <c r="I110" s="41">
        <f t="shared" si="5"/>
        <v>0</v>
      </c>
      <c r="J110" s="28"/>
    </row>
    <row r="111" spans="1:10" x14ac:dyDescent="0.25">
      <c r="A111" s="37">
        <f>Données!A111</f>
        <v>5586</v>
      </c>
      <c r="B111" s="125" t="str">
        <f>Données!B111</f>
        <v>Lausanne</v>
      </c>
      <c r="C111" s="247">
        <f>VPI!R111</f>
        <v>7026947.2679830147</v>
      </c>
      <c r="D111" s="633">
        <f>Effort!I111-IF(PCS!I117&lt;0, Effort!D111, 0)</f>
        <v>0.39832406262895859</v>
      </c>
      <c r="E111" s="634">
        <f>IF(PCS!I117&lt;0, 0, PCS!F117/Aide!C111)</f>
        <v>3.6153168589654214</v>
      </c>
      <c r="F111" s="634">
        <f>Effort!G111</f>
        <v>-7.3514085846864692</v>
      </c>
      <c r="G111" s="635">
        <f t="shared" si="3"/>
        <v>11.365049506280849</v>
      </c>
      <c r="H111" s="149">
        <f t="shared" si="4"/>
        <v>0</v>
      </c>
      <c r="I111" s="41">
        <f t="shared" si="5"/>
        <v>0</v>
      </c>
      <c r="J111" s="28"/>
    </row>
    <row r="112" spans="1:10" x14ac:dyDescent="0.25">
      <c r="A112" s="37">
        <f>Données!A112</f>
        <v>5587</v>
      </c>
      <c r="B112" s="125" t="str">
        <f>Données!B112</f>
        <v>Le Mont-sur-Lausanne</v>
      </c>
      <c r="C112" s="247">
        <f>VPI!R112</f>
        <v>515123.14148148138</v>
      </c>
      <c r="D112" s="633">
        <f>Effort!I112-IF(PCS!I118&lt;0, Effort!D112, 0)</f>
        <v>17.325666117922971</v>
      </c>
      <c r="E112" s="634">
        <f>IF(PCS!I118&lt;0, 0, PCS!F118/Aide!C112)</f>
        <v>4.9990131633264534</v>
      </c>
      <c r="F112" s="634">
        <f>Effort!G112</f>
        <v>-4.7327091464708086</v>
      </c>
      <c r="G112" s="635">
        <f t="shared" si="3"/>
        <v>27.057388427720234</v>
      </c>
      <c r="H112" s="149">
        <f t="shared" si="4"/>
        <v>0</v>
      </c>
      <c r="I112" s="41">
        <f t="shared" si="5"/>
        <v>0</v>
      </c>
      <c r="J112" s="28"/>
    </row>
    <row r="113" spans="1:10" x14ac:dyDescent="0.25">
      <c r="A113" s="37">
        <f>Données!A113</f>
        <v>5588</v>
      </c>
      <c r="B113" s="125" t="str">
        <f>Données!B113</f>
        <v>Paudex</v>
      </c>
      <c r="C113" s="247">
        <f>VPI!R113</f>
        <v>151788.7450912997</v>
      </c>
      <c r="D113" s="633">
        <f>Effort!I113-IF(PCS!I119&lt;0, Effort!D113, 0)</f>
        <v>39.60531274454803</v>
      </c>
      <c r="E113" s="634">
        <f>IF(PCS!I119&lt;0, 0, PCS!F119/Aide!C113)</f>
        <v>3.2668943254108433</v>
      </c>
      <c r="F113" s="634">
        <f>Effort!G113</f>
        <v>0</v>
      </c>
      <c r="G113" s="635">
        <f t="shared" si="3"/>
        <v>42.872207069958876</v>
      </c>
      <c r="H113" s="149">
        <f t="shared" si="4"/>
        <v>0</v>
      </c>
      <c r="I113" s="41">
        <f t="shared" si="5"/>
        <v>0</v>
      </c>
      <c r="J113" s="28"/>
    </row>
    <row r="114" spans="1:10" x14ac:dyDescent="0.25">
      <c r="A114" s="37">
        <f>Données!A114</f>
        <v>5589</v>
      </c>
      <c r="B114" s="125" t="str">
        <f>Données!B114</f>
        <v>Prilly</v>
      </c>
      <c r="C114" s="247">
        <f>VPI!R114</f>
        <v>442584.39482228115</v>
      </c>
      <c r="D114" s="633">
        <f>Effort!I114-IF(PCS!I120&lt;0, Effort!D114, 0)</f>
        <v>-5.1534005932157498</v>
      </c>
      <c r="E114" s="634">
        <f>IF(PCS!I120&lt;0, 0, PCS!F120/Aide!C114)</f>
        <v>6.4101711067766134</v>
      </c>
      <c r="F114" s="634">
        <f>Effort!G114</f>
        <v>-8.4252551706440109</v>
      </c>
      <c r="G114" s="635">
        <f t="shared" si="3"/>
        <v>9.6820256842048735</v>
      </c>
      <c r="H114" s="149">
        <f t="shared" si="4"/>
        <v>0</v>
      </c>
      <c r="I114" s="41">
        <f t="shared" si="5"/>
        <v>0</v>
      </c>
      <c r="J114" s="28"/>
    </row>
    <row r="115" spans="1:10" x14ac:dyDescent="0.25">
      <c r="A115" s="37">
        <f>Données!A115</f>
        <v>5590</v>
      </c>
      <c r="B115" s="125" t="str">
        <f>Données!B115</f>
        <v>Pully</v>
      </c>
      <c r="C115" s="247">
        <f>VPI!R115</f>
        <v>1670113.1662763469</v>
      </c>
      <c r="D115" s="633">
        <f>Effort!I115-IF(PCS!I121&lt;0, Effort!D115, 0)</f>
        <v>27.418645122105655</v>
      </c>
      <c r="E115" s="634">
        <f>IF(PCS!I121&lt;0, 0, PCS!F121/Aide!C115)</f>
        <v>4.3711491786371832</v>
      </c>
      <c r="F115" s="634">
        <f>Effort!G115</f>
        <v>-1.6167725722619128</v>
      </c>
      <c r="G115" s="635">
        <f t="shared" si="3"/>
        <v>33.406566873004749</v>
      </c>
      <c r="H115" s="149">
        <f t="shared" si="4"/>
        <v>0</v>
      </c>
      <c r="I115" s="41">
        <f t="shared" si="5"/>
        <v>0</v>
      </c>
      <c r="J115" s="28"/>
    </row>
    <row r="116" spans="1:10" x14ac:dyDescent="0.25">
      <c r="A116" s="37">
        <f>Données!A116</f>
        <v>5591</v>
      </c>
      <c r="B116" s="125" t="str">
        <f>Données!B116</f>
        <v>Renens</v>
      </c>
      <c r="C116" s="247">
        <f>VPI!R116</f>
        <v>627232.40092764387</v>
      </c>
      <c r="D116" s="633">
        <f>Effort!I116-IF(PCS!I122&lt;0, Effort!D116, 0)</f>
        <v>-26.414382800787433</v>
      </c>
      <c r="E116" s="634">
        <f>IF(PCS!I122&lt;0, 0, PCS!F122/Aide!C116)</f>
        <v>4.3628937790088465</v>
      </c>
      <c r="F116" s="634">
        <f>Effort!G116</f>
        <v>-11.790504339883608</v>
      </c>
      <c r="G116" s="635">
        <f t="shared" si="3"/>
        <v>-10.260984681894978</v>
      </c>
      <c r="H116" s="149">
        <f t="shared" si="4"/>
        <v>-0.26098468189497837</v>
      </c>
      <c r="I116" s="41">
        <f t="shared" si="5"/>
        <v>163698.04863032466</v>
      </c>
      <c r="J116" s="28"/>
    </row>
    <row r="117" spans="1:10" x14ac:dyDescent="0.25">
      <c r="A117" s="37">
        <f>Données!A117</f>
        <v>5592</v>
      </c>
      <c r="B117" s="125" t="str">
        <f>Données!B117</f>
        <v>Romanel-sur-Lausanne</v>
      </c>
      <c r="C117" s="247">
        <f>VPI!R117</f>
        <v>146863.22056737586</v>
      </c>
      <c r="D117" s="633">
        <f>Effort!I117-IF(PCS!I123&lt;0, Effort!D117, 0)</f>
        <v>9.3162134682619193</v>
      </c>
      <c r="E117" s="634">
        <f>IF(PCS!I123&lt;0, 0, PCS!F123/Aide!C117)</f>
        <v>5.1858501199801674</v>
      </c>
      <c r="F117" s="634">
        <f>Effort!G117</f>
        <v>-1.2075486872970616</v>
      </c>
      <c r="G117" s="635">
        <f t="shared" si="3"/>
        <v>15.709612275539149</v>
      </c>
      <c r="H117" s="149">
        <f t="shared" si="4"/>
        <v>0</v>
      </c>
      <c r="I117" s="41">
        <f t="shared" si="5"/>
        <v>0</v>
      </c>
      <c r="J117" s="28"/>
    </row>
    <row r="118" spans="1:10" x14ac:dyDescent="0.25">
      <c r="A118" s="37">
        <f>Données!A118</f>
        <v>5601</v>
      </c>
      <c r="B118" s="125" t="str">
        <f>Données!B118</f>
        <v>Chexbres</v>
      </c>
      <c r="C118" s="247">
        <f>VPI!R118</f>
        <v>111006.30192592592</v>
      </c>
      <c r="D118" s="633">
        <f>Effort!I118-IF(PCS!I124&lt;0, Effort!D118, 0)</f>
        <v>22.22225235117266</v>
      </c>
      <c r="E118" s="634">
        <f>IF(PCS!I124&lt;0, 0, PCS!F124/Aide!C118)</f>
        <v>6.9620982015571622</v>
      </c>
      <c r="F118" s="634">
        <f>Effort!G118</f>
        <v>-2.6689615597156187</v>
      </c>
      <c r="G118" s="635">
        <f t="shared" si="3"/>
        <v>31.85331211244544</v>
      </c>
      <c r="H118" s="149">
        <f t="shared" si="4"/>
        <v>0</v>
      </c>
      <c r="I118" s="41">
        <f t="shared" si="5"/>
        <v>0</v>
      </c>
      <c r="J118" s="28"/>
    </row>
    <row r="119" spans="1:10" x14ac:dyDescent="0.25">
      <c r="A119" s="37">
        <f>Données!A119</f>
        <v>5604</v>
      </c>
      <c r="B119" s="125" t="str">
        <f>Données!B119</f>
        <v>Forel (Lavaux)</v>
      </c>
      <c r="C119" s="247">
        <f>VPI!R119</f>
        <v>74097.487681159415</v>
      </c>
      <c r="D119" s="633">
        <f>Effort!I119-IF(PCS!I125&lt;0, Effort!D119, 0)</f>
        <v>10.750692139821052</v>
      </c>
      <c r="E119" s="634">
        <f>IF(PCS!I125&lt;0, 0, PCS!F125/Aide!C119)</f>
        <v>2.8774666547056649</v>
      </c>
      <c r="F119" s="634">
        <f>Effort!G119</f>
        <v>-4.887024765019401</v>
      </c>
      <c r="G119" s="635">
        <f t="shared" si="3"/>
        <v>18.515183559546116</v>
      </c>
      <c r="H119" s="149">
        <f t="shared" si="4"/>
        <v>0</v>
      </c>
      <c r="I119" s="41">
        <f t="shared" si="5"/>
        <v>0</v>
      </c>
      <c r="J119" s="28"/>
    </row>
    <row r="120" spans="1:10" x14ac:dyDescent="0.25">
      <c r="A120" s="37">
        <f>Données!A120</f>
        <v>5606</v>
      </c>
      <c r="B120" s="125" t="str">
        <f>Données!B120</f>
        <v>Lutry</v>
      </c>
      <c r="C120" s="247">
        <f>VPI!R120</f>
        <v>967121.48857142858</v>
      </c>
      <c r="D120" s="633">
        <f>Effort!I120-IF(PCS!I126&lt;0, Effort!D120, 0)</f>
        <v>29.880129196640759</v>
      </c>
      <c r="E120" s="634">
        <f>IF(PCS!I126&lt;0, 0, PCS!F126/Aide!C120)</f>
        <v>4.1271350002737579</v>
      </c>
      <c r="F120" s="634">
        <f>Effort!G120</f>
        <v>-2.0052167965433441</v>
      </c>
      <c r="G120" s="635">
        <f t="shared" si="3"/>
        <v>36.012480993457864</v>
      </c>
      <c r="H120" s="149">
        <f t="shared" si="4"/>
        <v>0</v>
      </c>
      <c r="I120" s="41">
        <f t="shared" si="5"/>
        <v>0</v>
      </c>
      <c r="J120" s="28"/>
    </row>
    <row r="121" spans="1:10" x14ac:dyDescent="0.25">
      <c r="A121" s="37">
        <f>Données!A121</f>
        <v>5607</v>
      </c>
      <c r="B121" s="125" t="str">
        <f>Données!B121</f>
        <v>Puidoux</v>
      </c>
      <c r="C121" s="247">
        <f>VPI!R121</f>
        <v>136783.21297365916</v>
      </c>
      <c r="D121" s="633">
        <f>Effort!I121-IF(PCS!I127&lt;0, Effort!D121, 0)</f>
        <v>16.17727967127292</v>
      </c>
      <c r="E121" s="634">
        <f>IF(PCS!I127&lt;0, 0, PCS!F127/Aide!C121)</f>
        <v>1.9314408490380743</v>
      </c>
      <c r="F121" s="634">
        <f>Effort!G121</f>
        <v>-6.5025192572274335</v>
      </c>
      <c r="G121" s="635">
        <f t="shared" si="3"/>
        <v>24.61123977753843</v>
      </c>
      <c r="H121" s="149">
        <f t="shared" si="4"/>
        <v>0</v>
      </c>
      <c r="I121" s="41">
        <f t="shared" si="5"/>
        <v>0</v>
      </c>
      <c r="J121" s="28"/>
    </row>
    <row r="122" spans="1:10" x14ac:dyDescent="0.25">
      <c r="A122" s="37">
        <f>Données!A122</f>
        <v>5609</v>
      </c>
      <c r="B122" s="125" t="str">
        <f>Données!B122</f>
        <v>Rivaz</v>
      </c>
      <c r="C122" s="247">
        <f>VPI!R122</f>
        <v>15606.865161290323</v>
      </c>
      <c r="D122" s="633">
        <f>Effort!I122-IF(PCS!I128&lt;0, Effort!D122, 0)</f>
        <v>23.145223662917378</v>
      </c>
      <c r="E122" s="634">
        <f>IF(PCS!I128&lt;0, 0, PCS!F128/Aide!C122)</f>
        <v>3.7383340214093539</v>
      </c>
      <c r="F122" s="634">
        <f>Effort!G122</f>
        <v>-3.8958450132345424</v>
      </c>
      <c r="G122" s="635">
        <f t="shared" si="3"/>
        <v>30.779402697561274</v>
      </c>
      <c r="H122" s="149">
        <f t="shared" si="4"/>
        <v>0</v>
      </c>
      <c r="I122" s="41">
        <f t="shared" si="5"/>
        <v>0</v>
      </c>
      <c r="J122" s="28"/>
    </row>
    <row r="123" spans="1:10" x14ac:dyDescent="0.25">
      <c r="A123" s="37">
        <f>Données!A123</f>
        <v>5610</v>
      </c>
      <c r="B123" s="125" t="str">
        <f>Données!B123</f>
        <v>St-Saphorin (Lavaux)</v>
      </c>
      <c r="C123" s="247">
        <f>VPI!R123</f>
        <v>17690.752229729729</v>
      </c>
      <c r="D123" s="633">
        <f>Effort!I123-IF(PCS!I129&lt;0, Effort!D123, 0)</f>
        <v>14.653252217713728</v>
      </c>
      <c r="E123" s="634">
        <f>IF(PCS!I129&lt;0, 0, PCS!F129/Aide!C123)</f>
        <v>1.871552694314448</v>
      </c>
      <c r="F123" s="634">
        <f>Effort!G123</f>
        <v>-10.925615461326345</v>
      </c>
      <c r="G123" s="635">
        <f t="shared" si="3"/>
        <v>27.450420373354522</v>
      </c>
      <c r="H123" s="149">
        <f t="shared" si="4"/>
        <v>0</v>
      </c>
      <c r="I123" s="41">
        <f t="shared" si="5"/>
        <v>0</v>
      </c>
      <c r="J123" s="28"/>
    </row>
    <row r="124" spans="1:10" x14ac:dyDescent="0.25">
      <c r="A124" s="37">
        <f>Données!A124</f>
        <v>5611</v>
      </c>
      <c r="B124" s="125" t="str">
        <f>Données!B124</f>
        <v>Savigny</v>
      </c>
      <c r="C124" s="247">
        <f>VPI!R124</f>
        <v>157298.88888888891</v>
      </c>
      <c r="D124" s="633">
        <f>Effort!I124-IF(PCS!I130&lt;0, Effort!D124, 0)</f>
        <v>17.750789534130739</v>
      </c>
      <c r="E124" s="634">
        <f>IF(PCS!I130&lt;0, 0, PCS!F130/Aide!C124)</f>
        <v>4.6471575874661823</v>
      </c>
      <c r="F124" s="634">
        <f>Effort!G124</f>
        <v>-3.4602272798972331</v>
      </c>
      <c r="G124" s="635">
        <f t="shared" si="3"/>
        <v>25.858174401494153</v>
      </c>
      <c r="H124" s="149">
        <f t="shared" si="4"/>
        <v>0</v>
      </c>
      <c r="I124" s="41">
        <f t="shared" si="5"/>
        <v>0</v>
      </c>
      <c r="J124" s="28"/>
    </row>
    <row r="125" spans="1:10" x14ac:dyDescent="0.25">
      <c r="A125" s="37">
        <f>Données!A125</f>
        <v>5613</v>
      </c>
      <c r="B125" s="125" t="str">
        <f>Données!B125</f>
        <v>Bourg-en-Lavaux</v>
      </c>
      <c r="C125" s="247">
        <f>VPI!R125</f>
        <v>362275.1242133333</v>
      </c>
      <c r="D125" s="633">
        <f>Effort!I125-IF(PCS!I131&lt;0, Effort!D125, 0)</f>
        <v>28.161556765887209</v>
      </c>
      <c r="E125" s="634">
        <f>IF(PCS!I131&lt;0, 0, PCS!F131/Aide!C125)</f>
        <v>3.7538962493024193</v>
      </c>
      <c r="F125" s="634">
        <f>Effort!G125</f>
        <v>0</v>
      </c>
      <c r="G125" s="635">
        <f t="shared" si="3"/>
        <v>31.915453015189627</v>
      </c>
      <c r="H125" s="149">
        <f t="shared" si="4"/>
        <v>0</v>
      </c>
      <c r="I125" s="41">
        <f t="shared" si="5"/>
        <v>0</v>
      </c>
      <c r="J125" s="28"/>
    </row>
    <row r="126" spans="1:10" x14ac:dyDescent="0.25">
      <c r="A126" s="37">
        <f>Données!A126</f>
        <v>5621</v>
      </c>
      <c r="B126" s="125" t="str">
        <f>Données!B126</f>
        <v>Aclens</v>
      </c>
      <c r="C126" s="247">
        <f>VPI!R126</f>
        <v>31275.873303030305</v>
      </c>
      <c r="D126" s="633">
        <f>Effort!I126-IF(PCS!I132&lt;0, Effort!D126, 0)</f>
        <v>26.004126945142986</v>
      </c>
      <c r="E126" s="634">
        <f>IF(PCS!I132&lt;0, 0, PCS!F132/Aide!C126)</f>
        <v>6.4390703993703555</v>
      </c>
      <c r="F126" s="634">
        <f>Effort!G126</f>
        <v>-2.9100154060888199</v>
      </c>
      <c r="G126" s="635">
        <f t="shared" si="3"/>
        <v>35.353212750602161</v>
      </c>
      <c r="H126" s="149">
        <f t="shared" si="4"/>
        <v>0</v>
      </c>
      <c r="I126" s="41">
        <f t="shared" si="5"/>
        <v>0</v>
      </c>
      <c r="J126" s="28"/>
    </row>
    <row r="127" spans="1:10" x14ac:dyDescent="0.25">
      <c r="A127" s="37">
        <f>Données!A127</f>
        <v>5622</v>
      </c>
      <c r="B127" s="125" t="str">
        <f>Données!B127</f>
        <v>Bremblens</v>
      </c>
      <c r="C127" s="247">
        <f>VPI!R127</f>
        <v>29645.912352941177</v>
      </c>
      <c r="D127" s="633">
        <f>Effort!I127-IF(PCS!I133&lt;0, Effort!D127, 0)</f>
        <v>27.229491980102754</v>
      </c>
      <c r="E127" s="634">
        <f>IF(PCS!I133&lt;0, 0, PCS!F133/Aide!C127)</f>
        <v>0.99178968250180943</v>
      </c>
      <c r="F127" s="634">
        <f>Effort!G127</f>
        <v>0</v>
      </c>
      <c r="G127" s="635">
        <f t="shared" si="3"/>
        <v>28.221281662604564</v>
      </c>
      <c r="H127" s="149">
        <f t="shared" si="4"/>
        <v>0</v>
      </c>
      <c r="I127" s="41">
        <f t="shared" si="5"/>
        <v>0</v>
      </c>
      <c r="J127" s="28"/>
    </row>
    <row r="128" spans="1:10" x14ac:dyDescent="0.25">
      <c r="A128" s="37">
        <f>Données!A128</f>
        <v>5623</v>
      </c>
      <c r="B128" s="125" t="str">
        <f>Données!B128</f>
        <v>Buchillon</v>
      </c>
      <c r="C128" s="247">
        <f>VPI!R128</f>
        <v>102629.43480769232</v>
      </c>
      <c r="D128" s="633">
        <f>Effort!I128-IF(PCS!I134&lt;0, Effort!D128, 0)</f>
        <v>44.137798515790465</v>
      </c>
      <c r="E128" s="634">
        <f>IF(PCS!I134&lt;0, 0, PCS!F134/Aide!C128)</f>
        <v>5.2089102994839003</v>
      </c>
      <c r="F128" s="634">
        <f>Effort!G128</f>
        <v>0</v>
      </c>
      <c r="G128" s="635">
        <f t="shared" si="3"/>
        <v>49.346708815274368</v>
      </c>
      <c r="H128" s="149">
        <f t="shared" si="4"/>
        <v>0</v>
      </c>
      <c r="I128" s="41">
        <f t="shared" si="5"/>
        <v>0</v>
      </c>
      <c r="J128" s="28"/>
    </row>
    <row r="129" spans="1:10" x14ac:dyDescent="0.25">
      <c r="A129" s="37">
        <f>Données!A129</f>
        <v>5624</v>
      </c>
      <c r="B129" s="125" t="str">
        <f>Données!B129</f>
        <v>Bussigny</v>
      </c>
      <c r="C129" s="247">
        <f>VPI!R129</f>
        <v>450667.46672000003</v>
      </c>
      <c r="D129" s="633">
        <f>Effort!I129-IF(PCS!I135&lt;0, Effort!D129, 0)</f>
        <v>5.1332412309955906</v>
      </c>
      <c r="E129" s="634">
        <f>IF(PCS!I135&lt;0, 0, PCS!F135/Aide!C129)</f>
        <v>2.7899839967396525</v>
      </c>
      <c r="F129" s="634">
        <f>Effort!G129</f>
        <v>-5.6268250072674526</v>
      </c>
      <c r="G129" s="635">
        <f t="shared" si="3"/>
        <v>13.550050235002695</v>
      </c>
      <c r="H129" s="149">
        <f t="shared" si="4"/>
        <v>0</v>
      </c>
      <c r="I129" s="41">
        <f t="shared" si="5"/>
        <v>0</v>
      </c>
      <c r="J129" s="28"/>
    </row>
    <row r="130" spans="1:10" x14ac:dyDescent="0.25">
      <c r="A130" s="37">
        <f>Données!A130</f>
        <v>5627</v>
      </c>
      <c r="B130" s="125" t="str">
        <f>Données!B130</f>
        <v>Chavannes-près-Renens</v>
      </c>
      <c r="C130" s="247">
        <f>VPI!R130</f>
        <v>202046.51840860216</v>
      </c>
      <c r="D130" s="633">
        <f>Effort!I130-IF(PCS!I136&lt;0, Effort!D130, 0)</f>
        <v>-42.843353693097924</v>
      </c>
      <c r="E130" s="634">
        <f>IF(PCS!I136&lt;0, 0, PCS!F136/Aide!C130)</f>
        <v>5.212249032028673</v>
      </c>
      <c r="F130" s="634">
        <f>Effort!G130</f>
        <v>-13.809637590038648</v>
      </c>
      <c r="G130" s="635">
        <f t="shared" si="3"/>
        <v>-23.821467071030604</v>
      </c>
      <c r="H130" s="149">
        <f t="shared" si="4"/>
        <v>-13.821467071030604</v>
      </c>
      <c r="I130" s="41">
        <f t="shared" si="5"/>
        <v>2792579.3010008736</v>
      </c>
      <c r="J130" s="28"/>
    </row>
    <row r="131" spans="1:10" x14ac:dyDescent="0.25">
      <c r="A131" s="37">
        <f>Données!A131</f>
        <v>5628</v>
      </c>
      <c r="B131" s="125" t="str">
        <f>Données!B131</f>
        <v>Chigny</v>
      </c>
      <c r="C131" s="247">
        <f>VPI!R131</f>
        <v>31766.144193548385</v>
      </c>
      <c r="D131" s="633">
        <f>Effort!I131-IF(PCS!I137&lt;0, Effort!D131, 0)</f>
        <v>34.45414549457378</v>
      </c>
      <c r="E131" s="634">
        <f>IF(PCS!I137&lt;0, 0, PCS!F137/Aide!C131)</f>
        <v>3.5899843337977795</v>
      </c>
      <c r="F131" s="634">
        <f>Effort!G131</f>
        <v>0</v>
      </c>
      <c r="G131" s="635">
        <f t="shared" si="3"/>
        <v>38.04412982837156</v>
      </c>
      <c r="H131" s="149">
        <f t="shared" si="4"/>
        <v>0</v>
      </c>
      <c r="I131" s="41">
        <f t="shared" si="5"/>
        <v>0</v>
      </c>
      <c r="J131" s="28"/>
    </row>
    <row r="132" spans="1:10" x14ac:dyDescent="0.25">
      <c r="A132" s="37">
        <f>Données!A132</f>
        <v>5629</v>
      </c>
      <c r="B132" s="125" t="str">
        <f>Données!B132</f>
        <v>Clarmont</v>
      </c>
      <c r="C132" s="247">
        <f>VPI!R132</f>
        <v>8028.6466666666693</v>
      </c>
      <c r="D132" s="633">
        <f>Effort!I132-IF(PCS!I138&lt;0, Effort!D132, 0)</f>
        <v>10.076321281201826</v>
      </c>
      <c r="E132" s="634">
        <f>IF(PCS!I138&lt;0, 0, PCS!F138/Aide!C132)</f>
        <v>2.512826985369887</v>
      </c>
      <c r="F132" s="634">
        <f>Effort!G132</f>
        <v>-8.1284352835247606</v>
      </c>
      <c r="G132" s="635">
        <f t="shared" si="3"/>
        <v>20.717583550096474</v>
      </c>
      <c r="H132" s="149">
        <f t="shared" si="4"/>
        <v>0</v>
      </c>
      <c r="I132" s="41">
        <f t="shared" si="5"/>
        <v>0</v>
      </c>
      <c r="J132" s="28"/>
    </row>
    <row r="133" spans="1:10" x14ac:dyDescent="0.25">
      <c r="A133" s="37">
        <f>Données!A133</f>
        <v>5631</v>
      </c>
      <c r="B133" s="125" t="str">
        <f>Données!B133</f>
        <v>Denens</v>
      </c>
      <c r="C133" s="247">
        <f>VPI!R133</f>
        <v>46857.544615384613</v>
      </c>
      <c r="D133" s="633">
        <f>Effort!I133-IF(PCS!I139&lt;0, Effort!D133, 0)</f>
        <v>31.600072074638096</v>
      </c>
      <c r="E133" s="634">
        <f>IF(PCS!I139&lt;0, 0, PCS!F139/Aide!C133)</f>
        <v>1.6883640756119598</v>
      </c>
      <c r="F133" s="634">
        <f>Effort!G133</f>
        <v>0</v>
      </c>
      <c r="G133" s="635">
        <f t="shared" si="3"/>
        <v>33.288436150250057</v>
      </c>
      <c r="H133" s="149">
        <f t="shared" si="4"/>
        <v>0</v>
      </c>
      <c r="I133" s="41">
        <f t="shared" si="5"/>
        <v>0</v>
      </c>
      <c r="J133" s="28"/>
    </row>
    <row r="134" spans="1:10" x14ac:dyDescent="0.25">
      <c r="A134" s="37">
        <f>Données!A134</f>
        <v>5632</v>
      </c>
      <c r="B134" s="125" t="str">
        <f>Données!B134</f>
        <v>Denges</v>
      </c>
      <c r="C134" s="247">
        <f>VPI!R134</f>
        <v>84931.199193548397</v>
      </c>
      <c r="D134" s="633">
        <f>Effort!I134-IF(PCS!I140&lt;0, Effort!D134, 0)</f>
        <v>23.102924025942123</v>
      </c>
      <c r="E134" s="634">
        <f>IF(PCS!I140&lt;0, 0, PCS!F140/Aide!C134)</f>
        <v>4.196720915098954</v>
      </c>
      <c r="F134" s="634">
        <f>Effort!G134</f>
        <v>-1.0858564729923985</v>
      </c>
      <c r="G134" s="635">
        <f t="shared" si="3"/>
        <v>28.385501414033474</v>
      </c>
      <c r="H134" s="149">
        <f t="shared" si="4"/>
        <v>0</v>
      </c>
      <c r="I134" s="41">
        <f t="shared" si="5"/>
        <v>0</v>
      </c>
      <c r="J134" s="28"/>
    </row>
    <row r="135" spans="1:10" x14ac:dyDescent="0.25">
      <c r="A135" s="37">
        <f>Données!A135</f>
        <v>5633</v>
      </c>
      <c r="B135" s="125" t="str">
        <f>Données!B135</f>
        <v>Echandens</v>
      </c>
      <c r="C135" s="247">
        <f>VPI!R135</f>
        <v>152816.5752066116</v>
      </c>
      <c r="D135" s="633">
        <f>Effort!I135-IF(PCS!I141&lt;0, Effort!D135, 0)</f>
        <v>19.841642834404755</v>
      </c>
      <c r="E135" s="634">
        <f>IF(PCS!I141&lt;0, 0, PCS!F141/Aide!C135)</f>
        <v>4.3829070183940493</v>
      </c>
      <c r="F135" s="634">
        <f>Effort!G135</f>
        <v>-5.2812314778944325</v>
      </c>
      <c r="G135" s="635">
        <f t="shared" ref="G135:G198" si="6">D135+E135-F135</f>
        <v>29.505781330693239</v>
      </c>
      <c r="H135" s="149">
        <f t="shared" ref="H135:H198" si="7">IF(G135&lt;H$5,G135-H$5,0)</f>
        <v>0</v>
      </c>
      <c r="I135" s="41">
        <f t="shared" ref="I135:I198" si="8">-H135*C135</f>
        <v>0</v>
      </c>
      <c r="J135" s="28"/>
    </row>
    <row r="136" spans="1:10" x14ac:dyDescent="0.25">
      <c r="A136" s="37">
        <f>Données!A136</f>
        <v>5634</v>
      </c>
      <c r="B136" s="125" t="str">
        <f>Données!B136</f>
        <v>Echichens</v>
      </c>
      <c r="C136" s="247">
        <f>VPI!R136</f>
        <v>172315.76318181818</v>
      </c>
      <c r="D136" s="633">
        <f>Effort!I136-IF(PCS!I142&lt;0, Effort!D136, 0)</f>
        <v>24.779274757808274</v>
      </c>
      <c r="E136" s="634">
        <f>IF(PCS!I142&lt;0, 0, PCS!F142/Aide!C136)</f>
        <v>3.1031934927263909</v>
      </c>
      <c r="F136" s="634">
        <f>Effort!G136</f>
        <v>-1.0020985079815454</v>
      </c>
      <c r="G136" s="635">
        <f t="shared" si="6"/>
        <v>28.884566758516211</v>
      </c>
      <c r="H136" s="149">
        <f t="shared" si="7"/>
        <v>0</v>
      </c>
      <c r="I136" s="41">
        <f t="shared" si="8"/>
        <v>0</v>
      </c>
      <c r="J136" s="28"/>
    </row>
    <row r="137" spans="1:10" x14ac:dyDescent="0.25">
      <c r="A137" s="37">
        <f>Données!A137</f>
        <v>5635</v>
      </c>
      <c r="B137" s="125" t="str">
        <f>Données!B137</f>
        <v>Ecublens</v>
      </c>
      <c r="C137" s="247">
        <f>VPI!R137</f>
        <v>544882.47829333332</v>
      </c>
      <c r="D137" s="633">
        <f>Effort!I137-IF(PCS!I143&lt;0, Effort!D137, 0)</f>
        <v>3.8302219815032732</v>
      </c>
      <c r="E137" s="634">
        <f>IF(PCS!I143&lt;0, 0, PCS!F143/Aide!C137)</f>
        <v>4.6290004275787338</v>
      </c>
      <c r="F137" s="634">
        <f>Effort!G137</f>
        <v>-7.3354894505979189</v>
      </c>
      <c r="G137" s="635">
        <f t="shared" si="6"/>
        <v>15.794711859679925</v>
      </c>
      <c r="H137" s="149">
        <f t="shared" si="7"/>
        <v>0</v>
      </c>
      <c r="I137" s="41">
        <f t="shared" si="8"/>
        <v>0</v>
      </c>
      <c r="J137" s="28"/>
    </row>
    <row r="138" spans="1:10" x14ac:dyDescent="0.25">
      <c r="A138" s="37">
        <f>Données!A138</f>
        <v>5636</v>
      </c>
      <c r="B138" s="125" t="str">
        <f>Données!B138</f>
        <v>Etoy</v>
      </c>
      <c r="C138" s="247">
        <f>VPI!R138</f>
        <v>214499.46883333332</v>
      </c>
      <c r="D138" s="633">
        <f>Effort!I138-IF(PCS!I144&lt;0, Effort!D138, 0)</f>
        <v>31.365983508846455</v>
      </c>
      <c r="E138" s="634">
        <f>IF(PCS!I144&lt;0, 0, PCS!F144/Aide!C138)</f>
        <v>1.6540049116656208</v>
      </c>
      <c r="F138" s="634">
        <f>Effort!G138</f>
        <v>0</v>
      </c>
      <c r="G138" s="635">
        <f t="shared" si="6"/>
        <v>33.019988420512078</v>
      </c>
      <c r="H138" s="149">
        <f t="shared" si="7"/>
        <v>0</v>
      </c>
      <c r="I138" s="41">
        <f t="shared" si="8"/>
        <v>0</v>
      </c>
      <c r="J138" s="28"/>
    </row>
    <row r="139" spans="1:10" x14ac:dyDescent="0.25">
      <c r="A139" s="37">
        <f>Données!A139</f>
        <v>5637</v>
      </c>
      <c r="B139" s="125" t="str">
        <f>Données!B139</f>
        <v>Lavigny</v>
      </c>
      <c r="C139" s="247">
        <f>VPI!R139</f>
        <v>37437.327945205478</v>
      </c>
      <c r="D139" s="633">
        <f>Effort!I139-IF(PCS!I145&lt;0, Effort!D139, 0)</f>
        <v>-29.623452826601739</v>
      </c>
      <c r="E139" s="634">
        <f>IF(PCS!I145&lt;0, 0, PCS!F145/Aide!C139)</f>
        <v>6.0169726944641226</v>
      </c>
      <c r="F139" s="634">
        <f>Effort!G139</f>
        <v>-45.767807632092484</v>
      </c>
      <c r="G139" s="635">
        <f t="shared" si="6"/>
        <v>22.161327499954869</v>
      </c>
      <c r="H139" s="149">
        <f t="shared" si="7"/>
        <v>0</v>
      </c>
      <c r="I139" s="41">
        <f t="shared" si="8"/>
        <v>0</v>
      </c>
      <c r="J139" s="28"/>
    </row>
    <row r="140" spans="1:10" x14ac:dyDescent="0.25">
      <c r="A140" s="37">
        <f>Données!A140</f>
        <v>5638</v>
      </c>
      <c r="B140" s="125" t="str">
        <f>Données!B140</f>
        <v>Lonay</v>
      </c>
      <c r="C140" s="247">
        <f>VPI!R140</f>
        <v>156370.75327272728</v>
      </c>
      <c r="D140" s="633">
        <f>Effort!I140-IF(PCS!I146&lt;0, Effort!D140, 0)</f>
        <v>24.150667570791505</v>
      </c>
      <c r="E140" s="634">
        <f>IF(PCS!I146&lt;0, 0, PCS!F146/Aide!C140)</f>
        <v>13.034011043262481</v>
      </c>
      <c r="F140" s="634">
        <f>Effort!G140</f>
        <v>-2.9306152170222508</v>
      </c>
      <c r="G140" s="635">
        <f t="shared" si="6"/>
        <v>40.115293831076237</v>
      </c>
      <c r="H140" s="149">
        <f t="shared" si="7"/>
        <v>0</v>
      </c>
      <c r="I140" s="41">
        <f t="shared" si="8"/>
        <v>0</v>
      </c>
      <c r="J140" s="28"/>
    </row>
    <row r="141" spans="1:10" x14ac:dyDescent="0.25">
      <c r="A141" s="37">
        <f>Données!A141</f>
        <v>5639</v>
      </c>
      <c r="B141" s="125" t="str">
        <f>Données!B141</f>
        <v>Lully</v>
      </c>
      <c r="C141" s="247">
        <f>VPI!R141</f>
        <v>55829.926885245906</v>
      </c>
      <c r="D141" s="633">
        <f>Effort!I141-IF(PCS!I147&lt;0, Effort!D141, 0)</f>
        <v>32.327528572020249</v>
      </c>
      <c r="E141" s="634">
        <f>IF(PCS!I147&lt;0, 0, PCS!F147/Aide!C141)</f>
        <v>4.8226173670872807</v>
      </c>
      <c r="F141" s="634">
        <f>Effort!G141</f>
        <v>0</v>
      </c>
      <c r="G141" s="635">
        <f t="shared" si="6"/>
        <v>37.150145939107531</v>
      </c>
      <c r="H141" s="149">
        <f t="shared" si="7"/>
        <v>0</v>
      </c>
      <c r="I141" s="41">
        <f t="shared" si="8"/>
        <v>0</v>
      </c>
      <c r="J141" s="28"/>
    </row>
    <row r="142" spans="1:10" x14ac:dyDescent="0.25">
      <c r="A142" s="37">
        <f>Données!A142</f>
        <v>5640</v>
      </c>
      <c r="B142" s="125" t="str">
        <f>Données!B142</f>
        <v>Lussy-sur-Morges</v>
      </c>
      <c r="C142" s="247">
        <f>VPI!R142</f>
        <v>63303.13934959349</v>
      </c>
      <c r="D142" s="633">
        <f>Effort!I142-IF(PCS!I148&lt;0, Effort!D142, 0)</f>
        <v>37.348576322447599</v>
      </c>
      <c r="E142" s="634">
        <f>IF(PCS!I148&lt;0, 0, PCS!F148/Aide!C142)</f>
        <v>1.4023488552399901</v>
      </c>
      <c r="F142" s="634">
        <f>Effort!G142</f>
        <v>0</v>
      </c>
      <c r="G142" s="635">
        <f t="shared" si="6"/>
        <v>38.750925177687591</v>
      </c>
      <c r="H142" s="149">
        <f t="shared" si="7"/>
        <v>0</v>
      </c>
      <c r="I142" s="41">
        <f t="shared" si="8"/>
        <v>0</v>
      </c>
      <c r="J142" s="28"/>
    </row>
    <row r="143" spans="1:10" x14ac:dyDescent="0.25">
      <c r="A143" s="37">
        <f>Données!A143</f>
        <v>5642</v>
      </c>
      <c r="B143" s="125" t="str">
        <f>Données!B143</f>
        <v>Morges</v>
      </c>
      <c r="C143" s="247">
        <f>VPI!R143</f>
        <v>1061989.5101492535</v>
      </c>
      <c r="D143" s="633">
        <f>Effort!I143-IF(PCS!I149&lt;0, Effort!D143, 0)</f>
        <v>18.486350677659857</v>
      </c>
      <c r="E143" s="634">
        <f>IF(PCS!I149&lt;0, 0, PCS!F149/Aide!C143)</f>
        <v>4.4812335051512511</v>
      </c>
      <c r="F143" s="634">
        <f>Effort!G143</f>
        <v>-1.7650359468150678</v>
      </c>
      <c r="G143" s="635">
        <f t="shared" si="6"/>
        <v>24.732620129626177</v>
      </c>
      <c r="H143" s="149">
        <f t="shared" si="7"/>
        <v>0</v>
      </c>
      <c r="I143" s="41">
        <f t="shared" si="8"/>
        <v>0</v>
      </c>
      <c r="J143" s="28"/>
    </row>
    <row r="144" spans="1:10" x14ac:dyDescent="0.25">
      <c r="A144" s="37">
        <f>Données!A144</f>
        <v>5643</v>
      </c>
      <c r="B144" s="125" t="str">
        <f>Données!B144</f>
        <v>Préverenges</v>
      </c>
      <c r="C144" s="247">
        <f>VPI!R144</f>
        <v>254683.39384615389</v>
      </c>
      <c r="D144" s="633">
        <f>Effort!I144-IF(PCS!I150&lt;0, Effort!D144, 0)</f>
        <v>21.775734065297737</v>
      </c>
      <c r="E144" s="634">
        <f>IF(PCS!I150&lt;0, 0, PCS!F150/Aide!C144)</f>
        <v>5.4253265559774402</v>
      </c>
      <c r="F144" s="634">
        <f>Effort!G144</f>
        <v>0</v>
      </c>
      <c r="G144" s="635">
        <f t="shared" si="6"/>
        <v>27.201060621275175</v>
      </c>
      <c r="H144" s="149">
        <f t="shared" si="7"/>
        <v>0</v>
      </c>
      <c r="I144" s="41">
        <f t="shared" si="8"/>
        <v>0</v>
      </c>
      <c r="J144" s="28"/>
    </row>
    <row r="145" spans="1:10" x14ac:dyDescent="0.25">
      <c r="A145" s="37">
        <f>Données!A145</f>
        <v>5645</v>
      </c>
      <c r="B145" s="125" t="str">
        <f>Données!B145</f>
        <v>Romanel-sur-Morges</v>
      </c>
      <c r="C145" s="247">
        <f>VPI!R145</f>
        <v>28308.714642857147</v>
      </c>
      <c r="D145" s="633">
        <f>Effort!I145-IF(PCS!I151&lt;0, Effort!D145, 0)</f>
        <v>30.97081073943621</v>
      </c>
      <c r="E145" s="634">
        <f>IF(PCS!I151&lt;0, 0, PCS!F151/Aide!C145)</f>
        <v>2.8105332935020848</v>
      </c>
      <c r="F145" s="634">
        <f>Effort!G145</f>
        <v>0</v>
      </c>
      <c r="G145" s="635">
        <f t="shared" si="6"/>
        <v>33.781344032938293</v>
      </c>
      <c r="H145" s="149">
        <f t="shared" si="7"/>
        <v>0</v>
      </c>
      <c r="I145" s="41">
        <f t="shared" si="8"/>
        <v>0</v>
      </c>
      <c r="J145" s="28"/>
    </row>
    <row r="146" spans="1:10" x14ac:dyDescent="0.25">
      <c r="A146" s="37">
        <f>Données!A146</f>
        <v>5646</v>
      </c>
      <c r="B146" s="125" t="str">
        <f>Données!B146</f>
        <v>Saint-Prex</v>
      </c>
      <c r="C146" s="247">
        <f>VPI!R146</f>
        <v>465798.68426553684</v>
      </c>
      <c r="D146" s="633">
        <f>Effort!I146-IF(PCS!I152&lt;0, Effort!D146, 0)</f>
        <v>31.452256230733198</v>
      </c>
      <c r="E146" s="634">
        <f>IF(PCS!I152&lt;0, 0, PCS!F152/Aide!C146)</f>
        <v>2.20184897391279</v>
      </c>
      <c r="F146" s="634">
        <f>Effort!G146</f>
        <v>0</v>
      </c>
      <c r="G146" s="635">
        <f t="shared" si="6"/>
        <v>33.654105204645987</v>
      </c>
      <c r="H146" s="149">
        <f t="shared" si="7"/>
        <v>0</v>
      </c>
      <c r="I146" s="41">
        <f t="shared" si="8"/>
        <v>0</v>
      </c>
      <c r="J146" s="28"/>
    </row>
    <row r="147" spans="1:10" x14ac:dyDescent="0.25">
      <c r="A147" s="37">
        <f>Données!A147</f>
        <v>5648</v>
      </c>
      <c r="B147" s="125" t="str">
        <f>Données!B147</f>
        <v>Saint-Sulpice</v>
      </c>
      <c r="C147" s="247">
        <f>VPI!R147</f>
        <v>424880.94159090909</v>
      </c>
      <c r="D147" s="633">
        <f>Effort!I147-IF(PCS!I153&lt;0, Effort!D147, 0)</f>
        <v>32.181967915989809</v>
      </c>
      <c r="E147" s="634">
        <f>IF(PCS!I153&lt;0, 0, PCS!F153/Aide!C147)</f>
        <v>2.4898860279277715</v>
      </c>
      <c r="F147" s="634">
        <f>Effort!G147</f>
        <v>0</v>
      </c>
      <c r="G147" s="635">
        <f t="shared" si="6"/>
        <v>34.671853943917583</v>
      </c>
      <c r="H147" s="149">
        <f t="shared" si="7"/>
        <v>0</v>
      </c>
      <c r="I147" s="41">
        <f t="shared" si="8"/>
        <v>0</v>
      </c>
      <c r="J147" s="28"/>
    </row>
    <row r="148" spans="1:10" x14ac:dyDescent="0.25">
      <c r="A148" s="37">
        <f>Données!A148</f>
        <v>5649</v>
      </c>
      <c r="B148" s="125" t="str">
        <f>Données!B148</f>
        <v>Tolochenaz</v>
      </c>
      <c r="C148" s="247">
        <f>VPI!R148</f>
        <v>431976.43718750001</v>
      </c>
      <c r="D148" s="633">
        <f>Effort!I148-IF(PCS!I154&lt;0, Effort!D148, 0)</f>
        <v>54.062460878307618</v>
      </c>
      <c r="E148" s="634">
        <f>IF(PCS!I154&lt;0, 0, PCS!F154/Aide!C148)</f>
        <v>0.8625431225506246</v>
      </c>
      <c r="F148" s="634">
        <f>Effort!G148</f>
        <v>0</v>
      </c>
      <c r="G148" s="635">
        <f t="shared" si="6"/>
        <v>54.925004000858245</v>
      </c>
      <c r="H148" s="149">
        <f t="shared" si="7"/>
        <v>0</v>
      </c>
      <c r="I148" s="41">
        <f t="shared" si="8"/>
        <v>0</v>
      </c>
      <c r="J148" s="28"/>
    </row>
    <row r="149" spans="1:10" x14ac:dyDescent="0.25">
      <c r="A149" s="37">
        <f>Données!A149</f>
        <v>5650</v>
      </c>
      <c r="B149" s="125" t="str">
        <f>Données!B149</f>
        <v>Vaux-sur-Morges</v>
      </c>
      <c r="C149" s="247">
        <f>VPI!R149</f>
        <v>116547.05321428573</v>
      </c>
      <c r="D149" s="633">
        <f>Effort!I149-IF(PCS!I155&lt;0, Effort!D149, 0)</f>
        <v>59.742951973454453</v>
      </c>
      <c r="E149" s="634">
        <f>IF(PCS!I155&lt;0, 0, PCS!F155/Aide!C149)</f>
        <v>0.16265979685599025</v>
      </c>
      <c r="F149" s="634">
        <f>Effort!G149</f>
        <v>0</v>
      </c>
      <c r="G149" s="635">
        <f t="shared" si="6"/>
        <v>59.905611770310443</v>
      </c>
      <c r="H149" s="149">
        <f t="shared" si="7"/>
        <v>0</v>
      </c>
      <c r="I149" s="41">
        <f t="shared" si="8"/>
        <v>0</v>
      </c>
      <c r="J149" s="28"/>
    </row>
    <row r="150" spans="1:10" x14ac:dyDescent="0.25">
      <c r="A150" s="37">
        <f>Données!A150</f>
        <v>5651</v>
      </c>
      <c r="B150" s="125" t="str">
        <f>Données!B150</f>
        <v>Villars-Sainte-Croix</v>
      </c>
      <c r="C150" s="247">
        <f>VPI!R150</f>
        <v>62685.817685950416</v>
      </c>
      <c r="D150" s="633">
        <f>Effort!I150-IF(PCS!I156&lt;0, Effort!D150, 0)</f>
        <v>31.842760507142941</v>
      </c>
      <c r="E150" s="634">
        <f>IF(PCS!I156&lt;0, 0, PCS!F156/Aide!C150)</f>
        <v>3.54429994218287</v>
      </c>
      <c r="F150" s="634">
        <f>Effort!G150</f>
        <v>-0.20738860087653962</v>
      </c>
      <c r="G150" s="635">
        <f t="shared" si="6"/>
        <v>35.59444905020235</v>
      </c>
      <c r="H150" s="149">
        <f t="shared" si="7"/>
        <v>0</v>
      </c>
      <c r="I150" s="41">
        <f t="shared" si="8"/>
        <v>0</v>
      </c>
      <c r="J150" s="28"/>
    </row>
    <row r="151" spans="1:10" x14ac:dyDescent="0.25">
      <c r="A151" s="37">
        <f>Données!A151</f>
        <v>5652</v>
      </c>
      <c r="B151" s="125" t="str">
        <f>Données!B151</f>
        <v>Villars-sous-Yens</v>
      </c>
      <c r="C151" s="247">
        <f>VPI!R151</f>
        <v>27337.435990990991</v>
      </c>
      <c r="D151" s="633">
        <f>Effort!I151-IF(PCS!I157&lt;0, Effort!D151, 0)</f>
        <v>20.570948371202039</v>
      </c>
      <c r="E151" s="634">
        <f>IF(PCS!I157&lt;0, 0, PCS!F157/Aide!C151)</f>
        <v>6.2569488980740138</v>
      </c>
      <c r="F151" s="634">
        <f>Effort!G151</f>
        <v>-4.9684217051345199</v>
      </c>
      <c r="G151" s="635">
        <f t="shared" si="6"/>
        <v>31.796318974410575</v>
      </c>
      <c r="H151" s="149">
        <f t="shared" si="7"/>
        <v>0</v>
      </c>
      <c r="I151" s="41">
        <f t="shared" si="8"/>
        <v>0</v>
      </c>
      <c r="J151" s="28"/>
    </row>
    <row r="152" spans="1:10" x14ac:dyDescent="0.25">
      <c r="A152" s="37">
        <f>Données!A152</f>
        <v>5653</v>
      </c>
      <c r="B152" s="125" t="str">
        <f>Données!B152</f>
        <v>Vufflens-le-Château</v>
      </c>
      <c r="C152" s="247">
        <f>VPI!R152</f>
        <v>76227.69876033059</v>
      </c>
      <c r="D152" s="633">
        <f>Effort!I152-IF(PCS!I158&lt;0, Effort!D152, 0)</f>
        <v>37.781885650568512</v>
      </c>
      <c r="E152" s="634">
        <f>IF(PCS!I158&lt;0, 0, PCS!F158/Aide!C152)</f>
        <v>2.386621372002848</v>
      </c>
      <c r="F152" s="634">
        <f>Effort!G152</f>
        <v>0</v>
      </c>
      <c r="G152" s="635">
        <f t="shared" si="6"/>
        <v>40.168507022571362</v>
      </c>
      <c r="H152" s="149">
        <f t="shared" si="7"/>
        <v>0</v>
      </c>
      <c r="I152" s="41">
        <f t="shared" si="8"/>
        <v>0</v>
      </c>
      <c r="J152" s="28"/>
    </row>
    <row r="153" spans="1:10" x14ac:dyDescent="0.25">
      <c r="A153" s="37">
        <f>Données!A153</f>
        <v>5654</v>
      </c>
      <c r="B153" s="125" t="str">
        <f>Données!B153</f>
        <v>Vullierens</v>
      </c>
      <c r="C153" s="247">
        <f>VPI!R153</f>
        <v>23074.815394736848</v>
      </c>
      <c r="D153" s="633">
        <f>Effort!I153-IF(PCS!I159&lt;0, Effort!D153, 0)</f>
        <v>15.335358713385713</v>
      </c>
      <c r="E153" s="634">
        <f>IF(PCS!I159&lt;0, 0, PCS!F159/Aide!C153)</f>
        <v>2.8585875497424427</v>
      </c>
      <c r="F153" s="634">
        <f>Effort!G153</f>
        <v>-7.8605462779419533</v>
      </c>
      <c r="G153" s="635">
        <f t="shared" si="6"/>
        <v>26.054492541070108</v>
      </c>
      <c r="H153" s="149">
        <f t="shared" si="7"/>
        <v>0</v>
      </c>
      <c r="I153" s="41">
        <f t="shared" si="8"/>
        <v>0</v>
      </c>
      <c r="J153" s="28"/>
    </row>
    <row r="154" spans="1:10" x14ac:dyDescent="0.25">
      <c r="A154" s="37">
        <f>Données!A154</f>
        <v>5655</v>
      </c>
      <c r="B154" s="125" t="str">
        <f>Données!B154</f>
        <v>Yens</v>
      </c>
      <c r="C154" s="247">
        <f>VPI!R154</f>
        <v>99930.986000000004</v>
      </c>
      <c r="D154" s="633">
        <f>Effort!I154-IF(PCS!I160&lt;0, Effort!D154, 0)</f>
        <v>31.640012240294226</v>
      </c>
      <c r="E154" s="634">
        <f>IF(PCS!I160&lt;0, 0, PCS!F160/Aide!C154)</f>
        <v>3.5397892001185705</v>
      </c>
      <c r="F154" s="634">
        <f>Effort!G154</f>
        <v>0</v>
      </c>
      <c r="G154" s="635">
        <f t="shared" si="6"/>
        <v>35.179801440412795</v>
      </c>
      <c r="H154" s="149">
        <f t="shared" si="7"/>
        <v>0</v>
      </c>
      <c r="I154" s="41">
        <f t="shared" si="8"/>
        <v>0</v>
      </c>
      <c r="J154" s="28"/>
    </row>
    <row r="155" spans="1:10" x14ac:dyDescent="0.25">
      <c r="A155" s="37">
        <f>Données!A155</f>
        <v>5656</v>
      </c>
      <c r="B155" s="125" t="str">
        <f>Données!B155</f>
        <v>Hautemorges</v>
      </c>
      <c r="C155" s="247">
        <f>VPI!R155</f>
        <v>173869.73802816903</v>
      </c>
      <c r="D155" s="633">
        <f>Effort!I155-IF(PCS!I161&lt;0, Effort!D155, 0)</f>
        <v>8.9137141038149821</v>
      </c>
      <c r="E155" s="634">
        <f>IF(PCS!I161&lt;0, 0, PCS!F161/Aide!C155)</f>
        <v>2.6749170112895104</v>
      </c>
      <c r="F155" s="634">
        <f>Effort!G155</f>
        <v>-7.2071797811924014</v>
      </c>
      <c r="G155" s="635">
        <f t="shared" si="6"/>
        <v>18.795810896296892</v>
      </c>
      <c r="H155" s="149">
        <f t="shared" si="7"/>
        <v>0</v>
      </c>
      <c r="I155" s="41">
        <f t="shared" si="8"/>
        <v>0</v>
      </c>
      <c r="J155" s="28"/>
    </row>
    <row r="156" spans="1:10" x14ac:dyDescent="0.25">
      <c r="A156" s="37">
        <f>Données!A156</f>
        <v>5661</v>
      </c>
      <c r="B156" s="125" t="str">
        <f>Données!B156</f>
        <v>Boulens</v>
      </c>
      <c r="C156" s="247">
        <f>VPI!R156</f>
        <v>10070.839300699299</v>
      </c>
      <c r="D156" s="633">
        <f>Effort!I156-IF(PCS!I162&lt;0, Effort!D156, 0)</f>
        <v>7.8404271652726294</v>
      </c>
      <c r="E156" s="634">
        <f>IF(PCS!I162&lt;0, 0, PCS!F162/Aide!C156)</f>
        <v>3.2246830706299705</v>
      </c>
      <c r="F156" s="634">
        <f>Effort!G156</f>
        <v>-1.086427112759732</v>
      </c>
      <c r="G156" s="635">
        <f t="shared" si="6"/>
        <v>12.151537348662332</v>
      </c>
      <c r="H156" s="149">
        <f t="shared" si="7"/>
        <v>0</v>
      </c>
      <c r="I156" s="41">
        <f t="shared" si="8"/>
        <v>0</v>
      </c>
      <c r="J156" s="28"/>
    </row>
    <row r="157" spans="1:10" x14ac:dyDescent="0.25">
      <c r="A157" s="37">
        <f>Données!A157</f>
        <v>5663</v>
      </c>
      <c r="B157" s="125" t="str">
        <f>Données!B157</f>
        <v>Bussy-sur-Moudon</v>
      </c>
      <c r="C157" s="247">
        <f>VPI!R157</f>
        <v>5846.5050955414026</v>
      </c>
      <c r="D157" s="633">
        <f>Effort!I157-IF(PCS!I163&lt;0, Effort!D157, 0)</f>
        <v>-7.2206268991892877</v>
      </c>
      <c r="E157" s="634">
        <f>IF(PCS!I163&lt;0, 0, PCS!F163/Aide!C157)</f>
        <v>2.2951746010164702</v>
      </c>
      <c r="F157" s="634">
        <f>Effort!G157</f>
        <v>-1.398751797496079</v>
      </c>
      <c r="G157" s="635">
        <f t="shared" si="6"/>
        <v>-3.5267005006767391</v>
      </c>
      <c r="H157" s="149">
        <f t="shared" si="7"/>
        <v>0</v>
      </c>
      <c r="I157" s="41">
        <f t="shared" si="8"/>
        <v>0</v>
      </c>
      <c r="J157" s="28"/>
    </row>
    <row r="158" spans="1:10" x14ac:dyDescent="0.25">
      <c r="A158" s="37">
        <f>Données!A158</f>
        <v>5665</v>
      </c>
      <c r="B158" s="125" t="str">
        <f>Données!B158</f>
        <v>Chavannes-sur-Moudon</v>
      </c>
      <c r="C158" s="247">
        <f>VPI!R158</f>
        <v>6553.0082857142861</v>
      </c>
      <c r="D158" s="633">
        <f>Effort!I158-IF(PCS!I164&lt;0, Effort!D158, 0)</f>
        <v>9.0543300237981583</v>
      </c>
      <c r="E158" s="634">
        <f>IF(PCS!I164&lt;0, 0, PCS!F164/Aide!C158)</f>
        <v>0.35183840756408974</v>
      </c>
      <c r="F158" s="634">
        <f>Effort!G158</f>
        <v>-2.3469219288284147</v>
      </c>
      <c r="G158" s="635">
        <f t="shared" si="6"/>
        <v>11.753090360190663</v>
      </c>
      <c r="H158" s="149">
        <f t="shared" si="7"/>
        <v>0</v>
      </c>
      <c r="I158" s="41">
        <f t="shared" si="8"/>
        <v>0</v>
      </c>
      <c r="J158" s="28"/>
    </row>
    <row r="159" spans="1:10" x14ac:dyDescent="0.25">
      <c r="A159" s="37">
        <f>Données!A159</f>
        <v>5669</v>
      </c>
      <c r="B159" s="125" t="str">
        <f>Données!B159</f>
        <v>Curtilles</v>
      </c>
      <c r="C159" s="247">
        <f>VPI!R159</f>
        <v>9589.3382191780838</v>
      </c>
      <c r="D159" s="633">
        <f>Effort!I159-IF(PCS!I165&lt;0, Effort!D159, 0)</f>
        <v>12.165230968108151</v>
      </c>
      <c r="E159" s="634">
        <f>IF(PCS!I165&lt;0, 0, PCS!F165/Aide!C159)</f>
        <v>3.1884760242214774</v>
      </c>
      <c r="F159" s="634">
        <f>Effort!G159</f>
        <v>-1.3413161234437638</v>
      </c>
      <c r="G159" s="635">
        <f t="shared" si="6"/>
        <v>16.695023115773392</v>
      </c>
      <c r="H159" s="149">
        <f t="shared" si="7"/>
        <v>0</v>
      </c>
      <c r="I159" s="41">
        <f t="shared" si="8"/>
        <v>0</v>
      </c>
      <c r="J159" s="28"/>
    </row>
    <row r="160" spans="1:10" x14ac:dyDescent="0.25">
      <c r="A160" s="37">
        <f>Données!A160</f>
        <v>5671</v>
      </c>
      <c r="B160" s="125" t="str">
        <f>Données!B160</f>
        <v>Dompierre</v>
      </c>
      <c r="C160" s="247">
        <f>VPI!R160</f>
        <v>6077.1303846153842</v>
      </c>
      <c r="D160" s="633">
        <f>Effort!I160-IF(PCS!I166&lt;0, Effort!D160, 0)</f>
        <v>-1.6012903138260199</v>
      </c>
      <c r="E160" s="634">
        <f>IF(PCS!I166&lt;0, 0, PCS!F166/Aide!C160)</f>
        <v>0.33397341698280042</v>
      </c>
      <c r="F160" s="634">
        <f>Effort!G160</f>
        <v>-3.3409052115097611</v>
      </c>
      <c r="G160" s="635">
        <f t="shared" si="6"/>
        <v>2.0735883146665417</v>
      </c>
      <c r="H160" s="149">
        <f t="shared" si="7"/>
        <v>0</v>
      </c>
      <c r="I160" s="41">
        <f t="shared" si="8"/>
        <v>0</v>
      </c>
      <c r="J160" s="28"/>
    </row>
    <row r="161" spans="1:10" x14ac:dyDescent="0.25">
      <c r="A161" s="37">
        <f>Données!A161</f>
        <v>5673</v>
      </c>
      <c r="B161" s="125" t="str">
        <f>Données!B161</f>
        <v>Hermenches</v>
      </c>
      <c r="C161" s="247">
        <f>VPI!R161</f>
        <v>10021.842448979593</v>
      </c>
      <c r="D161" s="633">
        <f>Effort!I161-IF(PCS!I167&lt;0, Effort!D161, 0)</f>
        <v>-55.698507709270757</v>
      </c>
      <c r="E161" s="634">
        <f>IF(PCS!I167&lt;0, 0, PCS!F167/Aide!C161)</f>
        <v>2.9258202919549516</v>
      </c>
      <c r="F161" s="634">
        <f>Effort!G161</f>
        <v>-62.846661956488013</v>
      </c>
      <c r="G161" s="635">
        <f t="shared" si="6"/>
        <v>10.073974539172205</v>
      </c>
      <c r="H161" s="149">
        <f t="shared" si="7"/>
        <v>0</v>
      </c>
      <c r="I161" s="41">
        <f t="shared" si="8"/>
        <v>0</v>
      </c>
      <c r="J161" s="28"/>
    </row>
    <row r="162" spans="1:10" x14ac:dyDescent="0.25">
      <c r="A162" s="37">
        <f>Données!A162</f>
        <v>5674</v>
      </c>
      <c r="B162" s="125" t="str">
        <f>Données!B162</f>
        <v>Lovatens</v>
      </c>
      <c r="C162" s="247">
        <f>VPI!R162</f>
        <v>4190.698742857142</v>
      </c>
      <c r="D162" s="633">
        <f>Effort!I162-IF(PCS!I168&lt;0, Effort!D162, 0)</f>
        <v>6.2128068063822024</v>
      </c>
      <c r="E162" s="634">
        <f>IF(PCS!I168&lt;0, 0, PCS!F168/Aide!C162)</f>
        <v>0.7150776478761921</v>
      </c>
      <c r="F162" s="634">
        <f>Effort!G162</f>
        <v>-3.1600021944464363</v>
      </c>
      <c r="G162" s="635">
        <f t="shared" si="6"/>
        <v>10.087886648704831</v>
      </c>
      <c r="H162" s="149">
        <f t="shared" si="7"/>
        <v>0</v>
      </c>
      <c r="I162" s="41">
        <f t="shared" si="8"/>
        <v>0</v>
      </c>
      <c r="J162" s="28"/>
    </row>
    <row r="163" spans="1:10" x14ac:dyDescent="0.25">
      <c r="A163" s="37">
        <f>Données!A163</f>
        <v>5675</v>
      </c>
      <c r="B163" s="125" t="str">
        <f>Données!B163</f>
        <v>Lucens</v>
      </c>
      <c r="C163" s="247">
        <f>VPI!R163</f>
        <v>96219.295291039889</v>
      </c>
      <c r="D163" s="633">
        <f>Effort!I163-IF(PCS!I169&lt;0, Effort!D163, 0)</f>
        <v>-22.120451419658504</v>
      </c>
      <c r="E163" s="634">
        <f>IF(PCS!I169&lt;0, 0, PCS!F169/Aide!C163)</f>
        <v>6.9968823608989039</v>
      </c>
      <c r="F163" s="634">
        <f>Effort!G163</f>
        <v>-5.9215077898182402</v>
      </c>
      <c r="G163" s="635">
        <f t="shared" si="6"/>
        <v>-9.2020612689413603</v>
      </c>
      <c r="H163" s="149">
        <f t="shared" si="7"/>
        <v>0</v>
      </c>
      <c r="I163" s="41">
        <f t="shared" si="8"/>
        <v>0</v>
      </c>
      <c r="J163" s="28"/>
    </row>
    <row r="164" spans="1:10" x14ac:dyDescent="0.25">
      <c r="A164" s="37">
        <f>Données!A164</f>
        <v>5678</v>
      </c>
      <c r="B164" s="125" t="str">
        <f>Données!B164</f>
        <v>Moudon</v>
      </c>
      <c r="C164" s="247">
        <f>VPI!R164</f>
        <v>144507.28937931036</v>
      </c>
      <c r="D164" s="633">
        <f>Effort!I164-IF(PCS!I170&lt;0, Effort!D164, 0)</f>
        <v>-25.902637168738845</v>
      </c>
      <c r="E164" s="634">
        <f>IF(PCS!I170&lt;0, 0, PCS!F170/Aide!C164)</f>
        <v>5.2083713439839761</v>
      </c>
      <c r="F164" s="634">
        <f>Effort!G164</f>
        <v>-8.5337786738449797</v>
      </c>
      <c r="G164" s="635">
        <f t="shared" si="6"/>
        <v>-12.160487150909889</v>
      </c>
      <c r="H164" s="149">
        <f t="shared" si="7"/>
        <v>-2.1604871509098889</v>
      </c>
      <c r="I164" s="41">
        <f t="shared" si="8"/>
        <v>312206.14191681705</v>
      </c>
      <c r="J164" s="28"/>
    </row>
    <row r="165" spans="1:10" x14ac:dyDescent="0.25">
      <c r="A165" s="37">
        <f>Données!A165</f>
        <v>5680</v>
      </c>
      <c r="B165" s="125" t="str">
        <f>Données!B165</f>
        <v>Ogens</v>
      </c>
      <c r="C165" s="247">
        <f>VPI!R165</f>
        <v>9088.9604700854707</v>
      </c>
      <c r="D165" s="633">
        <f>Effort!I165-IF(PCS!I171&lt;0, Effort!D165, 0)</f>
        <v>0.2612329305117953</v>
      </c>
      <c r="E165" s="634">
        <f>IF(PCS!I171&lt;0, 0, PCS!F171/Aide!C165)</f>
        <v>0.45131673897151692</v>
      </c>
      <c r="F165" s="634">
        <f>Effort!G165</f>
        <v>-4.1402488000793163</v>
      </c>
      <c r="G165" s="635">
        <f t="shared" si="6"/>
        <v>4.8527984695626287</v>
      </c>
      <c r="H165" s="149">
        <f t="shared" si="7"/>
        <v>0</v>
      </c>
      <c r="I165" s="41">
        <f t="shared" si="8"/>
        <v>0</v>
      </c>
      <c r="J165" s="28"/>
    </row>
    <row r="166" spans="1:10" x14ac:dyDescent="0.25">
      <c r="A166" s="37">
        <f>Données!A166</f>
        <v>5683</v>
      </c>
      <c r="B166" s="125" t="str">
        <f>Données!B166</f>
        <v>Prévonloup</v>
      </c>
      <c r="C166" s="247">
        <f>VPI!R166</f>
        <v>3390.948689655173</v>
      </c>
      <c r="D166" s="633">
        <f>Effort!I166-IF(PCS!I172&lt;0, Effort!D166, 0)</f>
        <v>-34.61813210491907</v>
      </c>
      <c r="E166" s="634">
        <f>IF(PCS!I172&lt;0, 0, PCS!F172/Aide!C166)</f>
        <v>21.125195795069537</v>
      </c>
      <c r="F166" s="634">
        <f>Effort!G166</f>
        <v>-5.7113643621318184</v>
      </c>
      <c r="G166" s="635">
        <f t="shared" si="6"/>
        <v>-7.7815719477177145</v>
      </c>
      <c r="H166" s="149">
        <f t="shared" si="7"/>
        <v>0</v>
      </c>
      <c r="I166" s="41">
        <f t="shared" si="8"/>
        <v>0</v>
      </c>
      <c r="J166" s="28"/>
    </row>
    <row r="167" spans="1:10" x14ac:dyDescent="0.25">
      <c r="A167" s="37">
        <f>Données!A167</f>
        <v>5684</v>
      </c>
      <c r="B167" s="125" t="str">
        <f>Données!B167</f>
        <v>Rossenges</v>
      </c>
      <c r="C167" s="247">
        <f>VPI!R167</f>
        <v>10097.406384615384</v>
      </c>
      <c r="D167" s="633">
        <f>Effort!I167-IF(PCS!I173&lt;0, Effort!D167, 0)</f>
        <v>42.582390861133447</v>
      </c>
      <c r="E167" s="634">
        <f>IF(PCS!I173&lt;0, 0, PCS!F173/Aide!C167)</f>
        <v>1.9064301531262222E-3</v>
      </c>
      <c r="F167" s="634">
        <f>Effort!G167</f>
        <v>0</v>
      </c>
      <c r="G167" s="635">
        <f t="shared" si="6"/>
        <v>42.584297291286575</v>
      </c>
      <c r="H167" s="149">
        <f t="shared" si="7"/>
        <v>0</v>
      </c>
      <c r="I167" s="41">
        <f t="shared" si="8"/>
        <v>0</v>
      </c>
      <c r="J167" s="28"/>
    </row>
    <row r="168" spans="1:10" x14ac:dyDescent="0.25">
      <c r="A168" s="37">
        <f>Données!A168</f>
        <v>5688</v>
      </c>
      <c r="B168" s="125" t="str">
        <f>Données!B168</f>
        <v>Syens</v>
      </c>
      <c r="C168" s="247">
        <f>VPI!R168</f>
        <v>5159.2410769230773</v>
      </c>
      <c r="D168" s="633">
        <f>Effort!I168-IF(PCS!I174&lt;0, Effort!D168, 0)</f>
        <v>14.896868993086404</v>
      </c>
      <c r="E168" s="634">
        <f>IF(PCS!I174&lt;0, 0, PCS!F174/Aide!C168)</f>
        <v>2.950487246678231</v>
      </c>
      <c r="F168" s="634">
        <f>Effort!G168</f>
        <v>-4.0646254332498293</v>
      </c>
      <c r="G168" s="635">
        <f t="shared" si="6"/>
        <v>21.911981673014466</v>
      </c>
      <c r="H168" s="149">
        <f t="shared" si="7"/>
        <v>0</v>
      </c>
      <c r="I168" s="41">
        <f t="shared" si="8"/>
        <v>0</v>
      </c>
      <c r="J168" s="28"/>
    </row>
    <row r="169" spans="1:10" x14ac:dyDescent="0.25">
      <c r="A169" s="37">
        <f>Données!A169</f>
        <v>5690</v>
      </c>
      <c r="B169" s="125" t="str">
        <f>Données!B169</f>
        <v>Villars-le-Comte</v>
      </c>
      <c r="C169" s="247">
        <f>VPI!R169</f>
        <v>4239.3419117647063</v>
      </c>
      <c r="D169" s="633">
        <f>Effort!I169-IF(PCS!I175&lt;0, Effort!D169, 0)</f>
        <v>16.249042037523541</v>
      </c>
      <c r="E169" s="634">
        <f>IF(PCS!I175&lt;0, 0, PCS!F175/Aide!C169)</f>
        <v>4.4545946972554873</v>
      </c>
      <c r="F169" s="634">
        <f>Effort!G169</f>
        <v>0</v>
      </c>
      <c r="G169" s="635">
        <f t="shared" si="6"/>
        <v>20.703636734779028</v>
      </c>
      <c r="H169" s="149">
        <f t="shared" si="7"/>
        <v>0</v>
      </c>
      <c r="I169" s="41">
        <f t="shared" si="8"/>
        <v>0</v>
      </c>
      <c r="J169" s="28"/>
    </row>
    <row r="170" spans="1:10" x14ac:dyDescent="0.25">
      <c r="A170" s="37">
        <f>Données!A170</f>
        <v>5692</v>
      </c>
      <c r="B170" s="125" t="str">
        <f>Données!B170</f>
        <v>Vucherens</v>
      </c>
      <c r="C170" s="247">
        <f>VPI!R170</f>
        <v>19521.023866666663</v>
      </c>
      <c r="D170" s="633">
        <f>Effort!I170-IF(PCS!I176&lt;0, Effort!D170, 0)</f>
        <v>9.2990635550805738</v>
      </c>
      <c r="E170" s="634">
        <f>IF(PCS!I176&lt;0, 0, PCS!F176/Aide!C170)</f>
        <v>3.7904827894990403</v>
      </c>
      <c r="F170" s="634">
        <f>Effort!G170</f>
        <v>-3.8132989579933523</v>
      </c>
      <c r="G170" s="635">
        <f t="shared" si="6"/>
        <v>16.902845302572967</v>
      </c>
      <c r="H170" s="149">
        <f t="shared" si="7"/>
        <v>0</v>
      </c>
      <c r="I170" s="41">
        <f t="shared" si="8"/>
        <v>0</v>
      </c>
      <c r="J170" s="28"/>
    </row>
    <row r="171" spans="1:10" x14ac:dyDescent="0.25">
      <c r="A171" s="37">
        <f>Données!A171</f>
        <v>5693</v>
      </c>
      <c r="B171" s="125" t="str">
        <f>Données!B171</f>
        <v>Montanaire</v>
      </c>
      <c r="C171" s="247">
        <f>VPI!R171</f>
        <v>77215.400857142857</v>
      </c>
      <c r="D171" s="633">
        <f>Effort!I171-IF(PCS!I177&lt;0, Effort!D171, 0)</f>
        <v>-4.2436737187355433</v>
      </c>
      <c r="E171" s="634">
        <f>IF(PCS!I177&lt;0, 0, PCS!F177/Aide!C171)</f>
        <v>3.1157411906091883</v>
      </c>
      <c r="F171" s="634">
        <f>Effort!G171</f>
        <v>-7.5365982783732575</v>
      </c>
      <c r="G171" s="635">
        <f t="shared" si="6"/>
        <v>6.408665750246902</v>
      </c>
      <c r="H171" s="149">
        <f t="shared" si="7"/>
        <v>0</v>
      </c>
      <c r="I171" s="41">
        <f t="shared" si="8"/>
        <v>0</v>
      </c>
      <c r="J171" s="28"/>
    </row>
    <row r="172" spans="1:10" x14ac:dyDescent="0.25">
      <c r="A172" s="37">
        <f>Données!A172</f>
        <v>5701</v>
      </c>
      <c r="B172" s="125" t="str">
        <f>Données!B172</f>
        <v>Arnex-sur-Nyon</v>
      </c>
      <c r="C172" s="247">
        <f>VPI!R172</f>
        <v>22528.026764705879</v>
      </c>
      <c r="D172" s="633">
        <f>Effort!I172-IF(PCS!I178&lt;0, Effort!D172, 0)</f>
        <v>37.360551431988306</v>
      </c>
      <c r="E172" s="634">
        <f>IF(PCS!I178&lt;0, 0, PCS!F178/Aide!C172)</f>
        <v>3.7319970753815666</v>
      </c>
      <c r="F172" s="634">
        <f>Effort!G172</f>
        <v>0</v>
      </c>
      <c r="G172" s="635">
        <f t="shared" si="6"/>
        <v>41.09254850736987</v>
      </c>
      <c r="H172" s="149">
        <f t="shared" si="7"/>
        <v>0</v>
      </c>
      <c r="I172" s="41">
        <f t="shared" si="8"/>
        <v>0</v>
      </c>
      <c r="J172" s="28"/>
    </row>
    <row r="173" spans="1:10" x14ac:dyDescent="0.25">
      <c r="A173" s="37">
        <f>Données!A173</f>
        <v>5702</v>
      </c>
      <c r="B173" s="125" t="str">
        <f>Données!B173</f>
        <v>Arzier-Le Muids</v>
      </c>
      <c r="C173" s="247">
        <f>VPI!R173</f>
        <v>189129.79401041669</v>
      </c>
      <c r="D173" s="633">
        <f>Effort!I173-IF(PCS!I179&lt;0, Effort!D173, 0)</f>
        <v>27.268200628574416</v>
      </c>
      <c r="E173" s="634">
        <f>IF(PCS!I179&lt;0, 0, PCS!F179/Aide!C173)</f>
        <v>2.8836821181646379</v>
      </c>
      <c r="F173" s="634">
        <f>Effort!G173</f>
        <v>-1.9599548323378972</v>
      </c>
      <c r="G173" s="635">
        <f t="shared" si="6"/>
        <v>32.111837579076955</v>
      </c>
      <c r="H173" s="149">
        <f t="shared" si="7"/>
        <v>0</v>
      </c>
      <c r="I173" s="41">
        <f t="shared" si="8"/>
        <v>0</v>
      </c>
      <c r="J173" s="28"/>
    </row>
    <row r="174" spans="1:10" x14ac:dyDescent="0.25">
      <c r="A174" s="37">
        <f>Données!A174</f>
        <v>5703</v>
      </c>
      <c r="B174" s="125" t="str">
        <f>Données!B174</f>
        <v>Bassins</v>
      </c>
      <c r="C174" s="247">
        <f>VPI!R174</f>
        <v>69884.65087684727</v>
      </c>
      <c r="D174" s="633">
        <f>Effort!I174-IF(PCS!I180&lt;0, Effort!D174, 0)</f>
        <v>24.900320904532983</v>
      </c>
      <c r="E174" s="634">
        <f>IF(PCS!I180&lt;0, 0, PCS!F180/Aide!C174)</f>
        <v>2.1390411646103633</v>
      </c>
      <c r="F174" s="634">
        <f>Effort!G174</f>
        <v>0</v>
      </c>
      <c r="G174" s="635">
        <f t="shared" si="6"/>
        <v>27.039362069143344</v>
      </c>
      <c r="H174" s="149">
        <f t="shared" si="7"/>
        <v>0</v>
      </c>
      <c r="I174" s="41">
        <f t="shared" si="8"/>
        <v>0</v>
      </c>
      <c r="J174" s="28"/>
    </row>
    <row r="175" spans="1:10" x14ac:dyDescent="0.25">
      <c r="A175" s="37">
        <f>Données!A175</f>
        <v>5704</v>
      </c>
      <c r="B175" s="125" t="str">
        <f>Données!B175</f>
        <v>Begnins</v>
      </c>
      <c r="C175" s="247">
        <f>VPI!R175</f>
        <v>151723.65322666671</v>
      </c>
      <c r="D175" s="633">
        <f>Effort!I175-IF(PCS!I181&lt;0, Effort!D175, 0)</f>
        <v>32.539706149821974</v>
      </c>
      <c r="E175" s="634">
        <f>IF(PCS!I181&lt;0, 0, PCS!F181/Aide!C175)</f>
        <v>1.5748207343982192</v>
      </c>
      <c r="F175" s="634">
        <f>Effort!G175</f>
        <v>0</v>
      </c>
      <c r="G175" s="635">
        <f t="shared" si="6"/>
        <v>34.11452688422019</v>
      </c>
      <c r="H175" s="149">
        <f t="shared" si="7"/>
        <v>0</v>
      </c>
      <c r="I175" s="41">
        <f t="shared" si="8"/>
        <v>0</v>
      </c>
      <c r="J175" s="28"/>
    </row>
    <row r="176" spans="1:10" x14ac:dyDescent="0.25">
      <c r="A176" s="37">
        <f>Données!A176</f>
        <v>5705</v>
      </c>
      <c r="B176" s="125" t="str">
        <f>Données!B176</f>
        <v>Bogis-Bossey</v>
      </c>
      <c r="C176" s="247">
        <f>VPI!R176</f>
        <v>60210.898873239443</v>
      </c>
      <c r="D176" s="633">
        <f>Effort!I176-IF(PCS!I182&lt;0, Effort!D176, 0)</f>
        <v>31.111212244731824</v>
      </c>
      <c r="E176" s="634">
        <f>IF(PCS!I182&lt;0, 0, PCS!F182/Aide!C176)</f>
        <v>3.5256283160115349</v>
      </c>
      <c r="F176" s="634">
        <f>Effort!G176</f>
        <v>0</v>
      </c>
      <c r="G176" s="635">
        <f t="shared" si="6"/>
        <v>34.636840560743359</v>
      </c>
      <c r="H176" s="149">
        <f t="shared" si="7"/>
        <v>0</v>
      </c>
      <c r="I176" s="41">
        <f t="shared" si="8"/>
        <v>0</v>
      </c>
      <c r="J176" s="28"/>
    </row>
    <row r="177" spans="1:10" x14ac:dyDescent="0.25">
      <c r="A177" s="37">
        <f>Données!A177</f>
        <v>5706</v>
      </c>
      <c r="B177" s="125" t="str">
        <f>Données!B177</f>
        <v>Borex</v>
      </c>
      <c r="C177" s="247">
        <f>VPI!R177</f>
        <v>69165.019824561401</v>
      </c>
      <c r="D177" s="633">
        <f>Effort!I177-IF(PCS!I183&lt;0, Effort!D177, 0)</f>
        <v>29.991299970830966</v>
      </c>
      <c r="E177" s="634">
        <f>IF(PCS!I183&lt;0, 0, PCS!F183/Aide!C177)</f>
        <v>2.9086862189918521</v>
      </c>
      <c r="F177" s="634">
        <f>Effort!G177</f>
        <v>0</v>
      </c>
      <c r="G177" s="635">
        <f t="shared" si="6"/>
        <v>32.899986189822819</v>
      </c>
      <c r="H177" s="149">
        <f t="shared" si="7"/>
        <v>0</v>
      </c>
      <c r="I177" s="41">
        <f t="shared" si="8"/>
        <v>0</v>
      </c>
      <c r="J177" s="28"/>
    </row>
    <row r="178" spans="1:10" x14ac:dyDescent="0.25">
      <c r="A178" s="37">
        <f>Données!A178</f>
        <v>5707</v>
      </c>
      <c r="B178" s="125" t="str">
        <f>Données!B178</f>
        <v>Chavannes-de-Bogis</v>
      </c>
      <c r="C178" s="247">
        <f>VPI!R178</f>
        <v>100327.22695402298</v>
      </c>
      <c r="D178" s="633">
        <f>Effort!I178-IF(PCS!I184&lt;0, Effort!D178, 0)</f>
        <v>32.468181824439213</v>
      </c>
      <c r="E178" s="634">
        <f>IF(PCS!I184&lt;0, 0, PCS!F184/Aide!C178)</f>
        <v>3.3621080761514488</v>
      </c>
      <c r="F178" s="634">
        <f>Effort!G178</f>
        <v>0</v>
      </c>
      <c r="G178" s="635">
        <f t="shared" si="6"/>
        <v>35.830289900590664</v>
      </c>
      <c r="H178" s="149">
        <f t="shared" si="7"/>
        <v>0</v>
      </c>
      <c r="I178" s="41">
        <f t="shared" si="8"/>
        <v>0</v>
      </c>
      <c r="J178" s="28"/>
    </row>
    <row r="179" spans="1:10" x14ac:dyDescent="0.25">
      <c r="A179" s="37">
        <f>Données!A179</f>
        <v>5708</v>
      </c>
      <c r="B179" s="125" t="str">
        <f>Données!B179</f>
        <v>Chavannes-des-Bois</v>
      </c>
      <c r="C179" s="247">
        <f>VPI!R179</f>
        <v>70377.065294117638</v>
      </c>
      <c r="D179" s="633">
        <f>Effort!I179-IF(PCS!I185&lt;0, Effort!D179, 0)</f>
        <v>34.03664842183025</v>
      </c>
      <c r="E179" s="634">
        <f>IF(PCS!I185&lt;0, 0, PCS!F185/Aide!C179)</f>
        <v>1.0827072666579192</v>
      </c>
      <c r="F179" s="634">
        <f>Effort!G179</f>
        <v>0</v>
      </c>
      <c r="G179" s="635">
        <f t="shared" si="6"/>
        <v>35.11935568848817</v>
      </c>
      <c r="H179" s="149">
        <f t="shared" si="7"/>
        <v>0</v>
      </c>
      <c r="I179" s="41">
        <f t="shared" si="8"/>
        <v>0</v>
      </c>
      <c r="J179" s="28"/>
    </row>
    <row r="180" spans="1:10" x14ac:dyDescent="0.25">
      <c r="A180" s="37">
        <f>Données!A180</f>
        <v>5709</v>
      </c>
      <c r="B180" s="125" t="str">
        <f>Données!B180</f>
        <v>Chéserex</v>
      </c>
      <c r="C180" s="247">
        <f>VPI!R180</f>
        <v>110900.39440677965</v>
      </c>
      <c r="D180" s="633">
        <f>Effort!I180-IF(PCS!I186&lt;0, Effort!D180, 0)</f>
        <v>36.179709100246505</v>
      </c>
      <c r="E180" s="634">
        <f>IF(PCS!I186&lt;0, 0, PCS!F186/Aide!C180)</f>
        <v>3.4001595938142857</v>
      </c>
      <c r="F180" s="634">
        <f>Effort!G180</f>
        <v>0</v>
      </c>
      <c r="G180" s="635">
        <f t="shared" si="6"/>
        <v>39.579868694060792</v>
      </c>
      <c r="H180" s="149">
        <f t="shared" si="7"/>
        <v>0</v>
      </c>
      <c r="I180" s="41">
        <f t="shared" si="8"/>
        <v>0</v>
      </c>
      <c r="J180" s="28"/>
    </row>
    <row r="181" spans="1:10" x14ac:dyDescent="0.25">
      <c r="A181" s="37">
        <f>Données!A181</f>
        <v>5710</v>
      </c>
      <c r="B181" s="125" t="str">
        <f>Données!B181</f>
        <v>Coinsins</v>
      </c>
      <c r="C181" s="247">
        <f>VPI!R181</f>
        <v>25704.31551020408</v>
      </c>
      <c r="D181" s="633">
        <f>Effort!I181-IF(PCS!I187&lt;0, Effort!D181, 0)</f>
        <v>27.940935534383968</v>
      </c>
      <c r="E181" s="634">
        <f>IF(PCS!I187&lt;0, 0, PCS!F187/Aide!C181)</f>
        <v>3.9954785008466702</v>
      </c>
      <c r="F181" s="634">
        <f>Effort!G181</f>
        <v>0</v>
      </c>
      <c r="G181" s="635">
        <f t="shared" si="6"/>
        <v>31.936414035230637</v>
      </c>
      <c r="H181" s="149">
        <f t="shared" si="7"/>
        <v>0</v>
      </c>
      <c r="I181" s="41">
        <f t="shared" si="8"/>
        <v>0</v>
      </c>
      <c r="J181" s="28"/>
    </row>
    <row r="182" spans="1:10" x14ac:dyDescent="0.25">
      <c r="A182" s="37">
        <f>Données!A182</f>
        <v>5711</v>
      </c>
      <c r="B182" s="125" t="str">
        <f>Données!B182</f>
        <v>Commugny</v>
      </c>
      <c r="C182" s="247">
        <f>VPI!R182</f>
        <v>294735.07522267208</v>
      </c>
      <c r="D182" s="633">
        <f>Effort!I182-IF(PCS!I188&lt;0, Effort!D182, 0)</f>
        <v>36.936256535163395</v>
      </c>
      <c r="E182" s="634">
        <f>IF(PCS!I188&lt;0, 0, PCS!F188/Aide!C182)</f>
        <v>2.8461659657108616</v>
      </c>
      <c r="F182" s="634">
        <f>Effort!G182</f>
        <v>0</v>
      </c>
      <c r="G182" s="635">
        <f t="shared" si="6"/>
        <v>39.782422500874254</v>
      </c>
      <c r="H182" s="149">
        <f t="shared" si="7"/>
        <v>0</v>
      </c>
      <c r="I182" s="41">
        <f t="shared" si="8"/>
        <v>0</v>
      </c>
      <c r="J182" s="28"/>
    </row>
    <row r="183" spans="1:10" x14ac:dyDescent="0.25">
      <c r="A183" s="37">
        <f>Données!A183</f>
        <v>5712</v>
      </c>
      <c r="B183" s="125" t="str">
        <f>Données!B183</f>
        <v>Coppet</v>
      </c>
      <c r="C183" s="247">
        <f>VPI!R183</f>
        <v>457797.09461988311</v>
      </c>
      <c r="D183" s="633">
        <f>Effort!I183-IF(PCS!I189&lt;0, Effort!D183, 0)</f>
        <v>43.590132569988882</v>
      </c>
      <c r="E183" s="634">
        <f>IF(PCS!I189&lt;0, 0, PCS!F189/Aide!C183)</f>
        <v>2.1848952336198542</v>
      </c>
      <c r="F183" s="634">
        <f>Effort!G183</f>
        <v>0</v>
      </c>
      <c r="G183" s="635">
        <f t="shared" si="6"/>
        <v>45.775027803608737</v>
      </c>
      <c r="H183" s="149">
        <f t="shared" si="7"/>
        <v>0</v>
      </c>
      <c r="I183" s="41">
        <f t="shared" si="8"/>
        <v>0</v>
      </c>
      <c r="J183" s="28"/>
    </row>
    <row r="184" spans="1:10" x14ac:dyDescent="0.25">
      <c r="A184" s="37">
        <f>Données!A184</f>
        <v>5713</v>
      </c>
      <c r="B184" s="125" t="str">
        <f>Données!B184</f>
        <v>Crans</v>
      </c>
      <c r="C184" s="247">
        <f>VPI!R184</f>
        <v>285226.41440677963</v>
      </c>
      <c r="D184" s="633">
        <f>Effort!I184-IF(PCS!I190&lt;0, Effort!D184, 0)</f>
        <v>40.797211724112174</v>
      </c>
      <c r="E184" s="634">
        <f>IF(PCS!I190&lt;0, 0, PCS!F190/Aide!C184)</f>
        <v>5.1469169959355119</v>
      </c>
      <c r="F184" s="634">
        <f>Effort!G184</f>
        <v>0</v>
      </c>
      <c r="G184" s="635">
        <f t="shared" si="6"/>
        <v>45.944128720047686</v>
      </c>
      <c r="H184" s="149">
        <f t="shared" si="7"/>
        <v>0</v>
      </c>
      <c r="I184" s="41">
        <f t="shared" si="8"/>
        <v>0</v>
      </c>
      <c r="J184" s="28"/>
    </row>
    <row r="185" spans="1:10" x14ac:dyDescent="0.25">
      <c r="A185" s="37">
        <f>Données!A185</f>
        <v>5714</v>
      </c>
      <c r="B185" s="125" t="str">
        <f>Données!B185</f>
        <v>Crassier</v>
      </c>
      <c r="C185" s="247">
        <f>VPI!R185</f>
        <v>67017.221203007502</v>
      </c>
      <c r="D185" s="633">
        <f>Effort!I185-IF(PCS!I191&lt;0, Effort!D185, 0)</f>
        <v>27.824168829543403</v>
      </c>
      <c r="E185" s="634">
        <f>IF(PCS!I191&lt;0, 0, PCS!F191/Aide!C185)</f>
        <v>2.8682316507532808</v>
      </c>
      <c r="F185" s="634">
        <f>Effort!G185</f>
        <v>0</v>
      </c>
      <c r="G185" s="635">
        <f t="shared" si="6"/>
        <v>30.692400480296683</v>
      </c>
      <c r="H185" s="149">
        <f t="shared" si="7"/>
        <v>0</v>
      </c>
      <c r="I185" s="41">
        <f t="shared" si="8"/>
        <v>0</v>
      </c>
      <c r="J185" s="28"/>
    </row>
    <row r="186" spans="1:10" x14ac:dyDescent="0.25">
      <c r="A186" s="37">
        <f>Données!A186</f>
        <v>5715</v>
      </c>
      <c r="B186" s="125" t="str">
        <f>Données!B186</f>
        <v>Duillier</v>
      </c>
      <c r="C186" s="247">
        <f>VPI!R186</f>
        <v>58499.436969696966</v>
      </c>
      <c r="D186" s="633">
        <f>Effort!I186-IF(PCS!I192&lt;0, Effort!D186, 0)</f>
        <v>27.79359974696024</v>
      </c>
      <c r="E186" s="634">
        <f>IF(PCS!I192&lt;0, 0, PCS!F192/Aide!C186)</f>
        <v>3.6453775633851997</v>
      </c>
      <c r="F186" s="634">
        <f>Effort!G186</f>
        <v>0</v>
      </c>
      <c r="G186" s="635">
        <f t="shared" si="6"/>
        <v>31.43897731034544</v>
      </c>
      <c r="H186" s="149">
        <f t="shared" si="7"/>
        <v>0</v>
      </c>
      <c r="I186" s="41">
        <f t="shared" si="8"/>
        <v>0</v>
      </c>
      <c r="J186" s="28"/>
    </row>
    <row r="187" spans="1:10" x14ac:dyDescent="0.25">
      <c r="A187" s="37">
        <f>Données!A187</f>
        <v>5716</v>
      </c>
      <c r="B187" s="125" t="str">
        <f>Données!B187</f>
        <v>Eysins</v>
      </c>
      <c r="C187" s="247">
        <f>VPI!R187</f>
        <v>387894.76554621849</v>
      </c>
      <c r="D187" s="633">
        <f>Effort!I187-IF(PCS!I193&lt;0, Effort!D187, 0)</f>
        <v>52.105066285670034</v>
      </c>
      <c r="E187" s="634">
        <f>IF(PCS!I193&lt;0, 0, PCS!F193/Aide!C187)</f>
        <v>1.7714898112439839</v>
      </c>
      <c r="F187" s="634">
        <f>Effort!G187</f>
        <v>0</v>
      </c>
      <c r="G187" s="635">
        <f t="shared" si="6"/>
        <v>53.876556096914015</v>
      </c>
      <c r="H187" s="149">
        <f t="shared" si="7"/>
        <v>0</v>
      </c>
      <c r="I187" s="41">
        <f t="shared" si="8"/>
        <v>0</v>
      </c>
      <c r="J187" s="28"/>
    </row>
    <row r="188" spans="1:10" x14ac:dyDescent="0.25">
      <c r="A188" s="37">
        <f>Données!A188</f>
        <v>5717</v>
      </c>
      <c r="B188" s="125" t="str">
        <f>Données!B188</f>
        <v>Founex</v>
      </c>
      <c r="C188" s="247">
        <f>VPI!R188</f>
        <v>389506.02859649126</v>
      </c>
      <c r="D188" s="633">
        <f>Effort!I188-IF(PCS!I194&lt;0, Effort!D188, 0)</f>
        <v>37.527471746966299</v>
      </c>
      <c r="E188" s="634">
        <f>IF(PCS!I194&lt;0, 0, PCS!F194/Aide!C188)</f>
        <v>3.0755708180348083</v>
      </c>
      <c r="F188" s="634">
        <f>Effort!G188</f>
        <v>0</v>
      </c>
      <c r="G188" s="635">
        <f t="shared" si="6"/>
        <v>40.603042565001104</v>
      </c>
      <c r="H188" s="149">
        <f t="shared" si="7"/>
        <v>0</v>
      </c>
      <c r="I188" s="41">
        <f t="shared" si="8"/>
        <v>0</v>
      </c>
      <c r="J188" s="28"/>
    </row>
    <row r="189" spans="1:10" x14ac:dyDescent="0.25">
      <c r="A189" s="37">
        <f>Données!A189</f>
        <v>5718</v>
      </c>
      <c r="B189" s="125" t="str">
        <f>Données!B189</f>
        <v>Genolier</v>
      </c>
      <c r="C189" s="247">
        <f>VPI!R189</f>
        <v>239613.31826923083</v>
      </c>
      <c r="D189" s="633">
        <f>Effort!I189-IF(PCS!I195&lt;0, Effort!D189, 0)</f>
        <v>39.918321150258407</v>
      </c>
      <c r="E189" s="634">
        <f>IF(PCS!I195&lt;0, 0, PCS!F195/Aide!C189)</f>
        <v>2.8556837739343104</v>
      </c>
      <c r="F189" s="634">
        <f>Effort!G189</f>
        <v>0</v>
      </c>
      <c r="G189" s="635">
        <f t="shared" si="6"/>
        <v>42.774004924192717</v>
      </c>
      <c r="H189" s="149">
        <f t="shared" si="7"/>
        <v>0</v>
      </c>
      <c r="I189" s="41">
        <f t="shared" si="8"/>
        <v>0</v>
      </c>
      <c r="J189" s="28"/>
    </row>
    <row r="190" spans="1:10" x14ac:dyDescent="0.25">
      <c r="A190" s="37">
        <f>Données!A190</f>
        <v>5719</v>
      </c>
      <c r="B190" s="125" t="str">
        <f>Données!B190</f>
        <v>Gingins</v>
      </c>
      <c r="C190" s="247">
        <f>VPI!R190</f>
        <v>173273.6891111111</v>
      </c>
      <c r="D190" s="633">
        <f>Effort!I190-IF(PCS!I196&lt;0, Effort!D190, 0)</f>
        <v>44.826695307429226</v>
      </c>
      <c r="E190" s="634">
        <f>IF(PCS!I196&lt;0, 0, PCS!F196/Aide!C190)</f>
        <v>5.7930501459822201</v>
      </c>
      <c r="F190" s="634">
        <f>Effort!G190</f>
        <v>0</v>
      </c>
      <c r="G190" s="635">
        <f t="shared" si="6"/>
        <v>50.619745453411447</v>
      </c>
      <c r="H190" s="149">
        <f t="shared" si="7"/>
        <v>0</v>
      </c>
      <c r="I190" s="41">
        <f t="shared" si="8"/>
        <v>0</v>
      </c>
      <c r="J190" s="28"/>
    </row>
    <row r="191" spans="1:10" x14ac:dyDescent="0.25">
      <c r="A191" s="37">
        <f>Données!A191</f>
        <v>5720</v>
      </c>
      <c r="B191" s="125" t="str">
        <f>Données!B191</f>
        <v>Givrins</v>
      </c>
      <c r="C191" s="247">
        <f>VPI!R191</f>
        <v>77350.1792703151</v>
      </c>
      <c r="D191" s="633">
        <f>Effort!I191-IF(PCS!I197&lt;0, Effort!D191, 0)</f>
        <v>33.528132671133719</v>
      </c>
      <c r="E191" s="634">
        <f>IF(PCS!I197&lt;0, 0, PCS!F197/Aide!C191)</f>
        <v>20.712405324894256</v>
      </c>
      <c r="F191" s="634">
        <f>Effort!G191</f>
        <v>-0.34119156521931304</v>
      </c>
      <c r="G191" s="635">
        <f t="shared" si="6"/>
        <v>54.581729561247286</v>
      </c>
      <c r="H191" s="149">
        <f t="shared" si="7"/>
        <v>0</v>
      </c>
      <c r="I191" s="41">
        <f t="shared" si="8"/>
        <v>0</v>
      </c>
      <c r="J191" s="28"/>
    </row>
    <row r="192" spans="1:10" x14ac:dyDescent="0.25">
      <c r="A192" s="37">
        <f>Données!A192</f>
        <v>5721</v>
      </c>
      <c r="B192" s="125" t="str">
        <f>Données!B192</f>
        <v>Gland</v>
      </c>
      <c r="C192" s="247">
        <f>VPI!R192</f>
        <v>727883.96163934411</v>
      </c>
      <c r="D192" s="633">
        <f>Effort!I192-IF(PCS!I198&lt;0, Effort!D192, 0)</f>
        <v>18.391631669220697</v>
      </c>
      <c r="E192" s="634">
        <f>IF(PCS!I198&lt;0, 0, PCS!F198/Aide!C192)</f>
        <v>4.4175094787885989</v>
      </c>
      <c r="F192" s="634">
        <f>Effort!G192</f>
        <v>0</v>
      </c>
      <c r="G192" s="635">
        <f t="shared" si="6"/>
        <v>22.809141148009296</v>
      </c>
      <c r="H192" s="149">
        <f t="shared" si="7"/>
        <v>0</v>
      </c>
      <c r="I192" s="41">
        <f t="shared" si="8"/>
        <v>0</v>
      </c>
      <c r="J192" s="28"/>
    </row>
    <row r="193" spans="1:10" x14ac:dyDescent="0.25">
      <c r="A193" s="37">
        <f>Données!A193</f>
        <v>5722</v>
      </c>
      <c r="B193" s="125" t="str">
        <f>Données!B193</f>
        <v>Grens</v>
      </c>
      <c r="C193" s="247">
        <f>VPI!R193</f>
        <v>33694.831129032267</v>
      </c>
      <c r="D193" s="633">
        <f>Effort!I193-IF(PCS!I199&lt;0, Effort!D193, 0)</f>
        <v>36.882699845986636</v>
      </c>
      <c r="E193" s="634">
        <f>IF(PCS!I199&lt;0, 0, PCS!F199/Aide!C193)</f>
        <v>3.3590298929404563</v>
      </c>
      <c r="F193" s="634">
        <f>Effort!G193</f>
        <v>0</v>
      </c>
      <c r="G193" s="635">
        <f t="shared" si="6"/>
        <v>40.241729738927091</v>
      </c>
      <c r="H193" s="149">
        <f t="shared" si="7"/>
        <v>0</v>
      </c>
      <c r="I193" s="41">
        <f t="shared" si="8"/>
        <v>0</v>
      </c>
      <c r="J193" s="28"/>
    </row>
    <row r="194" spans="1:10" x14ac:dyDescent="0.25">
      <c r="A194" s="37">
        <f>Données!A194</f>
        <v>5723</v>
      </c>
      <c r="B194" s="125" t="str">
        <f>Données!B194</f>
        <v>Mies</v>
      </c>
      <c r="C194" s="247">
        <f>VPI!R194</f>
        <v>272663.2930188679</v>
      </c>
      <c r="D194" s="633">
        <f>Effort!I194-IF(PCS!I200&lt;0, Effort!D194, 0)</f>
        <v>41.012145396735889</v>
      </c>
      <c r="E194" s="634">
        <f>IF(PCS!I200&lt;0, 0, PCS!F200/Aide!C194)</f>
        <v>4.6068299516689208</v>
      </c>
      <c r="F194" s="634">
        <f>Effort!G194</f>
        <v>0</v>
      </c>
      <c r="G194" s="635">
        <f t="shared" si="6"/>
        <v>45.61897534840481</v>
      </c>
      <c r="H194" s="149">
        <f t="shared" si="7"/>
        <v>0</v>
      </c>
      <c r="I194" s="41">
        <f t="shared" si="8"/>
        <v>0</v>
      </c>
      <c r="J194" s="28"/>
    </row>
    <row r="195" spans="1:10" x14ac:dyDescent="0.25">
      <c r="A195" s="37">
        <f>Données!A195</f>
        <v>5724</v>
      </c>
      <c r="B195" s="125" t="str">
        <f>Données!B195</f>
        <v>Nyon</v>
      </c>
      <c r="C195" s="247">
        <f>VPI!R195</f>
        <v>1639938.8194535521</v>
      </c>
      <c r="D195" s="633">
        <f>Effort!I195-IF(PCS!I201&lt;0, Effort!D195, 0)</f>
        <v>22.480704336479342</v>
      </c>
      <c r="E195" s="634">
        <f>IF(PCS!I201&lt;0, 0, PCS!F201/Aide!C195)</f>
        <v>3.7989752520621116</v>
      </c>
      <c r="F195" s="634">
        <f>Effort!G195</f>
        <v>-0.59908070268134972</v>
      </c>
      <c r="G195" s="635">
        <f t="shared" si="6"/>
        <v>26.8787602912228</v>
      </c>
      <c r="H195" s="149">
        <f t="shared" si="7"/>
        <v>0</v>
      </c>
      <c r="I195" s="41">
        <f t="shared" si="8"/>
        <v>0</v>
      </c>
      <c r="J195" s="28"/>
    </row>
    <row r="196" spans="1:10" x14ac:dyDescent="0.25">
      <c r="A196" s="37">
        <f>Données!A196</f>
        <v>5725</v>
      </c>
      <c r="B196" s="125" t="str">
        <f>Données!B196</f>
        <v>Prangins</v>
      </c>
      <c r="C196" s="247">
        <f>VPI!R196</f>
        <v>367942.11179220775</v>
      </c>
      <c r="D196" s="633">
        <f>Effort!I196-IF(PCS!I202&lt;0, Effort!D196, 0)</f>
        <v>33.403917175356185</v>
      </c>
      <c r="E196" s="634">
        <f>IF(PCS!I202&lt;0, 0, PCS!F202/Aide!C196)</f>
        <v>2.9232452076793747</v>
      </c>
      <c r="F196" s="634">
        <f>Effort!G196</f>
        <v>0</v>
      </c>
      <c r="G196" s="635">
        <f t="shared" si="6"/>
        <v>36.327162383035557</v>
      </c>
      <c r="H196" s="149">
        <f t="shared" si="7"/>
        <v>0</v>
      </c>
      <c r="I196" s="41">
        <f t="shared" si="8"/>
        <v>0</v>
      </c>
      <c r="J196" s="28"/>
    </row>
    <row r="197" spans="1:10" x14ac:dyDescent="0.25">
      <c r="A197" s="37">
        <f>Données!A197</f>
        <v>5726</v>
      </c>
      <c r="B197" s="125" t="str">
        <f>Données!B197</f>
        <v>La Rippe</v>
      </c>
      <c r="C197" s="247">
        <f>VPI!R197</f>
        <v>73377.861102362207</v>
      </c>
      <c r="D197" s="633">
        <f>Effort!I197-IF(PCS!I203&lt;0, Effort!D197, 0)</f>
        <v>30.395849278817877</v>
      </c>
      <c r="E197" s="634">
        <f>IF(PCS!I203&lt;0, 0, PCS!F203/Aide!C197)</f>
        <v>1.4381461712653107</v>
      </c>
      <c r="F197" s="634">
        <f>Effort!G197</f>
        <v>0</v>
      </c>
      <c r="G197" s="635">
        <f t="shared" si="6"/>
        <v>31.833995450083187</v>
      </c>
      <c r="H197" s="149">
        <f t="shared" si="7"/>
        <v>0</v>
      </c>
      <c r="I197" s="41">
        <f t="shared" si="8"/>
        <v>0</v>
      </c>
      <c r="J197" s="28"/>
    </row>
    <row r="198" spans="1:10" x14ac:dyDescent="0.25">
      <c r="A198" s="37">
        <f>Données!A198</f>
        <v>5727</v>
      </c>
      <c r="B198" s="125" t="str">
        <f>Données!B198</f>
        <v>Saint-Cergue</v>
      </c>
      <c r="C198" s="247">
        <f>VPI!R198</f>
        <v>111772.64025252526</v>
      </c>
      <c r="D198" s="633">
        <f>Effort!I198-IF(PCS!I204&lt;0, Effort!D198, 0)</f>
        <v>12.596721436003131</v>
      </c>
      <c r="E198" s="634">
        <f>IF(PCS!I204&lt;0, 0, PCS!F204/Aide!C198)</f>
        <v>3.5445058299143937</v>
      </c>
      <c r="F198" s="634">
        <f>Effort!G198</f>
        <v>-4.1260577171414159</v>
      </c>
      <c r="G198" s="635">
        <f t="shared" si="6"/>
        <v>20.267284983058943</v>
      </c>
      <c r="H198" s="149">
        <f t="shared" si="7"/>
        <v>0</v>
      </c>
      <c r="I198" s="41">
        <f t="shared" si="8"/>
        <v>0</v>
      </c>
      <c r="J198" s="28"/>
    </row>
    <row r="199" spans="1:10" x14ac:dyDescent="0.25">
      <c r="A199" s="37">
        <f>Données!A199</f>
        <v>5728</v>
      </c>
      <c r="B199" s="125" t="str">
        <f>Données!B199</f>
        <v>Signy-Avenex</v>
      </c>
      <c r="C199" s="247">
        <f>VPI!R199</f>
        <v>44453.550862068965</v>
      </c>
      <c r="D199" s="633">
        <f>Effort!I199-IF(PCS!I205&lt;0, Effort!D199, 0)</f>
        <v>33.632066842665566</v>
      </c>
      <c r="E199" s="634">
        <f>IF(PCS!I205&lt;0, 0, PCS!F205/Aide!C199)</f>
        <v>3.0161615304033256</v>
      </c>
      <c r="F199" s="634">
        <f>Effort!G199</f>
        <v>0</v>
      </c>
      <c r="G199" s="635">
        <f t="shared" ref="G199:G262" si="9">D199+E199-F199</f>
        <v>36.648228373068889</v>
      </c>
      <c r="H199" s="149">
        <f t="shared" ref="H199:H262" si="10">IF(G199&lt;H$5,G199-H$5,0)</f>
        <v>0</v>
      </c>
      <c r="I199" s="41">
        <f t="shared" ref="I199:I262" si="11">-H199*C199</f>
        <v>0</v>
      </c>
      <c r="J199" s="28"/>
    </row>
    <row r="200" spans="1:10" x14ac:dyDescent="0.25">
      <c r="A200" s="37">
        <f>Données!A200</f>
        <v>5729</v>
      </c>
      <c r="B200" s="125" t="str">
        <f>Données!B200</f>
        <v>Tannay</v>
      </c>
      <c r="C200" s="247">
        <f>VPI!R200</f>
        <v>189691.13223140492</v>
      </c>
      <c r="D200" s="633">
        <f>Effort!I200-IF(PCS!I206&lt;0, Effort!D200, 0)</f>
        <v>40.333075208819125</v>
      </c>
      <c r="E200" s="634">
        <f>IF(PCS!I206&lt;0, 0, PCS!F206/Aide!C200)</f>
        <v>1.8446743444661045</v>
      </c>
      <c r="F200" s="634">
        <f>Effort!G200</f>
        <v>0</v>
      </c>
      <c r="G200" s="635">
        <f t="shared" si="9"/>
        <v>42.177749553285231</v>
      </c>
      <c r="H200" s="149">
        <f t="shared" si="10"/>
        <v>0</v>
      </c>
      <c r="I200" s="41">
        <f t="shared" si="11"/>
        <v>0</v>
      </c>
      <c r="J200" s="28"/>
    </row>
    <row r="201" spans="1:10" x14ac:dyDescent="0.25">
      <c r="A201" s="37">
        <f>Données!A201</f>
        <v>5730</v>
      </c>
      <c r="B201" s="125" t="str">
        <f>Données!B201</f>
        <v>Trélex</v>
      </c>
      <c r="C201" s="247">
        <f>VPI!R201</f>
        <v>170256.05113113116</v>
      </c>
      <c r="D201" s="633">
        <f>Effort!I201-IF(PCS!I207&lt;0, Effort!D201, 0)</f>
        <v>41.112415683227219</v>
      </c>
      <c r="E201" s="634">
        <f>IF(PCS!I207&lt;0, 0, PCS!F207/Aide!C201)</f>
        <v>1.7269169762051357</v>
      </c>
      <c r="F201" s="634">
        <f>Effort!G201</f>
        <v>0</v>
      </c>
      <c r="G201" s="635">
        <f t="shared" si="9"/>
        <v>42.839332659432358</v>
      </c>
      <c r="H201" s="149">
        <f t="shared" si="10"/>
        <v>0</v>
      </c>
      <c r="I201" s="41">
        <f t="shared" si="11"/>
        <v>0</v>
      </c>
      <c r="J201" s="28"/>
    </row>
    <row r="202" spans="1:10" x14ac:dyDescent="0.25">
      <c r="A202" s="37">
        <f>Données!A202</f>
        <v>5731</v>
      </c>
      <c r="B202" s="125" t="str">
        <f>Données!B202</f>
        <v>Le Vaud</v>
      </c>
      <c r="C202" s="247">
        <f>VPI!R202</f>
        <v>75089.173286384976</v>
      </c>
      <c r="D202" s="633">
        <f>Effort!I202-IF(PCS!I208&lt;0, Effort!D202, 0)</f>
        <v>28.255468796178818</v>
      </c>
      <c r="E202" s="634">
        <f>IF(PCS!I208&lt;0, 0, PCS!F208/Aide!C202)</f>
        <v>2.9537332786192114</v>
      </c>
      <c r="F202" s="634">
        <f>Effort!G202</f>
        <v>0</v>
      </c>
      <c r="G202" s="635">
        <f t="shared" si="9"/>
        <v>31.209202074798029</v>
      </c>
      <c r="H202" s="149">
        <f t="shared" si="10"/>
        <v>0</v>
      </c>
      <c r="I202" s="41">
        <f t="shared" si="11"/>
        <v>0</v>
      </c>
      <c r="J202" s="28"/>
    </row>
    <row r="203" spans="1:10" x14ac:dyDescent="0.25">
      <c r="A203" s="37">
        <f>Données!A203</f>
        <v>5732</v>
      </c>
      <c r="B203" s="125" t="str">
        <f>Données!B203</f>
        <v>Vich</v>
      </c>
      <c r="C203" s="247">
        <f>VPI!R203</f>
        <v>83929.487936507925</v>
      </c>
      <c r="D203" s="633">
        <f>Effort!I203-IF(PCS!I209&lt;0, Effort!D203, 0)</f>
        <v>33.034576620410654</v>
      </c>
      <c r="E203" s="634">
        <f>IF(PCS!I209&lt;0, 0, PCS!F209/Aide!C203)</f>
        <v>3.8438439567754026</v>
      </c>
      <c r="F203" s="634">
        <f>Effort!G203</f>
        <v>0</v>
      </c>
      <c r="G203" s="635">
        <f t="shared" si="9"/>
        <v>36.878420577186056</v>
      </c>
      <c r="H203" s="149">
        <f t="shared" si="10"/>
        <v>0</v>
      </c>
      <c r="I203" s="41">
        <f t="shared" si="11"/>
        <v>0</v>
      </c>
      <c r="J203" s="28"/>
    </row>
    <row r="204" spans="1:10" x14ac:dyDescent="0.25">
      <c r="A204" s="37">
        <f>Données!A204</f>
        <v>5741</v>
      </c>
      <c r="B204" s="125" t="str">
        <f>Données!B204</f>
        <v>L'Abergement</v>
      </c>
      <c r="C204" s="247">
        <f>VPI!R204</f>
        <v>8081.107937499999</v>
      </c>
      <c r="D204" s="633">
        <f>Effort!I204-IF(PCS!I210&lt;0, Effort!D204, 0)</f>
        <v>-2.7126842130705064</v>
      </c>
      <c r="E204" s="634">
        <f>IF(PCS!I210&lt;0, 0, PCS!F210/Aide!C204)</f>
        <v>2.570195220833233</v>
      </c>
      <c r="F204" s="634">
        <f>Effort!G204</f>
        <v>-11.805513580530359</v>
      </c>
      <c r="G204" s="635">
        <f t="shared" si="9"/>
        <v>11.663024588293085</v>
      </c>
      <c r="H204" s="149">
        <f t="shared" si="10"/>
        <v>0</v>
      </c>
      <c r="I204" s="41">
        <f t="shared" si="11"/>
        <v>0</v>
      </c>
      <c r="J204" s="28"/>
    </row>
    <row r="205" spans="1:10" x14ac:dyDescent="0.25">
      <c r="A205" s="37">
        <f>Données!A205</f>
        <v>5742</v>
      </c>
      <c r="B205" s="125" t="str">
        <f>Données!B205</f>
        <v>Agiez</v>
      </c>
      <c r="C205" s="247">
        <f>VPI!R205</f>
        <v>9603.6136842105243</v>
      </c>
      <c r="D205" s="633">
        <f>Effort!I205-IF(PCS!I211&lt;0, Effort!D205, 0)</f>
        <v>2.5994362915330527E-2</v>
      </c>
      <c r="E205" s="634">
        <f>IF(PCS!I211&lt;0, 0, PCS!F211/Aide!C205)</f>
        <v>3.0437250977784354</v>
      </c>
      <c r="F205" s="634">
        <f>Effort!G205</f>
        <v>-3.7520214906169072</v>
      </c>
      <c r="G205" s="635">
        <f t="shared" si="9"/>
        <v>6.821740951310673</v>
      </c>
      <c r="H205" s="149">
        <f t="shared" si="10"/>
        <v>0</v>
      </c>
      <c r="I205" s="41">
        <f t="shared" si="11"/>
        <v>0</v>
      </c>
      <c r="J205" s="28"/>
    </row>
    <row r="206" spans="1:10" x14ac:dyDescent="0.25">
      <c r="A206" s="37">
        <f>Données!A206</f>
        <v>5743</v>
      </c>
      <c r="B206" s="125" t="str">
        <f>Données!B206</f>
        <v>Arnex-sur-Orbe</v>
      </c>
      <c r="C206" s="247">
        <f>VPI!R206</f>
        <v>19616.934718309862</v>
      </c>
      <c r="D206" s="633">
        <f>Effort!I206-IF(PCS!I212&lt;0, Effort!D206, 0)</f>
        <v>5.962307458481817</v>
      </c>
      <c r="E206" s="634">
        <f>IF(PCS!I212&lt;0, 0, PCS!F212/Aide!C206)</f>
        <v>1.9595566561232822</v>
      </c>
      <c r="F206" s="634">
        <f>Effort!G206</f>
        <v>-4.3518053201814002</v>
      </c>
      <c r="G206" s="635">
        <f t="shared" si="9"/>
        <v>12.273669434786498</v>
      </c>
      <c r="H206" s="149">
        <f t="shared" si="10"/>
        <v>0</v>
      </c>
      <c r="I206" s="41">
        <f t="shared" si="11"/>
        <v>0</v>
      </c>
      <c r="J206" s="28"/>
    </row>
    <row r="207" spans="1:10" x14ac:dyDescent="0.25">
      <c r="A207" s="37">
        <f>Données!A207</f>
        <v>5744</v>
      </c>
      <c r="B207" s="125" t="str">
        <f>Données!B207</f>
        <v>Ballaigues</v>
      </c>
      <c r="C207" s="247">
        <f>VPI!R207</f>
        <v>81085.11846153847</v>
      </c>
      <c r="D207" s="633">
        <f>Effort!I207-IF(PCS!I213&lt;0, Effort!D207, 0)</f>
        <v>29.690242428474509</v>
      </c>
      <c r="E207" s="634">
        <f>IF(PCS!I213&lt;0, 0, PCS!F213/Aide!C207)</f>
        <v>6.246783498753361</v>
      </c>
      <c r="F207" s="634">
        <f>Effort!G207</f>
        <v>-2.3773824636816814</v>
      </c>
      <c r="G207" s="635">
        <f t="shared" si="9"/>
        <v>38.314408390909556</v>
      </c>
      <c r="H207" s="149">
        <f t="shared" si="10"/>
        <v>0</v>
      </c>
      <c r="I207" s="41">
        <f t="shared" si="11"/>
        <v>0</v>
      </c>
      <c r="J207" s="28"/>
    </row>
    <row r="208" spans="1:10" x14ac:dyDescent="0.25">
      <c r="A208" s="37">
        <f>Données!A208</f>
        <v>5745</v>
      </c>
      <c r="B208" s="125" t="str">
        <f>Données!B208</f>
        <v>Baulmes</v>
      </c>
      <c r="C208" s="247">
        <f>VPI!R208</f>
        <v>29568.283921568625</v>
      </c>
      <c r="D208" s="633">
        <f>Effort!I208-IF(PCS!I214&lt;0, Effort!D208, 0)</f>
        <v>-11.172782865977194</v>
      </c>
      <c r="E208" s="634">
        <f>IF(PCS!I214&lt;0, 0, PCS!F214/Aide!C208)</f>
        <v>2.6661685950091409</v>
      </c>
      <c r="F208" s="634">
        <f>Effort!G208</f>
        <v>-12.442408013347695</v>
      </c>
      <c r="G208" s="635">
        <f t="shared" si="9"/>
        <v>3.9357937423796425</v>
      </c>
      <c r="H208" s="149">
        <f t="shared" si="10"/>
        <v>0</v>
      </c>
      <c r="I208" s="41">
        <f t="shared" si="11"/>
        <v>0</v>
      </c>
      <c r="J208" s="28"/>
    </row>
    <row r="209" spans="1:10" x14ac:dyDescent="0.25">
      <c r="A209" s="37">
        <f>Données!A209</f>
        <v>5746</v>
      </c>
      <c r="B209" s="125" t="str">
        <f>Données!B209</f>
        <v>Bavois</v>
      </c>
      <c r="C209" s="247">
        <f>VPI!R209</f>
        <v>37130.012939814806</v>
      </c>
      <c r="D209" s="633">
        <f>Effort!I209-IF(PCS!I215&lt;0, Effort!D209, 0)</f>
        <v>13.028687522028596</v>
      </c>
      <c r="E209" s="634">
        <f>IF(PCS!I215&lt;0, 0, PCS!F215/Aide!C209)</f>
        <v>2.7714092146102347</v>
      </c>
      <c r="F209" s="634">
        <f>Effort!G209</f>
        <v>-5.3345028803774266</v>
      </c>
      <c r="G209" s="635">
        <f t="shared" si="9"/>
        <v>21.134599617016256</v>
      </c>
      <c r="H209" s="149">
        <f t="shared" si="10"/>
        <v>0</v>
      </c>
      <c r="I209" s="41">
        <f t="shared" si="11"/>
        <v>0</v>
      </c>
      <c r="J209" s="28"/>
    </row>
    <row r="210" spans="1:10" x14ac:dyDescent="0.25">
      <c r="A210" s="37">
        <f>Données!A210</f>
        <v>5747</v>
      </c>
      <c r="B210" s="125" t="str">
        <f>Données!B210</f>
        <v>Bofflens</v>
      </c>
      <c r="C210" s="247">
        <f>VPI!R210</f>
        <v>7511.2471014492739</v>
      </c>
      <c r="D210" s="633">
        <f>Effort!I210-IF(PCS!I216&lt;0, Effort!D210, 0)</f>
        <v>16.83544161784182</v>
      </c>
      <c r="E210" s="634">
        <f>IF(PCS!I216&lt;0, 0, PCS!F216/Aide!C210)</f>
        <v>2.2774320654022122</v>
      </c>
      <c r="F210" s="634">
        <f>Effort!G210</f>
        <v>-3.9981574043374755</v>
      </c>
      <c r="G210" s="635">
        <f t="shared" si="9"/>
        <v>23.111031087581509</v>
      </c>
      <c r="H210" s="149">
        <f t="shared" si="10"/>
        <v>0</v>
      </c>
      <c r="I210" s="41">
        <f t="shared" si="11"/>
        <v>0</v>
      </c>
      <c r="J210" s="28"/>
    </row>
    <row r="211" spans="1:10" x14ac:dyDescent="0.25">
      <c r="A211" s="37">
        <f>Données!A211</f>
        <v>5748</v>
      </c>
      <c r="B211" s="125" t="str">
        <f>Données!B211</f>
        <v>Bretonnières</v>
      </c>
      <c r="C211" s="247">
        <f>VPI!R211</f>
        <v>6883.0895035460999</v>
      </c>
      <c r="D211" s="633">
        <f>Effort!I211-IF(PCS!I217&lt;0, Effort!D211, 0)</f>
        <v>-3.9336106359128848</v>
      </c>
      <c r="E211" s="634">
        <f>IF(PCS!I217&lt;0, 0, PCS!F217/Aide!C211)</f>
        <v>3.2929144664358927</v>
      </c>
      <c r="F211" s="634">
        <f>Effort!G211</f>
        <v>-11.778088663998679</v>
      </c>
      <c r="G211" s="635">
        <f t="shared" si="9"/>
        <v>11.137392494521686</v>
      </c>
      <c r="H211" s="149">
        <f t="shared" si="10"/>
        <v>0</v>
      </c>
      <c r="I211" s="41">
        <f t="shared" si="11"/>
        <v>0</v>
      </c>
      <c r="J211" s="28"/>
    </row>
    <row r="212" spans="1:10" x14ac:dyDescent="0.25">
      <c r="A212" s="37">
        <f>Données!A212</f>
        <v>5749</v>
      </c>
      <c r="B212" s="125" t="str">
        <f>Données!B212</f>
        <v>Chavornay</v>
      </c>
      <c r="C212" s="247">
        <f>VPI!R212</f>
        <v>155929.24482269504</v>
      </c>
      <c r="D212" s="633">
        <f>Effort!I212-IF(PCS!I218&lt;0, Effort!D212, 0)</f>
        <v>-3.6473289677005418</v>
      </c>
      <c r="E212" s="634">
        <f>IF(PCS!I218&lt;0, 0, PCS!F218/Aide!C212)</f>
        <v>3.3965155196013361</v>
      </c>
      <c r="F212" s="634">
        <f>Effort!G212</f>
        <v>-5.27473546883874</v>
      </c>
      <c r="G212" s="635">
        <f t="shared" si="9"/>
        <v>5.0239220207395343</v>
      </c>
      <c r="H212" s="149">
        <f t="shared" si="10"/>
        <v>0</v>
      </c>
      <c r="I212" s="41">
        <f t="shared" si="11"/>
        <v>0</v>
      </c>
      <c r="J212" s="28"/>
    </row>
    <row r="213" spans="1:10" x14ac:dyDescent="0.25">
      <c r="A213" s="37">
        <f>Données!A213</f>
        <v>5750</v>
      </c>
      <c r="B213" s="125" t="str">
        <f>Données!B213</f>
        <v>Les Clées</v>
      </c>
      <c r="C213" s="247">
        <f>VPI!R213</f>
        <v>6153.1082500000002</v>
      </c>
      <c r="D213" s="633">
        <f>Effort!I213-IF(PCS!I219&lt;0, Effort!D213, 0)</f>
        <v>-0.64588898683308571</v>
      </c>
      <c r="E213" s="634">
        <f>IF(PCS!I219&lt;0, 0, PCS!F219/Aide!C213)</f>
        <v>5.6167523137594726</v>
      </c>
      <c r="F213" s="634">
        <f>Effort!G213</f>
        <v>-12.39564184263541</v>
      </c>
      <c r="G213" s="635">
        <f t="shared" si="9"/>
        <v>17.366505169561798</v>
      </c>
      <c r="H213" s="149">
        <f t="shared" si="10"/>
        <v>0</v>
      </c>
      <c r="I213" s="41">
        <f t="shared" si="11"/>
        <v>0</v>
      </c>
      <c r="J213" s="28"/>
    </row>
    <row r="214" spans="1:10" x14ac:dyDescent="0.25">
      <c r="A214" s="37">
        <f>Données!A214</f>
        <v>5752</v>
      </c>
      <c r="B214" s="125" t="str">
        <f>Données!B214</f>
        <v>Croy</v>
      </c>
      <c r="C214" s="247">
        <f>VPI!R214</f>
        <v>10564.904768339768</v>
      </c>
      <c r="D214" s="633">
        <f>Effort!I214-IF(PCS!I220&lt;0, Effort!D214, 0)</f>
        <v>1.4688292911128329</v>
      </c>
      <c r="E214" s="634">
        <f>IF(PCS!I220&lt;0, 0, PCS!F220/Aide!C214)</f>
        <v>4.8158867605198008</v>
      </c>
      <c r="F214" s="634">
        <f>Effort!G214</f>
        <v>-4.2892642538969525</v>
      </c>
      <c r="G214" s="635">
        <f t="shared" si="9"/>
        <v>10.573980305529586</v>
      </c>
      <c r="H214" s="149">
        <f t="shared" si="10"/>
        <v>0</v>
      </c>
      <c r="I214" s="41">
        <f t="shared" si="11"/>
        <v>0</v>
      </c>
      <c r="J214" s="28"/>
    </row>
    <row r="215" spans="1:10" x14ac:dyDescent="0.25">
      <c r="A215" s="37">
        <f>Données!A215</f>
        <v>5754</v>
      </c>
      <c r="B215" s="125" t="str">
        <f>Données!B215</f>
        <v>Juriens</v>
      </c>
      <c r="C215" s="247">
        <f>VPI!R215</f>
        <v>8959.0606329113925</v>
      </c>
      <c r="D215" s="633">
        <f>Effort!I215-IF(PCS!I221&lt;0, Effort!D215, 0)</f>
        <v>-6.3402642832205096</v>
      </c>
      <c r="E215" s="634">
        <f>IF(PCS!I221&lt;0, 0, PCS!F221/Aide!C215)</f>
        <v>2.5130296492572772</v>
      </c>
      <c r="F215" s="634">
        <f>Effort!G215</f>
        <v>-8.3643189879932507</v>
      </c>
      <c r="G215" s="635">
        <f t="shared" si="9"/>
        <v>4.5370843540300179</v>
      </c>
      <c r="H215" s="149">
        <f t="shared" si="10"/>
        <v>0</v>
      </c>
      <c r="I215" s="41">
        <f t="shared" si="11"/>
        <v>0</v>
      </c>
      <c r="J215" s="28"/>
    </row>
    <row r="216" spans="1:10" x14ac:dyDescent="0.25">
      <c r="A216" s="37">
        <f>Données!A216</f>
        <v>5755</v>
      </c>
      <c r="B216" s="125" t="str">
        <f>Données!B216</f>
        <v>Lignerolle</v>
      </c>
      <c r="C216" s="247">
        <f>VPI!R216</f>
        <v>10387.208371246586</v>
      </c>
      <c r="D216" s="633">
        <f>Effort!I216-IF(PCS!I222&lt;0, Effort!D216, 0)</f>
        <v>-61.857379296241405</v>
      </c>
      <c r="E216" s="634">
        <f>IF(PCS!I222&lt;0, 0, PCS!F222/Aide!C216)</f>
        <v>4.6116264628521373</v>
      </c>
      <c r="F216" s="634">
        <f>Effort!G216</f>
        <v>-56.361533788008728</v>
      </c>
      <c r="G216" s="635">
        <f t="shared" si="9"/>
        <v>-0.88421904538054008</v>
      </c>
      <c r="H216" s="149">
        <f t="shared" si="10"/>
        <v>0</v>
      </c>
      <c r="I216" s="41">
        <f t="shared" si="11"/>
        <v>0</v>
      </c>
      <c r="J216" s="28"/>
    </row>
    <row r="217" spans="1:10" x14ac:dyDescent="0.25">
      <c r="A217" s="37">
        <f>Données!A217</f>
        <v>5756</v>
      </c>
      <c r="B217" s="125" t="str">
        <f>Données!B217</f>
        <v>Montcherand</v>
      </c>
      <c r="C217" s="247">
        <f>VPI!R217</f>
        <v>21540.691249999996</v>
      </c>
      <c r="D217" s="633">
        <f>Effort!I217-IF(PCS!I223&lt;0, Effort!D217, 0)</f>
        <v>24.017267820646719</v>
      </c>
      <c r="E217" s="634">
        <f>IF(PCS!I223&lt;0, 0, PCS!F223/Aide!C217)</f>
        <v>0.30036129875822815</v>
      </c>
      <c r="F217" s="634">
        <f>Effort!G217</f>
        <v>-0.84445606318695876</v>
      </c>
      <c r="G217" s="635">
        <f t="shared" si="9"/>
        <v>25.162085182591905</v>
      </c>
      <c r="H217" s="149">
        <f t="shared" si="10"/>
        <v>0</v>
      </c>
      <c r="I217" s="41">
        <f t="shared" si="11"/>
        <v>0</v>
      </c>
      <c r="J217" s="28"/>
    </row>
    <row r="218" spans="1:10" x14ac:dyDescent="0.25">
      <c r="A218" s="37">
        <f>Données!A218</f>
        <v>5757</v>
      </c>
      <c r="B218" s="125" t="str">
        <f>Données!B218</f>
        <v>Orbe</v>
      </c>
      <c r="C218" s="247">
        <f>VPI!R218</f>
        <v>256549.05814569537</v>
      </c>
      <c r="D218" s="633">
        <f>Effort!I218-IF(PCS!I224&lt;0, Effort!D218, 0)</f>
        <v>-6.877008725090306</v>
      </c>
      <c r="E218" s="634">
        <f>IF(PCS!I224&lt;0, 0, PCS!F224/Aide!C218)</f>
        <v>6.954612630020824</v>
      </c>
      <c r="F218" s="634">
        <f>Effort!G218</f>
        <v>-10.058603825818086</v>
      </c>
      <c r="G218" s="635">
        <f t="shared" si="9"/>
        <v>10.136207730748604</v>
      </c>
      <c r="H218" s="149">
        <f t="shared" si="10"/>
        <v>0</v>
      </c>
      <c r="I218" s="41">
        <f t="shared" si="11"/>
        <v>0</v>
      </c>
      <c r="J218" s="28"/>
    </row>
    <row r="219" spans="1:10" x14ac:dyDescent="0.25">
      <c r="A219" s="37">
        <f>Données!A219</f>
        <v>5758</v>
      </c>
      <c r="B219" s="125" t="str">
        <f>Données!B219</f>
        <v>La Praz</v>
      </c>
      <c r="C219" s="247">
        <f>VPI!R219</f>
        <v>5899.0938554216882</v>
      </c>
      <c r="D219" s="633">
        <f>Effort!I219-IF(PCS!I225&lt;0, Effort!D219, 0)</f>
        <v>-37.372112006161032</v>
      </c>
      <c r="E219" s="634">
        <f>IF(PCS!I225&lt;0, 0, PCS!F225/Aide!C219)</f>
        <v>3.3230129034112017</v>
      </c>
      <c r="F219" s="634">
        <f>Effort!G219</f>
        <v>-42.622681592029274</v>
      </c>
      <c r="G219" s="635">
        <f t="shared" si="9"/>
        <v>8.5735824892794454</v>
      </c>
      <c r="H219" s="149">
        <f t="shared" si="10"/>
        <v>0</v>
      </c>
      <c r="I219" s="41">
        <f t="shared" si="11"/>
        <v>0</v>
      </c>
      <c r="J219" s="28"/>
    </row>
    <row r="220" spans="1:10" x14ac:dyDescent="0.25">
      <c r="A220" s="37">
        <f>Données!A220</f>
        <v>5759</v>
      </c>
      <c r="B220" s="125" t="str">
        <f>Données!B220</f>
        <v>Premier</v>
      </c>
      <c r="C220" s="247">
        <f>VPI!R220</f>
        <v>5179.7449056603764</v>
      </c>
      <c r="D220" s="633">
        <f>Effort!I220-IF(PCS!I226&lt;0, Effort!D220, 0)</f>
        <v>-23.577354593478329</v>
      </c>
      <c r="E220" s="634">
        <f>IF(PCS!I226&lt;0, 0, PCS!F226/Aide!C220)</f>
        <v>2.3634793262930418</v>
      </c>
      <c r="F220" s="634">
        <f>Effort!G220</f>
        <v>-18.082829286478788</v>
      </c>
      <c r="G220" s="635">
        <f t="shared" si="9"/>
        <v>-3.1310459807064994</v>
      </c>
      <c r="H220" s="149">
        <f t="shared" si="10"/>
        <v>0</v>
      </c>
      <c r="I220" s="41">
        <f t="shared" si="11"/>
        <v>0</v>
      </c>
      <c r="J220" s="28"/>
    </row>
    <row r="221" spans="1:10" x14ac:dyDescent="0.25">
      <c r="A221" s="37">
        <f>Données!A221</f>
        <v>5760</v>
      </c>
      <c r="B221" s="125" t="str">
        <f>Données!B221</f>
        <v>Rances</v>
      </c>
      <c r="C221" s="247">
        <f>VPI!R221</f>
        <v>13863.335032679737</v>
      </c>
      <c r="D221" s="633">
        <f>Effort!I221-IF(PCS!I227&lt;0, Effort!D221, 0)</f>
        <v>-4.9294598653920048</v>
      </c>
      <c r="E221" s="634">
        <f>IF(PCS!I227&lt;0, 0, PCS!F227/Aide!C221)</f>
        <v>3.5246616261393804</v>
      </c>
      <c r="F221" s="634">
        <f>Effort!G221</f>
        <v>-11.280031524269265</v>
      </c>
      <c r="G221" s="635">
        <f t="shared" si="9"/>
        <v>9.8752332850166411</v>
      </c>
      <c r="H221" s="149">
        <f t="shared" si="10"/>
        <v>0</v>
      </c>
      <c r="I221" s="41">
        <f t="shared" si="11"/>
        <v>0</v>
      </c>
      <c r="J221" s="28"/>
    </row>
    <row r="222" spans="1:10" x14ac:dyDescent="0.25">
      <c r="A222" s="37">
        <f>Données!A222</f>
        <v>5761</v>
      </c>
      <c r="B222" s="125" t="str">
        <f>Données!B222</f>
        <v>Romainmôtier-Envy</v>
      </c>
      <c r="C222" s="247">
        <f>VPI!R222</f>
        <v>14116.093355780025</v>
      </c>
      <c r="D222" s="633">
        <f>Effort!I222-IF(PCS!I228&lt;0, Effort!D222, 0)</f>
        <v>-12.293284519627782</v>
      </c>
      <c r="E222" s="634">
        <f>IF(PCS!I228&lt;0, 0, PCS!F228/Aide!C222)</f>
        <v>2.9668173016758717</v>
      </c>
      <c r="F222" s="634">
        <f>Effort!G222</f>
        <v>-11.918891762697056</v>
      </c>
      <c r="G222" s="635">
        <f t="shared" si="9"/>
        <v>2.5924245447451444</v>
      </c>
      <c r="H222" s="149">
        <f t="shared" si="10"/>
        <v>0</v>
      </c>
      <c r="I222" s="41">
        <f t="shared" si="11"/>
        <v>0</v>
      </c>
      <c r="J222" s="28"/>
    </row>
    <row r="223" spans="1:10" x14ac:dyDescent="0.25">
      <c r="A223" s="37">
        <f>Données!A223</f>
        <v>5762</v>
      </c>
      <c r="B223" s="125" t="str">
        <f>Données!B223</f>
        <v>Sergey</v>
      </c>
      <c r="C223" s="247">
        <f>VPI!R223</f>
        <v>3517.4810526315791</v>
      </c>
      <c r="D223" s="633">
        <f>Effort!I223-IF(PCS!I229&lt;0, Effort!D223, 0)</f>
        <v>-8.3324113342869168</v>
      </c>
      <c r="E223" s="634">
        <f>IF(PCS!I229&lt;0, 0, PCS!F229/Aide!C223)</f>
        <v>4.0955174411592976</v>
      </c>
      <c r="F223" s="634">
        <f>Effort!G223</f>
        <v>-13.433712053208941</v>
      </c>
      <c r="G223" s="635">
        <f t="shared" si="9"/>
        <v>9.196818160081321</v>
      </c>
      <c r="H223" s="149">
        <f t="shared" si="10"/>
        <v>0</v>
      </c>
      <c r="I223" s="41">
        <f t="shared" si="11"/>
        <v>0</v>
      </c>
      <c r="J223" s="28"/>
    </row>
    <row r="224" spans="1:10" x14ac:dyDescent="0.25">
      <c r="A224" s="37">
        <f>Données!A224</f>
        <v>5763</v>
      </c>
      <c r="B224" s="125" t="str">
        <f>Données!B224</f>
        <v>Valeyres-sous-Rances</v>
      </c>
      <c r="C224" s="247">
        <f>VPI!R224</f>
        <v>22039.299577464786</v>
      </c>
      <c r="D224" s="633">
        <f>Effort!I224-IF(PCS!I230&lt;0, Effort!D224, 0)</f>
        <v>16.330654179207727</v>
      </c>
      <c r="E224" s="634">
        <f>IF(PCS!I230&lt;0, 0, PCS!F230/Aide!C224)</f>
        <v>4.8901921597454718</v>
      </c>
      <c r="F224" s="634">
        <f>Effort!G224</f>
        <v>-4.3313994566492067</v>
      </c>
      <c r="G224" s="635">
        <f t="shared" si="9"/>
        <v>25.552245795602403</v>
      </c>
      <c r="H224" s="149">
        <f t="shared" si="10"/>
        <v>0</v>
      </c>
      <c r="I224" s="41">
        <f t="shared" si="11"/>
        <v>0</v>
      </c>
      <c r="J224" s="28"/>
    </row>
    <row r="225" spans="1:10" x14ac:dyDescent="0.25">
      <c r="A225" s="37">
        <f>Données!A225</f>
        <v>5764</v>
      </c>
      <c r="B225" s="125" t="str">
        <f>Données!B225</f>
        <v>Vallorbe</v>
      </c>
      <c r="C225" s="247">
        <f>VPI!R225</f>
        <v>94918.330489510496</v>
      </c>
      <c r="D225" s="633">
        <f>Effort!I225-IF(PCS!I231&lt;0, Effort!D225, 0)</f>
        <v>-37.886669927559595</v>
      </c>
      <c r="E225" s="634">
        <f>IF(PCS!I231&lt;0, 0, PCS!F231/Aide!C225)</f>
        <v>15.748023825231407</v>
      </c>
      <c r="F225" s="634">
        <f>Effort!G225</f>
        <v>-25.741029185258693</v>
      </c>
      <c r="G225" s="635">
        <f t="shared" si="9"/>
        <v>3.6023830829305048</v>
      </c>
      <c r="H225" s="149">
        <f t="shared" si="10"/>
        <v>0</v>
      </c>
      <c r="I225" s="41">
        <f t="shared" si="11"/>
        <v>0</v>
      </c>
      <c r="J225" s="28"/>
    </row>
    <row r="226" spans="1:10" x14ac:dyDescent="0.25">
      <c r="A226" s="37">
        <f>Données!A226</f>
        <v>5765</v>
      </c>
      <c r="B226" s="125" t="str">
        <f>Données!B226</f>
        <v>Vaulion</v>
      </c>
      <c r="C226" s="247">
        <f>VPI!R226</f>
        <v>10165.546419753087</v>
      </c>
      <c r="D226" s="633">
        <f>Effort!I226-IF(PCS!I232&lt;0, Effort!D226, 0)</f>
        <v>-29.967592992453017</v>
      </c>
      <c r="E226" s="634">
        <f>IF(PCS!I232&lt;0, 0, PCS!F232/Aide!C226)</f>
        <v>6.2350499798848507</v>
      </c>
      <c r="F226" s="634">
        <f>Effort!G226</f>
        <v>-17.420218489806661</v>
      </c>
      <c r="G226" s="635">
        <f t="shared" si="9"/>
        <v>-6.3123245227615037</v>
      </c>
      <c r="H226" s="149">
        <f t="shared" si="10"/>
        <v>0</v>
      </c>
      <c r="I226" s="41">
        <f t="shared" si="11"/>
        <v>0</v>
      </c>
      <c r="J226" s="28"/>
    </row>
    <row r="227" spans="1:10" x14ac:dyDescent="0.25">
      <c r="A227" s="37">
        <f>Données!A227</f>
        <v>5766</v>
      </c>
      <c r="B227" s="125" t="str">
        <f>Données!B227</f>
        <v>Vuiteboeuf</v>
      </c>
      <c r="C227" s="247">
        <f>VPI!R227</f>
        <v>15485.667942857142</v>
      </c>
      <c r="D227" s="633">
        <f>Effort!I227-IF(PCS!I233&lt;0, Effort!D227, 0)</f>
        <v>-3.9292778334204108</v>
      </c>
      <c r="E227" s="634">
        <f>IF(PCS!I233&lt;0, 0, PCS!F233/Aide!C227)</f>
        <v>5.0803665873701194</v>
      </c>
      <c r="F227" s="634">
        <f>Effort!G227</f>
        <v>-7.8253114338736669</v>
      </c>
      <c r="G227" s="635">
        <f t="shared" si="9"/>
        <v>8.9764001878233763</v>
      </c>
      <c r="H227" s="149">
        <f t="shared" si="10"/>
        <v>0</v>
      </c>
      <c r="I227" s="41">
        <f t="shared" si="11"/>
        <v>0</v>
      </c>
      <c r="J227" s="28"/>
    </row>
    <row r="228" spans="1:10" x14ac:dyDescent="0.25">
      <c r="A228" s="37">
        <f>Données!A228</f>
        <v>5785</v>
      </c>
      <c r="B228" s="125" t="str">
        <f>Données!B228</f>
        <v>Corcelles-le-Jorat</v>
      </c>
      <c r="C228" s="247">
        <f>VPI!R228</f>
        <v>15190.065466666669</v>
      </c>
      <c r="D228" s="633">
        <f>Effort!I228-IF(PCS!I234&lt;0, Effort!D228, 0)</f>
        <v>8.4529703982438722</v>
      </c>
      <c r="E228" s="634">
        <f>IF(PCS!I234&lt;0, 0, PCS!F234/Aide!C228)</f>
        <v>11.575978746494933</v>
      </c>
      <c r="F228" s="634">
        <f>Effort!G228</f>
        <v>-3.4187259407331685</v>
      </c>
      <c r="G228" s="635">
        <f t="shared" si="9"/>
        <v>23.447675085471971</v>
      </c>
      <c r="H228" s="149">
        <f t="shared" si="10"/>
        <v>0</v>
      </c>
      <c r="I228" s="41">
        <f t="shared" si="11"/>
        <v>0</v>
      </c>
      <c r="J228" s="28"/>
    </row>
    <row r="229" spans="1:10" x14ac:dyDescent="0.25">
      <c r="A229" s="37">
        <f>Données!A229</f>
        <v>5790</v>
      </c>
      <c r="B229" s="125" t="str">
        <f>Données!B229</f>
        <v>Maracon</v>
      </c>
      <c r="C229" s="247">
        <f>VPI!R229</f>
        <v>16291.788187919459</v>
      </c>
      <c r="D229" s="633">
        <f>Effort!I229-IF(PCS!I235&lt;0, Effort!D229, 0)</f>
        <v>5.0902950555050488</v>
      </c>
      <c r="E229" s="634">
        <f>IF(PCS!I235&lt;0, 0, PCS!F235/Aide!C229)</f>
        <v>2.093128121152847</v>
      </c>
      <c r="F229" s="634">
        <f>Effort!G229</f>
        <v>-4.396469316607944</v>
      </c>
      <c r="G229" s="635">
        <f t="shared" si="9"/>
        <v>11.57989249326584</v>
      </c>
      <c r="H229" s="149">
        <f t="shared" si="10"/>
        <v>0</v>
      </c>
      <c r="I229" s="41">
        <f t="shared" si="11"/>
        <v>0</v>
      </c>
      <c r="J229" s="28"/>
    </row>
    <row r="230" spans="1:10" x14ac:dyDescent="0.25">
      <c r="A230" s="37">
        <f>Données!A230</f>
        <v>5792</v>
      </c>
      <c r="B230" s="125" t="str">
        <f>Données!B230</f>
        <v>Montpreveyres</v>
      </c>
      <c r="C230" s="247">
        <f>VPI!R230</f>
        <v>20010.357852348992</v>
      </c>
      <c r="D230" s="633">
        <f>Effort!I230-IF(PCS!I236&lt;0, Effort!D230, 0)</f>
        <v>2.2827796996864507</v>
      </c>
      <c r="E230" s="634">
        <f>IF(PCS!I236&lt;0, 0, PCS!F236/Aide!C230)</f>
        <v>5.9783181231792408</v>
      </c>
      <c r="F230" s="634">
        <f>Effort!G230</f>
        <v>-10.050427699932852</v>
      </c>
      <c r="G230" s="635">
        <f t="shared" si="9"/>
        <v>18.311525522798544</v>
      </c>
      <c r="H230" s="149">
        <f t="shared" si="10"/>
        <v>0</v>
      </c>
      <c r="I230" s="41">
        <f t="shared" si="11"/>
        <v>0</v>
      </c>
      <c r="J230" s="28"/>
    </row>
    <row r="231" spans="1:10" x14ac:dyDescent="0.25">
      <c r="A231" s="37">
        <f>Données!A231</f>
        <v>5798</v>
      </c>
      <c r="B231" s="125" t="str">
        <f>Données!B231</f>
        <v>Ropraz</v>
      </c>
      <c r="C231" s="247">
        <f>VPI!R231</f>
        <v>15645.960516129035</v>
      </c>
      <c r="D231" s="633">
        <f>Effort!I231-IF(PCS!I237&lt;0, Effort!D231, 0)</f>
        <v>7.1514914524292195</v>
      </c>
      <c r="E231" s="634">
        <f>IF(PCS!I237&lt;0, 0, PCS!F237/Aide!C231)</f>
        <v>4.5961984836832332</v>
      </c>
      <c r="F231" s="634">
        <f>Effort!G231</f>
        <v>-2.4628520025982548</v>
      </c>
      <c r="G231" s="635">
        <f t="shared" si="9"/>
        <v>14.210541938710708</v>
      </c>
      <c r="H231" s="149">
        <f t="shared" si="10"/>
        <v>0</v>
      </c>
      <c r="I231" s="41">
        <f t="shared" si="11"/>
        <v>0</v>
      </c>
      <c r="J231" s="28"/>
    </row>
    <row r="232" spans="1:10" x14ac:dyDescent="0.25">
      <c r="A232" s="37">
        <f>Données!A232</f>
        <v>5799</v>
      </c>
      <c r="B232" s="125" t="str">
        <f>Données!B232</f>
        <v>Servion</v>
      </c>
      <c r="C232" s="247">
        <f>VPI!R232</f>
        <v>79870.61985507248</v>
      </c>
      <c r="D232" s="633">
        <f>Effort!I232-IF(PCS!I238&lt;0, Effort!D232, 0)</f>
        <v>12.970051846694508</v>
      </c>
      <c r="E232" s="634">
        <f>IF(PCS!I238&lt;0, 0, PCS!F238/Aide!C232)</f>
        <v>3.6963946885063534</v>
      </c>
      <c r="F232" s="634">
        <f>Effort!G232</f>
        <v>-2.8100450217157489</v>
      </c>
      <c r="G232" s="635">
        <f t="shared" si="9"/>
        <v>19.47649155691661</v>
      </c>
      <c r="H232" s="149">
        <f t="shared" si="10"/>
        <v>0</v>
      </c>
      <c r="I232" s="41">
        <f t="shared" si="11"/>
        <v>0</v>
      </c>
      <c r="J232" s="28"/>
    </row>
    <row r="233" spans="1:10" x14ac:dyDescent="0.25">
      <c r="A233" s="37">
        <f>Données!A233</f>
        <v>5803</v>
      </c>
      <c r="B233" s="125" t="str">
        <f>Données!B233</f>
        <v>Vulliens</v>
      </c>
      <c r="C233" s="247">
        <f>VPI!R233</f>
        <v>18493.730135135131</v>
      </c>
      <c r="D233" s="633">
        <f>Effort!I233-IF(PCS!I239&lt;0, Effort!D233, 0)</f>
        <v>-16.962671067520713</v>
      </c>
      <c r="E233" s="634">
        <f>IF(PCS!I239&lt;0, 0, PCS!F239/Aide!C233)</f>
        <v>3.6281634105022436</v>
      </c>
      <c r="F233" s="634">
        <f>Effort!G233</f>
        <v>-27.858311024842511</v>
      </c>
      <c r="G233" s="635">
        <f t="shared" si="9"/>
        <v>14.523803367824041</v>
      </c>
      <c r="H233" s="149">
        <f t="shared" si="10"/>
        <v>0</v>
      </c>
      <c r="I233" s="41">
        <f t="shared" si="11"/>
        <v>0</v>
      </c>
      <c r="J233" s="28"/>
    </row>
    <row r="234" spans="1:10" x14ac:dyDescent="0.25">
      <c r="A234" s="37">
        <f>Données!A234</f>
        <v>5804</v>
      </c>
      <c r="B234" s="125" t="str">
        <f>Données!B234</f>
        <v>Jorat-Menthue</v>
      </c>
      <c r="C234" s="247">
        <f>VPI!R234</f>
        <v>48159.833333333336</v>
      </c>
      <c r="D234" s="633">
        <f>Effort!I234-IF(PCS!I240&lt;0, Effort!D234, 0)</f>
        <v>0.56021441946866801</v>
      </c>
      <c r="E234" s="634">
        <f>IF(PCS!I240&lt;0, 0, PCS!F240/Aide!C234)</f>
        <v>3.0104126190912894</v>
      </c>
      <c r="F234" s="634">
        <f>Effort!G234</f>
        <v>-10.270737055590617</v>
      </c>
      <c r="G234" s="635">
        <f t="shared" si="9"/>
        <v>13.841364094150574</v>
      </c>
      <c r="H234" s="149">
        <f t="shared" si="10"/>
        <v>0</v>
      </c>
      <c r="I234" s="41">
        <f t="shared" si="11"/>
        <v>0</v>
      </c>
      <c r="J234" s="28"/>
    </row>
    <row r="235" spans="1:10" x14ac:dyDescent="0.25">
      <c r="A235" s="37">
        <f>Données!A235</f>
        <v>5805</v>
      </c>
      <c r="B235" s="125" t="str">
        <f>Données!B235</f>
        <v>Oron</v>
      </c>
      <c r="C235" s="247">
        <f>VPI!R235</f>
        <v>189171.20249011857</v>
      </c>
      <c r="D235" s="633">
        <f>Effort!I235-IF(PCS!I241&lt;0, Effort!D235, 0)</f>
        <v>-2.348776662225788</v>
      </c>
      <c r="E235" s="634">
        <f>IF(PCS!I241&lt;0, 0, PCS!F241/Aide!C235)</f>
        <v>4.171107016361101</v>
      </c>
      <c r="F235" s="634">
        <f>Effort!G235</f>
        <v>-5.3505645898683518</v>
      </c>
      <c r="G235" s="635">
        <f t="shared" si="9"/>
        <v>7.1728949440036649</v>
      </c>
      <c r="H235" s="149">
        <f t="shared" si="10"/>
        <v>0</v>
      </c>
      <c r="I235" s="41">
        <f t="shared" si="11"/>
        <v>0</v>
      </c>
      <c r="J235" s="28"/>
    </row>
    <row r="236" spans="1:10" x14ac:dyDescent="0.25">
      <c r="A236" s="37">
        <f>Données!A236</f>
        <v>5806</v>
      </c>
      <c r="B236" s="125" t="str">
        <f>Données!B236</f>
        <v>Jorat-Mézières</v>
      </c>
      <c r="C236" s="247">
        <f>VPI!R236</f>
        <v>101965.39633802818</v>
      </c>
      <c r="D236" s="633">
        <f>Effort!I236-IF(PCS!I242&lt;0, Effort!D236, 0)</f>
        <v>6.1441975890917053</v>
      </c>
      <c r="E236" s="634">
        <f>IF(PCS!I242&lt;0, 0, PCS!F242/Aide!C236)</f>
        <v>4.4125785429051252</v>
      </c>
      <c r="F236" s="634">
        <f>Effort!G236</f>
        <v>-3.5883935894906975</v>
      </c>
      <c r="G236" s="635">
        <f t="shared" si="9"/>
        <v>14.145169721487528</v>
      </c>
      <c r="H236" s="149">
        <f t="shared" si="10"/>
        <v>0</v>
      </c>
      <c r="I236" s="41">
        <f t="shared" si="11"/>
        <v>0</v>
      </c>
      <c r="J236" s="28"/>
    </row>
    <row r="237" spans="1:10" x14ac:dyDescent="0.25">
      <c r="A237" s="37">
        <f>Données!A237</f>
        <v>5812</v>
      </c>
      <c r="B237" s="125" t="str">
        <f>Données!B237</f>
        <v>Champtauroz</v>
      </c>
      <c r="C237" s="247">
        <f>VPI!R237</f>
        <v>3968.7312987012979</v>
      </c>
      <c r="D237" s="633">
        <f>Effort!I237-IF(PCS!I243&lt;0, Effort!D237, 0)</f>
        <v>-13.075558719726136</v>
      </c>
      <c r="E237" s="634">
        <f>IF(PCS!I243&lt;0, 0, PCS!F243/Aide!C237)</f>
        <v>4.4995865570046591</v>
      </c>
      <c r="F237" s="634">
        <f>Effort!G237</f>
        <v>-2.3851890347512983</v>
      </c>
      <c r="G237" s="635">
        <f t="shared" si="9"/>
        <v>-6.190783127970179</v>
      </c>
      <c r="H237" s="149">
        <f t="shared" si="10"/>
        <v>0</v>
      </c>
      <c r="I237" s="41">
        <f t="shared" si="11"/>
        <v>0</v>
      </c>
      <c r="J237" s="28"/>
    </row>
    <row r="238" spans="1:10" x14ac:dyDescent="0.25">
      <c r="A238" s="37">
        <f>Données!A238</f>
        <v>5813</v>
      </c>
      <c r="B238" s="125" t="str">
        <f>Données!B238</f>
        <v>Chevroux</v>
      </c>
      <c r="C238" s="247">
        <f>VPI!R238</f>
        <v>19281.459294403892</v>
      </c>
      <c r="D238" s="633">
        <f>Effort!I238-IF(PCS!I244&lt;0, Effort!D238, 0)</f>
        <v>13.981225256267514</v>
      </c>
      <c r="E238" s="634">
        <f>IF(PCS!I244&lt;0, 0, PCS!F244/Aide!C238)</f>
        <v>1.4660887212102451</v>
      </c>
      <c r="F238" s="634">
        <f>Effort!G238</f>
        <v>-7.9646487599009692</v>
      </c>
      <c r="G238" s="635">
        <f t="shared" si="9"/>
        <v>23.41196273737873</v>
      </c>
      <c r="H238" s="149">
        <f t="shared" si="10"/>
        <v>0</v>
      </c>
      <c r="I238" s="41">
        <f t="shared" si="11"/>
        <v>0</v>
      </c>
      <c r="J238" s="28"/>
    </row>
    <row r="239" spans="1:10" x14ac:dyDescent="0.25">
      <c r="A239" s="37">
        <f>Données!A239</f>
        <v>5816</v>
      </c>
      <c r="B239" s="125" t="str">
        <f>Données!B239</f>
        <v>Corcelles-près-Payerne</v>
      </c>
      <c r="C239" s="247">
        <f>VPI!R239</f>
        <v>73731.873296703299</v>
      </c>
      <c r="D239" s="633">
        <f>Effort!I239-IF(PCS!I245&lt;0, Effort!D239, 0)</f>
        <v>-4.2220685664809849</v>
      </c>
      <c r="E239" s="634">
        <f>IF(PCS!I245&lt;0, 0, PCS!F245/Aide!C239)</f>
        <v>4.7597625600500164</v>
      </c>
      <c r="F239" s="634">
        <f>Effort!G239</f>
        <v>-5.4624562654142075</v>
      </c>
      <c r="G239" s="635">
        <f t="shared" si="9"/>
        <v>6.0001502589832389</v>
      </c>
      <c r="H239" s="149">
        <f t="shared" si="10"/>
        <v>0</v>
      </c>
      <c r="I239" s="41">
        <f t="shared" si="11"/>
        <v>0</v>
      </c>
      <c r="J239" s="28"/>
    </row>
    <row r="240" spans="1:10" x14ac:dyDescent="0.25">
      <c r="A240" s="37">
        <f>Données!A240</f>
        <v>5817</v>
      </c>
      <c r="B240" s="125" t="str">
        <f>Données!B240</f>
        <v>Grandcour</v>
      </c>
      <c r="C240" s="247">
        <f>VPI!R240</f>
        <v>27223.795694444449</v>
      </c>
      <c r="D240" s="633">
        <f>Effort!I240-IF(PCS!I246&lt;0, Effort!D240, 0)</f>
        <v>3.0070829004594977</v>
      </c>
      <c r="E240" s="634">
        <f>IF(PCS!I246&lt;0, 0, PCS!F246/Aide!C240)</f>
        <v>2.5174658144376951</v>
      </c>
      <c r="F240" s="634">
        <f>Effort!G240</f>
        <v>-6.1888745548276196</v>
      </c>
      <c r="G240" s="635">
        <f t="shared" si="9"/>
        <v>11.713423269724814</v>
      </c>
      <c r="H240" s="149">
        <f t="shared" si="10"/>
        <v>0</v>
      </c>
      <c r="I240" s="41">
        <f t="shared" si="11"/>
        <v>0</v>
      </c>
      <c r="J240" s="28"/>
    </row>
    <row r="241" spans="1:10" x14ac:dyDescent="0.25">
      <c r="A241" s="37">
        <f>Données!A241</f>
        <v>5819</v>
      </c>
      <c r="B241" s="125" t="str">
        <f>Données!B241</f>
        <v>Henniez</v>
      </c>
      <c r="C241" s="247">
        <f>VPI!R241</f>
        <v>14881.811884057974</v>
      </c>
      <c r="D241" s="633">
        <f>Effort!I241-IF(PCS!I247&lt;0, Effort!D241, 0)</f>
        <v>10.999975841741207</v>
      </c>
      <c r="E241" s="634">
        <f>IF(PCS!I247&lt;0, 0, PCS!F247/Aide!C241)</f>
        <v>1.5821359780271416</v>
      </c>
      <c r="F241" s="634">
        <f>Effort!G241</f>
        <v>-4.6076727869971066</v>
      </c>
      <c r="G241" s="635">
        <f t="shared" si="9"/>
        <v>17.189784606765457</v>
      </c>
      <c r="H241" s="149">
        <f t="shared" si="10"/>
        <v>0</v>
      </c>
      <c r="I241" s="41">
        <f t="shared" si="11"/>
        <v>0</v>
      </c>
      <c r="J241" s="28"/>
    </row>
    <row r="242" spans="1:10" x14ac:dyDescent="0.25">
      <c r="A242" s="37">
        <f>Données!A242</f>
        <v>5821</v>
      </c>
      <c r="B242" s="125" t="str">
        <f>Données!B242</f>
        <v>Missy</v>
      </c>
      <c r="C242" s="247">
        <f>VPI!R242</f>
        <v>10384.069710144928</v>
      </c>
      <c r="D242" s="633">
        <f>Effort!I242-IF(PCS!I248&lt;0, Effort!D242, 0)</f>
        <v>9.6111023690710748</v>
      </c>
      <c r="E242" s="634">
        <f>IF(PCS!I248&lt;0, 0, PCS!F248/Aide!C242)</f>
        <v>2.1310743877595892</v>
      </c>
      <c r="F242" s="634">
        <f>Effort!G242</f>
        <v>0</v>
      </c>
      <c r="G242" s="635">
        <f t="shared" si="9"/>
        <v>11.742176756830665</v>
      </c>
      <c r="H242" s="149">
        <f t="shared" si="10"/>
        <v>0</v>
      </c>
      <c r="I242" s="41">
        <f t="shared" si="11"/>
        <v>0</v>
      </c>
      <c r="J242" s="28"/>
    </row>
    <row r="243" spans="1:10" x14ac:dyDescent="0.25">
      <c r="A243" s="37">
        <f>Données!A243</f>
        <v>5822</v>
      </c>
      <c r="B243" s="125" t="str">
        <f>Données!B243</f>
        <v>Payerne</v>
      </c>
      <c r="C243" s="247">
        <f>VPI!R243</f>
        <v>250662.19871428571</v>
      </c>
      <c r="D243" s="633">
        <f>Effort!I243-IF(PCS!I249&lt;0, Effort!D243, 0)</f>
        <v>-23.295327937054221</v>
      </c>
      <c r="E243" s="634">
        <f>IF(PCS!I249&lt;0, 0, PCS!F249/Aide!C243)</f>
        <v>4.0360105759430676</v>
      </c>
      <c r="F243" s="634">
        <f>Effort!G243</f>
        <v>-6.9445202100661199</v>
      </c>
      <c r="G243" s="635">
        <f t="shared" si="9"/>
        <v>-12.314797151045035</v>
      </c>
      <c r="H243" s="149">
        <f t="shared" si="10"/>
        <v>-2.3147971510450347</v>
      </c>
      <c r="I243" s="41">
        <f t="shared" si="11"/>
        <v>580232.14345851296</v>
      </c>
      <c r="J243" s="28"/>
    </row>
    <row r="244" spans="1:10" x14ac:dyDescent="0.25">
      <c r="A244" s="37">
        <f>Données!A244</f>
        <v>5827</v>
      </c>
      <c r="B244" s="125" t="str">
        <f>Données!B244</f>
        <v>Trey</v>
      </c>
      <c r="C244" s="247">
        <f>VPI!R244</f>
        <v>8694.454487179486</v>
      </c>
      <c r="D244" s="633">
        <f>Effort!I244-IF(PCS!I250&lt;0, Effort!D244, 0)</f>
        <v>1.8154870834402672</v>
      </c>
      <c r="E244" s="634">
        <f>IF(PCS!I250&lt;0, 0, PCS!F250/Aide!C244)</f>
        <v>2.8636903024466895</v>
      </c>
      <c r="F244" s="634">
        <f>Effort!G244</f>
        <v>-3.8574200227219704</v>
      </c>
      <c r="G244" s="635">
        <f t="shared" si="9"/>
        <v>8.5365974086089267</v>
      </c>
      <c r="H244" s="149">
        <f t="shared" si="10"/>
        <v>0</v>
      </c>
      <c r="I244" s="41">
        <f t="shared" si="11"/>
        <v>0</v>
      </c>
      <c r="J244" s="28"/>
    </row>
    <row r="245" spans="1:10" x14ac:dyDescent="0.25">
      <c r="A245" s="37">
        <f>Données!A245</f>
        <v>5828</v>
      </c>
      <c r="B245" s="125" t="str">
        <f>Données!B245</f>
        <v>Treytorrens (Payerne)</v>
      </c>
      <c r="C245" s="247">
        <f>VPI!R245</f>
        <v>2843.8202453987728</v>
      </c>
      <c r="D245" s="633">
        <f>Effort!I245-IF(PCS!I251&lt;0, Effort!D245, 0)</f>
        <v>-10.28123546044144</v>
      </c>
      <c r="E245" s="634">
        <f>IF(PCS!I251&lt;0, 0, PCS!F251/Aide!C245)</f>
        <v>1.5775698225859236</v>
      </c>
      <c r="F245" s="634">
        <f>Effort!G245</f>
        <v>-11.547280764457341</v>
      </c>
      <c r="G245" s="635">
        <f t="shared" si="9"/>
        <v>2.8436151266018239</v>
      </c>
      <c r="H245" s="149">
        <f t="shared" si="10"/>
        <v>0</v>
      </c>
      <c r="I245" s="41">
        <f t="shared" si="11"/>
        <v>0</v>
      </c>
      <c r="J245" s="28"/>
    </row>
    <row r="246" spans="1:10" x14ac:dyDescent="0.25">
      <c r="A246" s="37">
        <f>Données!A246</f>
        <v>5830</v>
      </c>
      <c r="B246" s="125" t="str">
        <f>Données!B246</f>
        <v>Villarzel</v>
      </c>
      <c r="C246" s="247">
        <f>VPI!R246</f>
        <v>15008.365333333331</v>
      </c>
      <c r="D246" s="633">
        <f>Effort!I246-IF(PCS!I252&lt;0, Effort!D246, 0)</f>
        <v>4.2457353648066061</v>
      </c>
      <c r="E246" s="634">
        <f>IF(PCS!I252&lt;0, 0, PCS!F252/Aide!C246)</f>
        <v>4.8682766828526036</v>
      </c>
      <c r="F246" s="634">
        <f>Effort!G246</f>
        <v>-5.0330770895920693</v>
      </c>
      <c r="G246" s="635">
        <f t="shared" si="9"/>
        <v>14.147089137251278</v>
      </c>
      <c r="H246" s="149">
        <f t="shared" si="10"/>
        <v>0</v>
      </c>
      <c r="I246" s="41">
        <f t="shared" si="11"/>
        <v>0</v>
      </c>
      <c r="J246" s="28"/>
    </row>
    <row r="247" spans="1:10" x14ac:dyDescent="0.25">
      <c r="A247" s="37">
        <f>Données!A247</f>
        <v>5831</v>
      </c>
      <c r="B247" s="125" t="str">
        <f>Données!B247</f>
        <v>Valbroye</v>
      </c>
      <c r="C247" s="247">
        <f>VPI!R247</f>
        <v>87116.396643026019</v>
      </c>
      <c r="D247" s="633">
        <f>Effort!I247-IF(PCS!I253&lt;0, Effort!D247, 0)</f>
        <v>-9.8749179310519359</v>
      </c>
      <c r="E247" s="634">
        <f>IF(PCS!I253&lt;0, 0, PCS!F253/Aide!C247)</f>
        <v>14.239524335276856</v>
      </c>
      <c r="F247" s="634">
        <f>Effort!G247</f>
        <v>-8.5342791195542631</v>
      </c>
      <c r="G247" s="635">
        <f t="shared" si="9"/>
        <v>12.898885523779184</v>
      </c>
      <c r="H247" s="149">
        <f t="shared" si="10"/>
        <v>0</v>
      </c>
      <c r="I247" s="41">
        <f t="shared" si="11"/>
        <v>0</v>
      </c>
      <c r="J247" s="28"/>
    </row>
    <row r="248" spans="1:10" x14ac:dyDescent="0.25">
      <c r="A248" s="37">
        <f>Données!A248</f>
        <v>5841</v>
      </c>
      <c r="B248" s="125" t="str">
        <f>Données!B248</f>
        <v>Château-d'Oex</v>
      </c>
      <c r="C248" s="247">
        <f>VPI!R248</f>
        <v>123941.3219631902</v>
      </c>
      <c r="D248" s="633">
        <f>Effort!I248-IF(PCS!I254&lt;0, Effort!D248, 0)</f>
        <v>-11.172128480563117</v>
      </c>
      <c r="E248" s="634">
        <f>IF(PCS!I254&lt;0, 0, PCS!F254/Aide!C248)</f>
        <v>6.9640151591762418</v>
      </c>
      <c r="F248" s="634">
        <f>Effort!G248</f>
        <v>-19.357928920067078</v>
      </c>
      <c r="G248" s="635">
        <f t="shared" si="9"/>
        <v>15.149815598680203</v>
      </c>
      <c r="H248" s="149">
        <f t="shared" si="10"/>
        <v>0</v>
      </c>
      <c r="I248" s="41">
        <f t="shared" si="11"/>
        <v>0</v>
      </c>
      <c r="J248" s="28"/>
    </row>
    <row r="249" spans="1:10" x14ac:dyDescent="0.25">
      <c r="A249" s="37">
        <f>Données!A249</f>
        <v>5842</v>
      </c>
      <c r="B249" s="125" t="str">
        <f>Données!B249</f>
        <v>Rossinière</v>
      </c>
      <c r="C249" s="247">
        <f>VPI!R249</f>
        <v>15883.310411522634</v>
      </c>
      <c r="D249" s="633">
        <f>Effort!I249-IF(PCS!I255&lt;0, Effort!D249, 0)</f>
        <v>-16.805863752245084</v>
      </c>
      <c r="E249" s="634">
        <f>IF(PCS!I255&lt;0, 0, PCS!F255/Aide!C249)</f>
        <v>23.746762496461365</v>
      </c>
      <c r="F249" s="634">
        <f>Effort!G249</f>
        <v>-28.347181349166796</v>
      </c>
      <c r="G249" s="635">
        <f t="shared" si="9"/>
        <v>35.288080093383073</v>
      </c>
      <c r="H249" s="149">
        <f t="shared" si="10"/>
        <v>0</v>
      </c>
      <c r="I249" s="41">
        <f t="shared" si="11"/>
        <v>0</v>
      </c>
      <c r="J249" s="28"/>
    </row>
    <row r="250" spans="1:10" x14ac:dyDescent="0.25">
      <c r="A250" s="37">
        <f>Données!A250</f>
        <v>5843</v>
      </c>
      <c r="B250" s="125" t="str">
        <f>Données!B250</f>
        <v>Rougemont</v>
      </c>
      <c r="C250" s="247">
        <f>VPI!R250</f>
        <v>87174.419831223626</v>
      </c>
      <c r="D250" s="633">
        <f>Effort!I250-IF(PCS!I256&lt;0, Effort!D250, 0)</f>
        <v>41.64033279524547</v>
      </c>
      <c r="E250" s="634">
        <f>IF(PCS!I256&lt;0, 0, PCS!F256/Aide!C250)</f>
        <v>7.7573116782337177</v>
      </c>
      <c r="F250" s="634">
        <f>Effort!G250</f>
        <v>-2.6495210060864722</v>
      </c>
      <c r="G250" s="635">
        <f t="shared" si="9"/>
        <v>52.047165479565663</v>
      </c>
      <c r="H250" s="149">
        <f t="shared" si="10"/>
        <v>0</v>
      </c>
      <c r="I250" s="41">
        <f t="shared" si="11"/>
        <v>0</v>
      </c>
      <c r="J250" s="28"/>
    </row>
    <row r="251" spans="1:10" x14ac:dyDescent="0.25">
      <c r="A251" s="37">
        <f>Données!A251</f>
        <v>5851</v>
      </c>
      <c r="B251" s="125" t="str">
        <f>Données!B251</f>
        <v>Allaman</v>
      </c>
      <c r="C251" s="247">
        <f>VPI!R251</f>
        <v>27728.701333333334</v>
      </c>
      <c r="D251" s="633">
        <f>Effort!I251-IF(PCS!I257&lt;0, Effort!D251, 0)</f>
        <v>31.984358327412735</v>
      </c>
      <c r="E251" s="634">
        <f>IF(PCS!I257&lt;0, 0, PCS!F257/Aide!C251)</f>
        <v>1.7610518218283189</v>
      </c>
      <c r="F251" s="634">
        <f>Effort!G251</f>
        <v>0</v>
      </c>
      <c r="G251" s="635">
        <f t="shared" si="9"/>
        <v>33.745410149241053</v>
      </c>
      <c r="H251" s="149">
        <f t="shared" si="10"/>
        <v>0</v>
      </c>
      <c r="I251" s="41">
        <f t="shared" si="11"/>
        <v>0</v>
      </c>
      <c r="J251" s="28"/>
    </row>
    <row r="252" spans="1:10" x14ac:dyDescent="0.25">
      <c r="A252" s="37">
        <f>Données!A252</f>
        <v>5852</v>
      </c>
      <c r="B252" s="125" t="str">
        <f>Données!B252</f>
        <v>Bursinel</v>
      </c>
      <c r="C252" s="247">
        <f>VPI!R252</f>
        <v>42943.776182795707</v>
      </c>
      <c r="D252" s="633">
        <f>Effort!I252-IF(PCS!I258&lt;0, Effort!D252, 0)</f>
        <v>35.852239950251899</v>
      </c>
      <c r="E252" s="634">
        <f>IF(PCS!I258&lt;0, 0, PCS!F258/Aide!C252)</f>
        <v>1.6401505936550038</v>
      </c>
      <c r="F252" s="634">
        <f>Effort!G252</f>
        <v>0</v>
      </c>
      <c r="G252" s="635">
        <f t="shared" si="9"/>
        <v>37.4923905439069</v>
      </c>
      <c r="H252" s="149">
        <f t="shared" si="10"/>
        <v>0</v>
      </c>
      <c r="I252" s="41">
        <f t="shared" si="11"/>
        <v>0</v>
      </c>
      <c r="J252" s="28"/>
    </row>
    <row r="253" spans="1:10" x14ac:dyDescent="0.25">
      <c r="A253" s="37">
        <f>Données!A253</f>
        <v>5853</v>
      </c>
      <c r="B253" s="125" t="str">
        <f>Données!B253</f>
        <v>Bursins</v>
      </c>
      <c r="C253" s="247">
        <f>VPI!R253</f>
        <v>44996.737042253524</v>
      </c>
      <c r="D253" s="633">
        <f>Effort!I253-IF(PCS!I259&lt;0, Effort!D253, 0)</f>
        <v>28.828972526763735</v>
      </c>
      <c r="E253" s="634">
        <f>IF(PCS!I259&lt;0, 0, PCS!F259/Aide!C253)</f>
        <v>1.938846919457224</v>
      </c>
      <c r="F253" s="634">
        <f>Effort!G253</f>
        <v>-0.58751154614579559</v>
      </c>
      <c r="G253" s="635">
        <f t="shared" si="9"/>
        <v>31.355330992366753</v>
      </c>
      <c r="H253" s="149">
        <f t="shared" si="10"/>
        <v>0</v>
      </c>
      <c r="I253" s="41">
        <f t="shared" si="11"/>
        <v>0</v>
      </c>
      <c r="J253" s="28"/>
    </row>
    <row r="254" spans="1:10" x14ac:dyDescent="0.25">
      <c r="A254" s="37">
        <f>Données!A254</f>
        <v>5854</v>
      </c>
      <c r="B254" s="125" t="str">
        <f>Données!B254</f>
        <v>Burtigny</v>
      </c>
      <c r="C254" s="247">
        <f>VPI!R254</f>
        <v>16635.489777777777</v>
      </c>
      <c r="D254" s="633">
        <f>Effort!I254-IF(PCS!I260&lt;0, Effort!D254, 0)</f>
        <v>22.599031460518368</v>
      </c>
      <c r="E254" s="634">
        <f>IF(PCS!I260&lt;0, 0, PCS!F260/Aide!C254)</f>
        <v>4.707234415460686</v>
      </c>
      <c r="F254" s="634">
        <f>Effort!G254</f>
        <v>-0.2618721298116673</v>
      </c>
      <c r="G254" s="635">
        <f t="shared" si="9"/>
        <v>27.568138005790722</v>
      </c>
      <c r="H254" s="149">
        <f t="shared" si="10"/>
        <v>0</v>
      </c>
      <c r="I254" s="41">
        <f t="shared" si="11"/>
        <v>0</v>
      </c>
      <c r="J254" s="28"/>
    </row>
    <row r="255" spans="1:10" x14ac:dyDescent="0.25">
      <c r="A255" s="37">
        <f>Données!A255</f>
        <v>5855</v>
      </c>
      <c r="B255" s="125" t="str">
        <f>Données!B255</f>
        <v>Dully</v>
      </c>
      <c r="C255" s="247">
        <f>VPI!R255</f>
        <v>98996.558301886791</v>
      </c>
      <c r="D255" s="633">
        <f>Effort!I255-IF(PCS!I261&lt;0, Effort!D255, 0)</f>
        <v>45.460330034390473</v>
      </c>
      <c r="E255" s="634">
        <f>IF(PCS!I261&lt;0, 0, PCS!F261/Aide!C255)</f>
        <v>0.52873580554570032</v>
      </c>
      <c r="F255" s="634">
        <f>Effort!G255</f>
        <v>0</v>
      </c>
      <c r="G255" s="635">
        <f t="shared" si="9"/>
        <v>45.989065839936174</v>
      </c>
      <c r="H255" s="149">
        <f t="shared" si="10"/>
        <v>0</v>
      </c>
      <c r="I255" s="41">
        <f t="shared" si="11"/>
        <v>0</v>
      </c>
      <c r="J255" s="28"/>
    </row>
    <row r="256" spans="1:10" x14ac:dyDescent="0.25">
      <c r="A256" s="37">
        <f>Données!A256</f>
        <v>5856</v>
      </c>
      <c r="B256" s="125" t="str">
        <f>Données!B256</f>
        <v>Essertines-sur-Rolle</v>
      </c>
      <c r="C256" s="247">
        <f>VPI!R256</f>
        <v>36628.421873915555</v>
      </c>
      <c r="D256" s="633">
        <f>Effort!I256-IF(PCS!I262&lt;0, Effort!D256, 0)</f>
        <v>26.450168016354027</v>
      </c>
      <c r="E256" s="634">
        <f>IF(PCS!I262&lt;0, 0, PCS!F262/Aide!C256)</f>
        <v>4.0299580885061062</v>
      </c>
      <c r="F256" s="634">
        <f>Effort!G256</f>
        <v>0</v>
      </c>
      <c r="G256" s="635">
        <f t="shared" si="9"/>
        <v>30.480126104860133</v>
      </c>
      <c r="H256" s="149">
        <f t="shared" si="10"/>
        <v>0</v>
      </c>
      <c r="I256" s="41">
        <f t="shared" si="11"/>
        <v>0</v>
      </c>
      <c r="J256" s="28"/>
    </row>
    <row r="257" spans="1:10" x14ac:dyDescent="0.25">
      <c r="A257" s="37">
        <f>Données!A257</f>
        <v>5857</v>
      </c>
      <c r="B257" s="125" t="str">
        <f>Données!B257</f>
        <v>Gilly</v>
      </c>
      <c r="C257" s="247">
        <f>VPI!R257</f>
        <v>96678.753643410862</v>
      </c>
      <c r="D257" s="633">
        <f>Effort!I257-IF(PCS!I263&lt;0, Effort!D257, 0)</f>
        <v>31.568223668616767</v>
      </c>
      <c r="E257" s="634">
        <f>IF(PCS!I263&lt;0, 0, PCS!F263/Aide!C257)</f>
        <v>2.4526103829862582</v>
      </c>
      <c r="F257" s="634">
        <f>Effort!G257</f>
        <v>0</v>
      </c>
      <c r="G257" s="635">
        <f t="shared" si="9"/>
        <v>34.020834051603025</v>
      </c>
      <c r="H257" s="149">
        <f t="shared" si="10"/>
        <v>0</v>
      </c>
      <c r="I257" s="41">
        <f t="shared" si="11"/>
        <v>0</v>
      </c>
      <c r="J257" s="28"/>
    </row>
    <row r="258" spans="1:10" x14ac:dyDescent="0.25">
      <c r="A258" s="37">
        <f>Données!A258</f>
        <v>5858</v>
      </c>
      <c r="B258" s="125" t="str">
        <f>Données!B258</f>
        <v>Luins</v>
      </c>
      <c r="C258" s="247">
        <f>VPI!R258</f>
        <v>41203.097378917373</v>
      </c>
      <c r="D258" s="633">
        <f>Effort!I258-IF(PCS!I264&lt;0, Effort!D258, 0)</f>
        <v>31.696643603092387</v>
      </c>
      <c r="E258" s="634">
        <f>IF(PCS!I264&lt;0, 0, PCS!F264/Aide!C258)</f>
        <v>0.92576025654608818</v>
      </c>
      <c r="F258" s="634">
        <f>Effort!G258</f>
        <v>0</v>
      </c>
      <c r="G258" s="635">
        <f t="shared" si="9"/>
        <v>32.622403859638474</v>
      </c>
      <c r="H258" s="149">
        <f t="shared" si="10"/>
        <v>0</v>
      </c>
      <c r="I258" s="41">
        <f t="shared" si="11"/>
        <v>0</v>
      </c>
      <c r="J258" s="28"/>
    </row>
    <row r="259" spans="1:10" x14ac:dyDescent="0.25">
      <c r="A259" s="37">
        <f>Données!A259</f>
        <v>5859</v>
      </c>
      <c r="B259" s="125" t="str">
        <f>Données!B259</f>
        <v>Mont-sur-Rolle</v>
      </c>
      <c r="C259" s="247">
        <f>VPI!R259</f>
        <v>175152.20519685047</v>
      </c>
      <c r="D259" s="633">
        <f>Effort!I259-IF(PCS!I265&lt;0, Effort!D259, 0)</f>
        <v>29.30180025740874</v>
      </c>
      <c r="E259" s="634">
        <f>IF(PCS!I265&lt;0, 0, PCS!F265/Aide!C259)</f>
        <v>3.4739116148504032</v>
      </c>
      <c r="F259" s="634">
        <f>Effort!G259</f>
        <v>0</v>
      </c>
      <c r="G259" s="635">
        <f t="shared" si="9"/>
        <v>32.775711872259144</v>
      </c>
      <c r="H259" s="149">
        <f t="shared" si="10"/>
        <v>0</v>
      </c>
      <c r="I259" s="41">
        <f t="shared" si="11"/>
        <v>0</v>
      </c>
      <c r="J259" s="28"/>
    </row>
    <row r="260" spans="1:10" x14ac:dyDescent="0.25">
      <c r="A260" s="37">
        <f>Données!A260</f>
        <v>5860</v>
      </c>
      <c r="B260" s="125" t="str">
        <f>Données!B260</f>
        <v>Perroy</v>
      </c>
      <c r="C260" s="247">
        <f>VPI!R260</f>
        <v>114833.15061143985</v>
      </c>
      <c r="D260" s="633">
        <f>Effort!I260-IF(PCS!I266&lt;0, Effort!D260, 0)</f>
        <v>32.214133813757996</v>
      </c>
      <c r="E260" s="634">
        <f>IF(PCS!I266&lt;0, 0, PCS!F266/Aide!C260)</f>
        <v>2.3855630411720981</v>
      </c>
      <c r="F260" s="634">
        <f>Effort!G260</f>
        <v>0</v>
      </c>
      <c r="G260" s="635">
        <f t="shared" si="9"/>
        <v>34.599696854930095</v>
      </c>
      <c r="H260" s="149">
        <f t="shared" si="10"/>
        <v>0</v>
      </c>
      <c r="I260" s="41">
        <f t="shared" si="11"/>
        <v>0</v>
      </c>
      <c r="J260" s="28"/>
    </row>
    <row r="261" spans="1:10" x14ac:dyDescent="0.25">
      <c r="A261" s="37">
        <f>Données!A261</f>
        <v>5861</v>
      </c>
      <c r="B261" s="125" t="str">
        <f>Données!B261</f>
        <v>Rolle</v>
      </c>
      <c r="C261" s="247">
        <f>VPI!R261</f>
        <v>1001631.7391596638</v>
      </c>
      <c r="D261" s="633">
        <f>Effort!I261-IF(PCS!I267&lt;0, Effort!D261, 0)</f>
        <v>44.625229340723287</v>
      </c>
      <c r="E261" s="634">
        <f>IF(PCS!I267&lt;0, 0, PCS!F267/Aide!C261)</f>
        <v>1.4242040105446441</v>
      </c>
      <c r="F261" s="634">
        <f>Effort!G261</f>
        <v>0</v>
      </c>
      <c r="G261" s="635">
        <f t="shared" si="9"/>
        <v>46.049433351267929</v>
      </c>
      <c r="H261" s="149">
        <f t="shared" si="10"/>
        <v>0</v>
      </c>
      <c r="I261" s="41">
        <f t="shared" si="11"/>
        <v>0</v>
      </c>
      <c r="J261" s="28"/>
    </row>
    <row r="262" spans="1:10" x14ac:dyDescent="0.25">
      <c r="A262" s="37">
        <f>Données!A262</f>
        <v>5862</v>
      </c>
      <c r="B262" s="125" t="str">
        <f>Données!B262</f>
        <v>Tartegnin</v>
      </c>
      <c r="C262" s="247">
        <f>VPI!R262</f>
        <v>12378.270379746835</v>
      </c>
      <c r="D262" s="633">
        <f>Effort!I262-IF(PCS!I268&lt;0, Effort!D262, 0)</f>
        <v>28.727431079815315</v>
      </c>
      <c r="E262" s="634">
        <f>IF(PCS!I268&lt;0, 0, PCS!F268/Aide!C262)</f>
        <v>1.3738959061538791</v>
      </c>
      <c r="F262" s="634">
        <f>Effort!G262</f>
        <v>0</v>
      </c>
      <c r="G262" s="635">
        <f t="shared" si="9"/>
        <v>30.101326985969195</v>
      </c>
      <c r="H262" s="149">
        <f t="shared" si="10"/>
        <v>0</v>
      </c>
      <c r="I262" s="41">
        <f t="shared" si="11"/>
        <v>0</v>
      </c>
      <c r="J262" s="28"/>
    </row>
    <row r="263" spans="1:10" x14ac:dyDescent="0.25">
      <c r="A263" s="37">
        <f>Données!A263</f>
        <v>5863</v>
      </c>
      <c r="B263" s="125" t="str">
        <f>Données!B263</f>
        <v>Vinzel</v>
      </c>
      <c r="C263" s="247">
        <f>VPI!R263</f>
        <v>20119.523999999998</v>
      </c>
      <c r="D263" s="633">
        <f>Effort!I263-IF(PCS!I269&lt;0, Effort!D263, 0)</f>
        <v>28.611276433349627</v>
      </c>
      <c r="E263" s="634">
        <f>IF(PCS!I269&lt;0, 0, PCS!F269/Aide!C263)</f>
        <v>2.8716832465817785</v>
      </c>
      <c r="F263" s="634">
        <f>Effort!G263</f>
        <v>0</v>
      </c>
      <c r="G263" s="635">
        <f t="shared" ref="G263:G305" si="12">D263+E263-F263</f>
        <v>31.482959679931405</v>
      </c>
      <c r="H263" s="149">
        <f t="shared" ref="H263:H305" si="13">IF(G263&lt;H$5,G263-H$5,0)</f>
        <v>0</v>
      </c>
      <c r="I263" s="41">
        <f t="shared" ref="I263:I305" si="14">-H263*C263</f>
        <v>0</v>
      </c>
      <c r="J263" s="28"/>
    </row>
    <row r="264" spans="1:10" x14ac:dyDescent="0.25">
      <c r="A264" s="37">
        <f>Données!A264</f>
        <v>5871</v>
      </c>
      <c r="B264" s="125" t="str">
        <f>Données!B264</f>
        <v>L'Abbaye</v>
      </c>
      <c r="C264" s="247">
        <f>VPI!R264</f>
        <v>50137.027069032512</v>
      </c>
      <c r="D264" s="633">
        <f>Effort!I264-IF(PCS!I270&lt;0, Effort!D264, 0)</f>
        <v>6.3028089694607523</v>
      </c>
      <c r="E264" s="634">
        <f>IF(PCS!I270&lt;0, 0, PCS!F270/Aide!C264)</f>
        <v>7.1398978145855141</v>
      </c>
      <c r="F264" s="634">
        <f>Effort!G264</f>
        <v>-5.0174412012261387</v>
      </c>
      <c r="G264" s="635">
        <f t="shared" si="12"/>
        <v>18.460147985272403</v>
      </c>
      <c r="H264" s="149">
        <f t="shared" si="13"/>
        <v>0</v>
      </c>
      <c r="I264" s="41">
        <f t="shared" si="14"/>
        <v>0</v>
      </c>
      <c r="J264" s="28"/>
    </row>
    <row r="265" spans="1:10" x14ac:dyDescent="0.25">
      <c r="A265" s="37">
        <f>Données!A265</f>
        <v>5872</v>
      </c>
      <c r="B265" s="125" t="str">
        <f>Données!B265</f>
        <v>Le Chenit</v>
      </c>
      <c r="C265" s="247">
        <f>VPI!R265</f>
        <v>359580.06573194644</v>
      </c>
      <c r="D265" s="633">
        <f>Effort!I265-IF(PCS!I271&lt;0, Effort!D265, 0)</f>
        <v>30.959546820769269</v>
      </c>
      <c r="E265" s="634">
        <f>IF(PCS!I271&lt;0, 0, PCS!F271/Aide!C265)</f>
        <v>6.8088499428250744</v>
      </c>
      <c r="F265" s="634">
        <f>Effort!G265</f>
        <v>-0.57245993893315206</v>
      </c>
      <c r="G265" s="635">
        <f t="shared" si="12"/>
        <v>38.340856702527496</v>
      </c>
      <c r="H265" s="149">
        <f t="shared" si="13"/>
        <v>0</v>
      </c>
      <c r="I265" s="41">
        <f t="shared" si="14"/>
        <v>0</v>
      </c>
      <c r="J265" s="28"/>
    </row>
    <row r="266" spans="1:10" x14ac:dyDescent="0.25">
      <c r="A266" s="37">
        <f>Données!A266</f>
        <v>5873</v>
      </c>
      <c r="B266" s="125" t="str">
        <f>Données!B266</f>
        <v>Le Lieu</v>
      </c>
      <c r="C266" s="247">
        <f>VPI!R266</f>
        <v>31550.524000000001</v>
      </c>
      <c r="D266" s="633">
        <f>Effort!I266-IF(PCS!I272&lt;0, Effort!D266, 0)</f>
        <v>-31.864363716415351</v>
      </c>
      <c r="E266" s="634">
        <f>IF(PCS!I272&lt;0, 0, PCS!F272/Aide!C266)</f>
        <v>14.32791100395036</v>
      </c>
      <c r="F266" s="634">
        <f>Effort!G266</f>
        <v>-49.522260952696058</v>
      </c>
      <c r="G266" s="635">
        <f t="shared" si="12"/>
        <v>31.985808240231066</v>
      </c>
      <c r="H266" s="149">
        <f t="shared" si="13"/>
        <v>0</v>
      </c>
      <c r="I266" s="41">
        <f t="shared" si="14"/>
        <v>0</v>
      </c>
      <c r="J266" s="28"/>
    </row>
    <row r="267" spans="1:10" x14ac:dyDescent="0.25">
      <c r="A267" s="37">
        <f>Données!A267</f>
        <v>5882</v>
      </c>
      <c r="B267" s="125" t="str">
        <f>Données!B267</f>
        <v>Chardonne</v>
      </c>
      <c r="C267" s="247">
        <f>VPI!R267</f>
        <v>202050.46544117649</v>
      </c>
      <c r="D267" s="633">
        <f>Effort!I267-IF(PCS!I273&lt;0, Effort!D267, 0)</f>
        <v>26.455387212616948</v>
      </c>
      <c r="E267" s="634">
        <f>IF(PCS!I273&lt;0, 0, PCS!F273/Aide!C267)</f>
        <v>3.341303983269206</v>
      </c>
      <c r="F267" s="634">
        <f>Effort!G267</f>
        <v>-1.3973925056480319</v>
      </c>
      <c r="G267" s="635">
        <f t="shared" si="12"/>
        <v>31.194083701534186</v>
      </c>
      <c r="H267" s="149">
        <f t="shared" si="13"/>
        <v>0</v>
      </c>
      <c r="I267" s="41">
        <f t="shared" si="14"/>
        <v>0</v>
      </c>
      <c r="J267" s="28"/>
    </row>
    <row r="268" spans="1:10" x14ac:dyDescent="0.25">
      <c r="A268" s="37">
        <f>Données!A268</f>
        <v>5883</v>
      </c>
      <c r="B268" s="125" t="str">
        <f>Données!B268</f>
        <v>Corseaux</v>
      </c>
      <c r="C268" s="247">
        <f>VPI!R268</f>
        <v>187748.47585185184</v>
      </c>
      <c r="D268" s="633">
        <f>Effort!I268-IF(PCS!I274&lt;0, Effort!D268, 0)</f>
        <v>34.728977607889178</v>
      </c>
      <c r="E268" s="634">
        <f>IF(PCS!I274&lt;0, 0, PCS!F274/Aide!C268)</f>
        <v>2.680840591202251</v>
      </c>
      <c r="F268" s="634">
        <f>Effort!G268</f>
        <v>0</v>
      </c>
      <c r="G268" s="635">
        <f t="shared" si="12"/>
        <v>37.409818199091426</v>
      </c>
      <c r="H268" s="149">
        <f t="shared" si="13"/>
        <v>0</v>
      </c>
      <c r="I268" s="41">
        <f t="shared" si="14"/>
        <v>0</v>
      </c>
      <c r="J268" s="28"/>
    </row>
    <row r="269" spans="1:10" x14ac:dyDescent="0.25">
      <c r="A269" s="37">
        <f>Données!A269</f>
        <v>5884</v>
      </c>
      <c r="B269" s="125" t="str">
        <f>Données!B269</f>
        <v>Corsier-sur-Vevey</v>
      </c>
      <c r="C269" s="247">
        <f>VPI!R269</f>
        <v>160309.28653746771</v>
      </c>
      <c r="D269" s="633">
        <f>Effort!I269-IF(PCS!I275&lt;0, Effort!D269, 0)</f>
        <v>14.697647439467101</v>
      </c>
      <c r="E269" s="634">
        <f>IF(PCS!I275&lt;0, 0, PCS!F275/Aide!C269)</f>
        <v>3.7427169252591552</v>
      </c>
      <c r="F269" s="634">
        <f>Effort!G269</f>
        <v>-8.2656572191055648</v>
      </c>
      <c r="G269" s="635">
        <f t="shared" si="12"/>
        <v>26.70602158383182</v>
      </c>
      <c r="H269" s="149">
        <f t="shared" si="13"/>
        <v>0</v>
      </c>
      <c r="I269" s="41">
        <f t="shared" si="14"/>
        <v>0</v>
      </c>
      <c r="J269" s="28"/>
    </row>
    <row r="270" spans="1:10" x14ac:dyDescent="0.25">
      <c r="A270" s="37">
        <f>Données!A270</f>
        <v>5885</v>
      </c>
      <c r="B270" s="125" t="str">
        <f>Données!B270</f>
        <v>Jongny</v>
      </c>
      <c r="C270" s="247">
        <f>VPI!R270</f>
        <v>105153.24390887292</v>
      </c>
      <c r="D270" s="633">
        <f>Effort!I270-IF(PCS!I276&lt;0, Effort!D270, 0)</f>
        <v>26.06352022321181</v>
      </c>
      <c r="E270" s="634">
        <f>IF(PCS!I276&lt;0, 0, PCS!F276/Aide!C270)</f>
        <v>3.0584468728202747</v>
      </c>
      <c r="F270" s="634">
        <f>Effort!G270</f>
        <v>-1.2868783806779016</v>
      </c>
      <c r="G270" s="635">
        <f t="shared" si="12"/>
        <v>30.408845476709988</v>
      </c>
      <c r="H270" s="149">
        <f t="shared" si="13"/>
        <v>0</v>
      </c>
      <c r="I270" s="41">
        <f t="shared" si="14"/>
        <v>0</v>
      </c>
      <c r="J270" s="28"/>
    </row>
    <row r="271" spans="1:10" x14ac:dyDescent="0.25">
      <c r="A271" s="37">
        <f>Données!A271</f>
        <v>5886</v>
      </c>
      <c r="B271" s="125" t="str">
        <f>Données!B271</f>
        <v>Montreux</v>
      </c>
      <c r="C271" s="247">
        <f>VPI!R271</f>
        <v>1120945.0450256411</v>
      </c>
      <c r="D271" s="633">
        <f>Effort!I271-IF(PCS!I277&lt;0, Effort!D271, 0)</f>
        <v>0.11186436262189048</v>
      </c>
      <c r="E271" s="634">
        <f>IF(PCS!I277&lt;0, 0, PCS!F277/Aide!C271)</f>
        <v>14.725429291337313</v>
      </c>
      <c r="F271" s="634">
        <f>Effort!G271</f>
        <v>-5.9497610753000467</v>
      </c>
      <c r="G271" s="635">
        <f t="shared" si="12"/>
        <v>20.78705472925925</v>
      </c>
      <c r="H271" s="149">
        <f t="shared" si="13"/>
        <v>0</v>
      </c>
      <c r="I271" s="41">
        <f t="shared" si="14"/>
        <v>0</v>
      </c>
      <c r="J271" s="28"/>
    </row>
    <row r="272" spans="1:10" x14ac:dyDescent="0.25">
      <c r="A272" s="37">
        <f>Données!A272</f>
        <v>5889</v>
      </c>
      <c r="B272" s="125" t="str">
        <f>Données!B272</f>
        <v>La Tour-de-Peilz</v>
      </c>
      <c r="C272" s="247">
        <f>VPI!R272</f>
        <v>728841.71013020864</v>
      </c>
      <c r="D272" s="633">
        <f>Effort!I272-IF(PCS!I278&lt;0, Effort!D272, 0)</f>
        <v>19.792426182083531</v>
      </c>
      <c r="E272" s="634">
        <f>IF(PCS!I278&lt;0, 0, PCS!F278/Aide!C272)</f>
        <v>5.0764916285306958</v>
      </c>
      <c r="F272" s="634">
        <f>Effort!G272</f>
        <v>-1.3578120030941996</v>
      </c>
      <c r="G272" s="635">
        <f t="shared" si="12"/>
        <v>26.226729813708427</v>
      </c>
      <c r="H272" s="149">
        <f t="shared" si="13"/>
        <v>0</v>
      </c>
      <c r="I272" s="41">
        <f t="shared" si="14"/>
        <v>0</v>
      </c>
      <c r="J272" s="28"/>
    </row>
    <row r="273" spans="1:10" x14ac:dyDescent="0.25">
      <c r="A273" s="37">
        <f>Données!A273</f>
        <v>5890</v>
      </c>
      <c r="B273" s="125" t="str">
        <f>Données!B273</f>
        <v>Vevey</v>
      </c>
      <c r="C273" s="247">
        <f>VPI!R273</f>
        <v>1064325.313736018</v>
      </c>
      <c r="D273" s="633">
        <f>Effort!I273-IF(PCS!I279&lt;0, Effort!D273, 0)</f>
        <v>13.496460222449899</v>
      </c>
      <c r="E273" s="634">
        <f>IF(PCS!I279&lt;0, 0, PCS!F279/Aide!C273)</f>
        <v>2.1893510141373462</v>
      </c>
      <c r="F273" s="634">
        <f>Effort!G273</f>
        <v>-2.8089754776170159</v>
      </c>
      <c r="G273" s="635">
        <f t="shared" si="12"/>
        <v>18.49478671420426</v>
      </c>
      <c r="H273" s="149">
        <f t="shared" si="13"/>
        <v>0</v>
      </c>
      <c r="I273" s="41">
        <f t="shared" si="14"/>
        <v>0</v>
      </c>
      <c r="J273" s="28"/>
    </row>
    <row r="274" spans="1:10" x14ac:dyDescent="0.25">
      <c r="A274" s="37">
        <f>Données!A274</f>
        <v>5891</v>
      </c>
      <c r="B274" s="125" t="str">
        <f>Données!B274</f>
        <v>Veytaux</v>
      </c>
      <c r="C274" s="247">
        <f>VPI!R274</f>
        <v>41068.156987654322</v>
      </c>
      <c r="D274" s="633">
        <f>Effort!I274-IF(PCS!I280&lt;0, Effort!D274, 0)</f>
        <v>7.5559606946357647</v>
      </c>
      <c r="E274" s="634">
        <f>IF(PCS!I280&lt;0, 0, PCS!F280/Aide!C274)</f>
        <v>3.3345377549123305</v>
      </c>
      <c r="F274" s="634">
        <f>Effort!G274</f>
        <v>-14.580521672261979</v>
      </c>
      <c r="G274" s="635">
        <f t="shared" si="12"/>
        <v>25.471020121810074</v>
      </c>
      <c r="H274" s="149">
        <f t="shared" si="13"/>
        <v>0</v>
      </c>
      <c r="I274" s="41">
        <f t="shared" si="14"/>
        <v>0</v>
      </c>
      <c r="J274" s="28"/>
    </row>
    <row r="275" spans="1:10" x14ac:dyDescent="0.25">
      <c r="A275" s="37">
        <f>Données!A275</f>
        <v>5892</v>
      </c>
      <c r="B275" s="125" t="str">
        <f>Données!B275</f>
        <v>Blonay - Saint-Légier</v>
      </c>
      <c r="C275" s="247">
        <f>VPI!R275</f>
        <v>755904.99576642353</v>
      </c>
      <c r="D275" s="633">
        <f>Effort!I275-IF(PCS!I281&lt;0, Effort!D275, 0)</f>
        <v>19.663889990232995</v>
      </c>
      <c r="E275" s="634">
        <f>IF(PCS!I281&lt;0, 0, PCS!F281/Aide!C275)</f>
        <v>4.7832023339573793</v>
      </c>
      <c r="F275" s="634">
        <f>Effort!G275</f>
        <v>-3.3083026787393131</v>
      </c>
      <c r="G275" s="635">
        <f t="shared" si="12"/>
        <v>27.755395002929689</v>
      </c>
      <c r="H275" s="149">
        <f t="shared" si="13"/>
        <v>0</v>
      </c>
      <c r="I275" s="41">
        <f t="shared" si="14"/>
        <v>0</v>
      </c>
      <c r="J275" s="28"/>
    </row>
    <row r="276" spans="1:10" x14ac:dyDescent="0.25">
      <c r="A276" s="37">
        <f>Données!A276</f>
        <v>5902</v>
      </c>
      <c r="B276" s="125" t="str">
        <f>Données!B276</f>
        <v>Belmont-sur-Yverdon</v>
      </c>
      <c r="C276" s="247">
        <f>VPI!R276</f>
        <v>12357.530428571426</v>
      </c>
      <c r="D276" s="633">
        <f>Effort!I276-IF(PCS!I282&lt;0, Effort!D276, 0)</f>
        <v>8.3445514450150071</v>
      </c>
      <c r="E276" s="634">
        <f>IF(PCS!I282&lt;0, 0, PCS!F282/Aide!C276)</f>
        <v>1.1688055379257296</v>
      </c>
      <c r="F276" s="634">
        <f>Effort!G276</f>
        <v>-1.8730731408870827</v>
      </c>
      <c r="G276" s="635">
        <f t="shared" si="12"/>
        <v>11.38643012382782</v>
      </c>
      <c r="H276" s="149">
        <f t="shared" si="13"/>
        <v>0</v>
      </c>
      <c r="I276" s="41">
        <f t="shared" si="14"/>
        <v>0</v>
      </c>
      <c r="J276" s="28"/>
    </row>
    <row r="277" spans="1:10" x14ac:dyDescent="0.25">
      <c r="A277" s="37">
        <f>Données!A277</f>
        <v>5903</v>
      </c>
      <c r="B277" s="125" t="str">
        <f>Données!B277</f>
        <v>Bioley-Magnoux</v>
      </c>
      <c r="C277" s="247">
        <f>VPI!R277</f>
        <v>7020.1331746031747</v>
      </c>
      <c r="D277" s="633">
        <f>Effort!I277-IF(PCS!I283&lt;0, Effort!D277, 0)</f>
        <v>-20.290197394910077</v>
      </c>
      <c r="E277" s="634">
        <f>IF(PCS!I283&lt;0, 0, PCS!F283/Aide!C277)</f>
        <v>4.2224198975649152</v>
      </c>
      <c r="F277" s="634">
        <f>Effort!G277</f>
        <v>-28.900889419932049</v>
      </c>
      <c r="G277" s="635">
        <f t="shared" si="12"/>
        <v>12.833111922586887</v>
      </c>
      <c r="H277" s="149">
        <f t="shared" si="13"/>
        <v>0</v>
      </c>
      <c r="I277" s="41">
        <f t="shared" si="14"/>
        <v>0</v>
      </c>
      <c r="J277" s="28"/>
    </row>
    <row r="278" spans="1:10" x14ac:dyDescent="0.25">
      <c r="A278" s="37">
        <f>Données!A278</f>
        <v>5904</v>
      </c>
      <c r="B278" s="125" t="str">
        <f>Données!B278</f>
        <v>Chamblon</v>
      </c>
      <c r="C278" s="247">
        <f>VPI!R278</f>
        <v>17094.436818181817</v>
      </c>
      <c r="D278" s="633">
        <f>Effort!I278-IF(PCS!I284&lt;0, Effort!D278, 0)</f>
        <v>15.269603757820313</v>
      </c>
      <c r="E278" s="634">
        <f>IF(PCS!I284&lt;0, 0, PCS!F284/Aide!C278)</f>
        <v>3.3818005012316479</v>
      </c>
      <c r="F278" s="634">
        <f>Effort!G278</f>
        <v>-0.29970794123099853</v>
      </c>
      <c r="G278" s="635">
        <f t="shared" si="12"/>
        <v>18.95111220028296</v>
      </c>
      <c r="H278" s="149">
        <f t="shared" si="13"/>
        <v>0</v>
      </c>
      <c r="I278" s="41">
        <f t="shared" si="14"/>
        <v>0</v>
      </c>
      <c r="J278" s="28"/>
    </row>
    <row r="279" spans="1:10" s="146" customFormat="1" x14ac:dyDescent="0.25">
      <c r="A279" s="37">
        <f>Données!A279</f>
        <v>5905</v>
      </c>
      <c r="B279" s="125" t="str">
        <f>Données!B279</f>
        <v>Champvent</v>
      </c>
      <c r="C279" s="247">
        <f>VPI!R279</f>
        <v>21074.306571428569</v>
      </c>
      <c r="D279" s="633">
        <f>Effort!I279-IF(PCS!I285&lt;0, Effort!D279, 0)</f>
        <v>6.5178232691081561</v>
      </c>
      <c r="E279" s="634">
        <f>IF(PCS!I285&lt;0, 0, PCS!F285/Aide!C279)</f>
        <v>4.8278883888848645</v>
      </c>
      <c r="F279" s="634">
        <f>Effort!G279</f>
        <v>-5.4878904323186344</v>
      </c>
      <c r="G279" s="635">
        <f t="shared" si="12"/>
        <v>16.833602090311658</v>
      </c>
      <c r="H279" s="149">
        <f t="shared" si="13"/>
        <v>0</v>
      </c>
      <c r="I279" s="41">
        <f t="shared" si="14"/>
        <v>0</v>
      </c>
      <c r="J279" s="152"/>
    </row>
    <row r="280" spans="1:10" s="146" customFormat="1" x14ac:dyDescent="0.25">
      <c r="A280" s="37">
        <f>Données!A280</f>
        <v>5907</v>
      </c>
      <c r="B280" s="125" t="str">
        <f>Données!B280</f>
        <v>Chavannes-le-Chêne</v>
      </c>
      <c r="C280" s="247">
        <f>VPI!R280</f>
        <v>7797.3521333333319</v>
      </c>
      <c r="D280" s="633">
        <f>Effort!I280-IF(PCS!I286&lt;0, Effort!D280, 0)</f>
        <v>-7.6706171424165532</v>
      </c>
      <c r="E280" s="634">
        <f>IF(PCS!I286&lt;0, 0, PCS!F286/Aide!C280)</f>
        <v>1.936021965131719</v>
      </c>
      <c r="F280" s="634">
        <f>Effort!G280</f>
        <v>-8.9296715338341794</v>
      </c>
      <c r="G280" s="635">
        <f t="shared" si="12"/>
        <v>3.195076356549345</v>
      </c>
      <c r="H280" s="149">
        <f t="shared" si="13"/>
        <v>0</v>
      </c>
      <c r="I280" s="41">
        <f t="shared" si="14"/>
        <v>0</v>
      </c>
      <c r="J280" s="152"/>
    </row>
    <row r="281" spans="1:10" s="146" customFormat="1" x14ac:dyDescent="0.25">
      <c r="A281" s="37">
        <f>Données!A281</f>
        <v>5908</v>
      </c>
      <c r="B281" s="125" t="str">
        <f>Données!B281</f>
        <v>Chêne-Pâquier</v>
      </c>
      <c r="C281" s="247">
        <f>VPI!R281</f>
        <v>5664.0389333333333</v>
      </c>
      <c r="D281" s="633">
        <f>Effort!I281-IF(PCS!I287&lt;0, Effort!D281, 0)</f>
        <v>10.174452081943187</v>
      </c>
      <c r="E281" s="634">
        <f>IF(PCS!I287&lt;0, 0, PCS!F287/Aide!C281)</f>
        <v>3.9554724576751963</v>
      </c>
      <c r="F281" s="634">
        <f>Effort!G281</f>
        <v>-4.5959778025804523</v>
      </c>
      <c r="G281" s="635">
        <f t="shared" si="12"/>
        <v>18.725902342198836</v>
      </c>
      <c r="H281" s="149">
        <f t="shared" si="13"/>
        <v>0</v>
      </c>
      <c r="I281" s="41">
        <f t="shared" si="14"/>
        <v>0</v>
      </c>
      <c r="J281" s="152"/>
    </row>
    <row r="282" spans="1:10" s="146" customFormat="1" x14ac:dyDescent="0.25">
      <c r="A282" s="37">
        <f>Données!A282</f>
        <v>5909</v>
      </c>
      <c r="B282" s="125" t="str">
        <f>Données!B282</f>
        <v>Cheseaux-Noréaz</v>
      </c>
      <c r="C282" s="247">
        <f>VPI!R282</f>
        <v>31504.478358208951</v>
      </c>
      <c r="D282" s="633">
        <f>Effort!I282-IF(PCS!I288&lt;0, Effort!D282, 0)</f>
        <v>21.534580960956418</v>
      </c>
      <c r="E282" s="634">
        <f>IF(PCS!I288&lt;0, 0, PCS!F288/Aide!C282)</f>
        <v>7.0734921386798346</v>
      </c>
      <c r="F282" s="634">
        <f>Effort!G282</f>
        <v>-3.0854866717390816</v>
      </c>
      <c r="G282" s="635">
        <f t="shared" si="12"/>
        <v>31.693559771375334</v>
      </c>
      <c r="H282" s="149">
        <f t="shared" si="13"/>
        <v>0</v>
      </c>
      <c r="I282" s="41">
        <f t="shared" si="14"/>
        <v>0</v>
      </c>
      <c r="J282" s="152"/>
    </row>
    <row r="283" spans="1:10" s="146" customFormat="1" x14ac:dyDescent="0.25">
      <c r="A283" s="37">
        <f>Données!A283</f>
        <v>5910</v>
      </c>
      <c r="B283" s="125" t="str">
        <f>Données!B283</f>
        <v>Cronay</v>
      </c>
      <c r="C283" s="247">
        <f>VPI!R283</f>
        <v>11511.156533333333</v>
      </c>
      <c r="D283" s="633">
        <f>Effort!I283-IF(PCS!I289&lt;0, Effort!D283, 0)</f>
        <v>-5.6066757206997586</v>
      </c>
      <c r="E283" s="634">
        <f>IF(PCS!I289&lt;0, 0, PCS!F289/Aide!C283)</f>
        <v>0.4989898263799129</v>
      </c>
      <c r="F283" s="634">
        <f>Effort!G283</f>
        <v>-12.363730252644583</v>
      </c>
      <c r="G283" s="635">
        <f t="shared" si="12"/>
        <v>7.2560443583247372</v>
      </c>
      <c r="H283" s="149">
        <f t="shared" si="13"/>
        <v>0</v>
      </c>
      <c r="I283" s="41">
        <f t="shared" si="14"/>
        <v>0</v>
      </c>
      <c r="J283" s="152"/>
    </row>
    <row r="284" spans="1:10" s="146" customFormat="1" x14ac:dyDescent="0.25">
      <c r="A284" s="37">
        <f>Données!A284</f>
        <v>5911</v>
      </c>
      <c r="B284" s="125" t="str">
        <f>Données!B284</f>
        <v>Cuarny</v>
      </c>
      <c r="C284" s="247">
        <f>VPI!R284</f>
        <v>7072.9457142857154</v>
      </c>
      <c r="D284" s="633">
        <f>Effort!I284-IF(PCS!I290&lt;0, Effort!D284, 0)</f>
        <v>-0.86935740933245498</v>
      </c>
      <c r="E284" s="634">
        <f>IF(PCS!I290&lt;0, 0, PCS!F290/Aide!C284)</f>
        <v>35.35051166800173</v>
      </c>
      <c r="F284" s="634">
        <f>Effort!G284</f>
        <v>-10.35034780965985</v>
      </c>
      <c r="G284" s="635">
        <f t="shared" si="12"/>
        <v>44.831502068329129</v>
      </c>
      <c r="H284" s="149">
        <f t="shared" si="13"/>
        <v>0</v>
      </c>
      <c r="I284" s="41">
        <f t="shared" si="14"/>
        <v>0</v>
      </c>
      <c r="J284" s="152"/>
    </row>
    <row r="285" spans="1:10" s="146" customFormat="1" x14ac:dyDescent="0.25">
      <c r="A285" s="37">
        <f>Données!A285</f>
        <v>5912</v>
      </c>
      <c r="B285" s="125" t="str">
        <f>Données!B285</f>
        <v>Démoret</v>
      </c>
      <c r="C285" s="247">
        <f>VPI!R285</f>
        <v>4054.1132051282052</v>
      </c>
      <c r="D285" s="633">
        <f>Effort!I285-IF(PCS!I291&lt;0, Effort!D285, 0)</f>
        <v>-11.830890738745669</v>
      </c>
      <c r="E285" s="634">
        <f>IF(PCS!I291&lt;0, 0, PCS!F291/Aide!C285)</f>
        <v>2.1505627886689185</v>
      </c>
      <c r="F285" s="634">
        <f>Effort!G285</f>
        <v>-9.6150505830628941</v>
      </c>
      <c r="G285" s="635">
        <f t="shared" si="12"/>
        <v>-6.5277367013857557E-2</v>
      </c>
      <c r="H285" s="149">
        <f t="shared" si="13"/>
        <v>0</v>
      </c>
      <c r="I285" s="41">
        <f t="shared" si="14"/>
        <v>0</v>
      </c>
      <c r="J285" s="152"/>
    </row>
    <row r="286" spans="1:10" s="146" customFormat="1" x14ac:dyDescent="0.25">
      <c r="A286" s="37">
        <f>Données!A286</f>
        <v>5913</v>
      </c>
      <c r="B286" s="125" t="str">
        <f>Données!B286</f>
        <v>Donneloye</v>
      </c>
      <c r="C286" s="247">
        <f>VPI!R286</f>
        <v>21866.794931506847</v>
      </c>
      <c r="D286" s="633">
        <f>Effort!I286-IF(PCS!I292&lt;0, Effort!D286, 0)</f>
        <v>-2.1019294942710083</v>
      </c>
      <c r="E286" s="634">
        <f>IF(PCS!I292&lt;0, 0, PCS!F292/Aide!C286)</f>
        <v>3.8075989307438265</v>
      </c>
      <c r="F286" s="634">
        <f>Effort!G286</f>
        <v>-3.8534281257569671</v>
      </c>
      <c r="G286" s="635">
        <f t="shared" si="12"/>
        <v>5.5590975622297858</v>
      </c>
      <c r="H286" s="149">
        <f t="shared" si="13"/>
        <v>0</v>
      </c>
      <c r="I286" s="41">
        <f t="shared" si="14"/>
        <v>0</v>
      </c>
      <c r="J286" s="152"/>
    </row>
    <row r="287" spans="1:10" x14ac:dyDescent="0.25">
      <c r="A287" s="37">
        <f>Données!A287</f>
        <v>5914</v>
      </c>
      <c r="B287" s="125" t="str">
        <f>Données!B287</f>
        <v>Ependes</v>
      </c>
      <c r="C287" s="247">
        <f>VPI!R287</f>
        <v>10606.318639455782</v>
      </c>
      <c r="D287" s="633">
        <f>Effort!I287-IF(PCS!I293&lt;0, Effort!D287, 0)</f>
        <v>1.662000212075597</v>
      </c>
      <c r="E287" s="634">
        <f>IF(PCS!I293&lt;0, 0, PCS!F293/Aide!C287)</f>
        <v>2.3638248908281372</v>
      </c>
      <c r="F287" s="634">
        <f>Effort!G287</f>
        <v>-7.0578896380904155</v>
      </c>
      <c r="G287" s="635">
        <f t="shared" si="12"/>
        <v>11.08371474099415</v>
      </c>
      <c r="H287" s="149">
        <f t="shared" si="13"/>
        <v>0</v>
      </c>
      <c r="I287" s="41">
        <f t="shared" si="14"/>
        <v>0</v>
      </c>
      <c r="J287" s="28"/>
    </row>
    <row r="288" spans="1:10" x14ac:dyDescent="0.25">
      <c r="A288" s="37">
        <f>Données!A288</f>
        <v>5919</v>
      </c>
      <c r="B288" s="125" t="str">
        <f>Données!B288</f>
        <v>Mathod</v>
      </c>
      <c r="C288" s="247">
        <f>VPI!R288</f>
        <v>21430.97550925926</v>
      </c>
      <c r="D288" s="633">
        <f>Effort!I288-IF(PCS!I294&lt;0, Effort!D288, 0)</f>
        <v>4.6611327866945267</v>
      </c>
      <c r="E288" s="634">
        <f>IF(PCS!I294&lt;0, 0, PCS!F294/Aide!C288)</f>
        <v>4.0893252834961187</v>
      </c>
      <c r="F288" s="634">
        <f>Effort!G288</f>
        <v>-7.1973117599006287</v>
      </c>
      <c r="G288" s="635">
        <f t="shared" si="12"/>
        <v>15.947769830091275</v>
      </c>
      <c r="H288" s="149">
        <f t="shared" si="13"/>
        <v>0</v>
      </c>
      <c r="I288" s="41">
        <f t="shared" si="14"/>
        <v>0</v>
      </c>
      <c r="J288" s="28"/>
    </row>
    <row r="289" spans="1:10" x14ac:dyDescent="0.25">
      <c r="A289" s="37">
        <f>Données!A289</f>
        <v>5921</v>
      </c>
      <c r="B289" s="125" t="str">
        <f>Données!B289</f>
        <v>Molondin</v>
      </c>
      <c r="C289" s="247">
        <f>VPI!R289</f>
        <v>8425.9467901234584</v>
      </c>
      <c r="D289" s="633">
        <f>Effort!I289-IF(PCS!I295&lt;0, Effort!D289, 0)</f>
        <v>8.5752816436606771</v>
      </c>
      <c r="E289" s="634">
        <f>IF(PCS!I295&lt;0, 0, PCS!F295/Aide!C289)</f>
        <v>4.3858679529423572</v>
      </c>
      <c r="F289" s="634">
        <f>Effort!G289</f>
        <v>-2.231884454700829</v>
      </c>
      <c r="G289" s="635">
        <f t="shared" si="12"/>
        <v>15.193034051303863</v>
      </c>
      <c r="H289" s="149">
        <f t="shared" si="13"/>
        <v>0</v>
      </c>
      <c r="I289" s="41">
        <f t="shared" si="14"/>
        <v>0</v>
      </c>
      <c r="J289" s="28"/>
    </row>
    <row r="290" spans="1:10" x14ac:dyDescent="0.25">
      <c r="A290" s="37">
        <f>Données!A290</f>
        <v>5922</v>
      </c>
      <c r="B290" s="125" t="str">
        <f>Données!B290</f>
        <v>Montagny-près-Yverdon</v>
      </c>
      <c r="C290" s="247">
        <f>VPI!R290</f>
        <v>40785.058217054269</v>
      </c>
      <c r="D290" s="633">
        <f>Effort!I290-IF(PCS!I296&lt;0, Effort!D290, 0)</f>
        <v>24.319815391817833</v>
      </c>
      <c r="E290" s="634">
        <f>IF(PCS!I296&lt;0, 0, PCS!F296/Aide!C290)</f>
        <v>7.220118662889786</v>
      </c>
      <c r="F290" s="634">
        <f>Effort!G290</f>
        <v>-4.3162122381214481</v>
      </c>
      <c r="G290" s="635">
        <f t="shared" si="12"/>
        <v>35.856146292829067</v>
      </c>
      <c r="H290" s="149">
        <f t="shared" si="13"/>
        <v>0</v>
      </c>
      <c r="I290" s="41">
        <f t="shared" si="14"/>
        <v>0</v>
      </c>
      <c r="J290" s="28"/>
    </row>
    <row r="291" spans="1:10" x14ac:dyDescent="0.25">
      <c r="A291" s="37">
        <f>Données!A291</f>
        <v>5923</v>
      </c>
      <c r="B291" s="125" t="str">
        <f>Données!B291</f>
        <v>Oppens</v>
      </c>
      <c r="C291" s="247">
        <f>VPI!R291</f>
        <v>5683.6511392405064</v>
      </c>
      <c r="D291" s="633">
        <f>Effort!I291-IF(PCS!I297&lt;0, Effort!D291, 0)</f>
        <v>-13.379073076352196</v>
      </c>
      <c r="E291" s="634">
        <f>IF(PCS!I297&lt;0, 0, PCS!F297/Aide!C291)</f>
        <v>1.4629909183889727</v>
      </c>
      <c r="F291" s="634">
        <f>Effort!G291</f>
        <v>-19.959813873065176</v>
      </c>
      <c r="G291" s="635">
        <f t="shared" si="12"/>
        <v>8.0437317151019538</v>
      </c>
      <c r="H291" s="149">
        <f t="shared" si="13"/>
        <v>0</v>
      </c>
      <c r="I291" s="41">
        <f t="shared" si="14"/>
        <v>0</v>
      </c>
      <c r="J291" s="28"/>
    </row>
    <row r="292" spans="1:10" x14ac:dyDescent="0.25">
      <c r="A292" s="37">
        <f>Données!A292</f>
        <v>5924</v>
      </c>
      <c r="B292" s="125" t="str">
        <f>Données!B292</f>
        <v>Orges</v>
      </c>
      <c r="C292" s="247">
        <f>VPI!R292</f>
        <v>13265.35135135135</v>
      </c>
      <c r="D292" s="633">
        <f>Effort!I292-IF(PCS!I298&lt;0, Effort!D292, 0)</f>
        <v>6.4822225988213287</v>
      </c>
      <c r="E292" s="634">
        <f>IF(PCS!I298&lt;0, 0, PCS!F298/Aide!C292)</f>
        <v>4.0785229555558278</v>
      </c>
      <c r="F292" s="634">
        <f>Effort!G292</f>
        <v>-6.8602855607436783</v>
      </c>
      <c r="G292" s="635">
        <f t="shared" si="12"/>
        <v>17.421031115120833</v>
      </c>
      <c r="H292" s="149">
        <f t="shared" si="13"/>
        <v>0</v>
      </c>
      <c r="I292" s="41">
        <f t="shared" si="14"/>
        <v>0</v>
      </c>
      <c r="J292" s="28"/>
    </row>
    <row r="293" spans="1:10" x14ac:dyDescent="0.25">
      <c r="A293" s="37">
        <f>Données!A293</f>
        <v>5925</v>
      </c>
      <c r="B293" s="125" t="str">
        <f>Données!B293</f>
        <v>Orzens</v>
      </c>
      <c r="C293" s="247">
        <f>VPI!R293</f>
        <v>5055.3741772151898</v>
      </c>
      <c r="D293" s="633">
        <f>Effort!I293-IF(PCS!I299&lt;0, Effort!D293, 0)</f>
        <v>-4.7001791358886358</v>
      </c>
      <c r="E293" s="634">
        <f>IF(PCS!I299&lt;0, 0, PCS!F299/Aide!C293)</f>
        <v>3.6872532767234847</v>
      </c>
      <c r="F293" s="634">
        <f>Effort!G293</f>
        <v>-1.3664964478233426</v>
      </c>
      <c r="G293" s="635">
        <f t="shared" si="12"/>
        <v>0.35357058865819146</v>
      </c>
      <c r="H293" s="149">
        <f t="shared" si="13"/>
        <v>0</v>
      </c>
      <c r="I293" s="41">
        <f t="shared" si="14"/>
        <v>0</v>
      </c>
      <c r="J293" s="28"/>
    </row>
    <row r="294" spans="1:10" x14ac:dyDescent="0.25">
      <c r="A294" s="37">
        <f>Données!A294</f>
        <v>5926</v>
      </c>
      <c r="B294" s="125" t="str">
        <f>Données!B294</f>
        <v>Pomy</v>
      </c>
      <c r="C294" s="247">
        <f>VPI!R294</f>
        <v>26646.407887323945</v>
      </c>
      <c r="D294" s="633">
        <f>Effort!I294-IF(PCS!I300&lt;0, Effort!D294, 0)</f>
        <v>9.5635212089345281</v>
      </c>
      <c r="E294" s="634">
        <f>IF(PCS!I300&lt;0, 0, PCS!F300/Aide!C294)</f>
        <v>5.5101644702304187</v>
      </c>
      <c r="F294" s="634">
        <f>Effort!G294</f>
        <v>-3.7349265798832043</v>
      </c>
      <c r="G294" s="635">
        <f t="shared" si="12"/>
        <v>18.80861225904815</v>
      </c>
      <c r="H294" s="149">
        <f t="shared" si="13"/>
        <v>0</v>
      </c>
      <c r="I294" s="41">
        <f t="shared" si="14"/>
        <v>0</v>
      </c>
      <c r="J294" s="28"/>
    </row>
    <row r="295" spans="1:10" x14ac:dyDescent="0.25">
      <c r="A295" s="37">
        <f>Données!A295</f>
        <v>5928</v>
      </c>
      <c r="B295" s="125" t="str">
        <f>Données!B295</f>
        <v>Rovray</v>
      </c>
      <c r="C295" s="247">
        <f>VPI!R295</f>
        <v>5997.0809589041082</v>
      </c>
      <c r="D295" s="633">
        <f>Effort!I295-IF(PCS!I301&lt;0, Effort!D295, 0)</f>
        <v>10.667154290556621</v>
      </c>
      <c r="E295" s="634">
        <f>IF(PCS!I301&lt;0, 0, PCS!F301/Aide!C295)</f>
        <v>2.5359862746924073</v>
      </c>
      <c r="F295" s="634">
        <f>Effort!G295</f>
        <v>-2.3642269427867015</v>
      </c>
      <c r="G295" s="635">
        <f t="shared" si="12"/>
        <v>15.56736750803573</v>
      </c>
      <c r="H295" s="149">
        <f t="shared" si="13"/>
        <v>0</v>
      </c>
      <c r="I295" s="41">
        <f t="shared" si="14"/>
        <v>0</v>
      </c>
      <c r="J295" s="28"/>
    </row>
    <row r="296" spans="1:10" x14ac:dyDescent="0.25">
      <c r="A296" s="37">
        <f>Données!A296</f>
        <v>5929</v>
      </c>
      <c r="B296" s="125" t="str">
        <f>Données!B296</f>
        <v>Suchy</v>
      </c>
      <c r="C296" s="247">
        <f>VPI!R296</f>
        <v>22958.537249999998</v>
      </c>
      <c r="D296" s="633">
        <f>Effort!I296-IF(PCS!I302&lt;0, Effort!D296, 0)</f>
        <v>17.356787221978493</v>
      </c>
      <c r="E296" s="634">
        <f>IF(PCS!I302&lt;0, 0, PCS!F302/Aide!C296)</f>
        <v>3.58342494141259</v>
      </c>
      <c r="F296" s="634">
        <f>Effort!G296</f>
        <v>-0.45120917245276632</v>
      </c>
      <c r="G296" s="635">
        <f t="shared" si="12"/>
        <v>21.391421335843852</v>
      </c>
      <c r="H296" s="149">
        <f t="shared" si="13"/>
        <v>0</v>
      </c>
      <c r="I296" s="41">
        <f t="shared" si="14"/>
        <v>0</v>
      </c>
      <c r="J296" s="28"/>
    </row>
    <row r="297" spans="1:10" x14ac:dyDescent="0.25">
      <c r="A297" s="37">
        <f>Données!A297</f>
        <v>5930</v>
      </c>
      <c r="B297" s="125" t="str">
        <f>Données!B297</f>
        <v>Suscévaz</v>
      </c>
      <c r="C297" s="247">
        <f>VPI!R297</f>
        <v>5123.1661111111116</v>
      </c>
      <c r="D297" s="633">
        <f>Effort!I297-IF(PCS!I303&lt;0, Effort!D297, 0)</f>
        <v>-10.299460177745722</v>
      </c>
      <c r="E297" s="634">
        <f>IF(PCS!I303&lt;0, 0, PCS!F303/Aide!C297)</f>
        <v>3.1393184704900907</v>
      </c>
      <c r="F297" s="634">
        <f>Effort!G297</f>
        <v>-7.6325543515032868</v>
      </c>
      <c r="G297" s="635">
        <f t="shared" si="12"/>
        <v>0.4724126442476555</v>
      </c>
      <c r="H297" s="149">
        <f t="shared" si="13"/>
        <v>0</v>
      </c>
      <c r="I297" s="41">
        <f t="shared" si="14"/>
        <v>0</v>
      </c>
      <c r="J297" s="28"/>
    </row>
    <row r="298" spans="1:10" x14ac:dyDescent="0.25">
      <c r="A298" s="37">
        <f>Données!A298</f>
        <v>5931</v>
      </c>
      <c r="B298" s="125" t="str">
        <f>Données!B298</f>
        <v>Treycovagnes</v>
      </c>
      <c r="C298" s="247">
        <f>VPI!R298</f>
        <v>16489.594109589041</v>
      </c>
      <c r="D298" s="633">
        <f>Effort!I298-IF(PCS!I304&lt;0, Effort!D298, 0)</f>
        <v>11.989173286938378</v>
      </c>
      <c r="E298" s="634">
        <f>IF(PCS!I304&lt;0, 0, PCS!F304/Aide!C298)</f>
        <v>1.829273952987055</v>
      </c>
      <c r="F298" s="634">
        <f>Effort!G298</f>
        <v>-2.7249739650990885</v>
      </c>
      <c r="G298" s="635">
        <f t="shared" si="12"/>
        <v>16.543421205024522</v>
      </c>
      <c r="H298" s="149">
        <f t="shared" si="13"/>
        <v>0</v>
      </c>
      <c r="I298" s="41">
        <f t="shared" si="14"/>
        <v>0</v>
      </c>
      <c r="J298" s="28"/>
    </row>
    <row r="299" spans="1:10" x14ac:dyDescent="0.25">
      <c r="A299" s="37">
        <f>Données!A299</f>
        <v>5932</v>
      </c>
      <c r="B299" s="125" t="str">
        <f>Données!B299</f>
        <v>Ursins</v>
      </c>
      <c r="C299" s="247">
        <f>VPI!R299</f>
        <v>9309.2870666666695</v>
      </c>
      <c r="D299" s="633">
        <f>Effort!I299-IF(PCS!I305&lt;0, Effort!D299, 0)</f>
        <v>19.987109342752319</v>
      </c>
      <c r="E299" s="634">
        <f>IF(PCS!I305&lt;0, 0, PCS!F305/Aide!C299)</f>
        <v>0</v>
      </c>
      <c r="F299" s="634">
        <f>Effort!G299</f>
        <v>-1.7131182390781114</v>
      </c>
      <c r="G299" s="635">
        <f t="shared" si="12"/>
        <v>21.700227581830429</v>
      </c>
      <c r="H299" s="149">
        <f t="shared" si="13"/>
        <v>0</v>
      </c>
      <c r="I299" s="41">
        <f t="shared" si="14"/>
        <v>0</v>
      </c>
      <c r="J299" s="28"/>
    </row>
    <row r="300" spans="1:10" x14ac:dyDescent="0.25">
      <c r="A300" s="37">
        <f>Données!A300</f>
        <v>5933</v>
      </c>
      <c r="B300" s="125" t="str">
        <f>Données!B300</f>
        <v>Valeyres-sous-Montagny</v>
      </c>
      <c r="C300" s="247">
        <f>VPI!R300</f>
        <v>23289.682127659577</v>
      </c>
      <c r="D300" s="633">
        <f>Effort!I300-IF(PCS!I306&lt;0, Effort!D300, 0)</f>
        <v>-9.0787952648321451</v>
      </c>
      <c r="E300" s="634">
        <f>IF(PCS!I306&lt;0, 0, PCS!F306/Aide!C300)</f>
        <v>1.896550573678385</v>
      </c>
      <c r="F300" s="634">
        <f>Effort!G300</f>
        <v>-25.485068075941683</v>
      </c>
      <c r="G300" s="635">
        <f t="shared" si="12"/>
        <v>18.302823384787924</v>
      </c>
      <c r="H300" s="149">
        <f t="shared" si="13"/>
        <v>0</v>
      </c>
      <c r="I300" s="41">
        <f t="shared" si="14"/>
        <v>0</v>
      </c>
      <c r="J300" s="28"/>
    </row>
    <row r="301" spans="1:10" x14ac:dyDescent="0.25">
      <c r="A301" s="37">
        <f>Données!A301</f>
        <v>5934</v>
      </c>
      <c r="B301" s="125" t="str">
        <f>Données!B301</f>
        <v>Valeyres-sous-Ursins</v>
      </c>
      <c r="C301" s="247">
        <f>VPI!R301</f>
        <v>8590.653896103895</v>
      </c>
      <c r="D301" s="633">
        <f>Effort!I301-IF(PCS!I307&lt;0, Effort!D301, 0)</f>
        <v>16.21545139835257</v>
      </c>
      <c r="E301" s="634">
        <f>IF(PCS!I307&lt;0, 0, PCS!F307/Aide!C301)</f>
        <v>5.6762594081592912</v>
      </c>
      <c r="F301" s="634">
        <f>Effort!G301</f>
        <v>-1.9621195784688987</v>
      </c>
      <c r="G301" s="635">
        <f t="shared" si="12"/>
        <v>23.853830384980757</v>
      </c>
      <c r="H301" s="149">
        <f t="shared" si="13"/>
        <v>0</v>
      </c>
      <c r="I301" s="41">
        <f t="shared" si="14"/>
        <v>0</v>
      </c>
      <c r="J301" s="28"/>
    </row>
    <row r="302" spans="1:10" x14ac:dyDescent="0.25">
      <c r="A302" s="37">
        <f>Données!A302</f>
        <v>5935</v>
      </c>
      <c r="B302" s="125" t="str">
        <f>Données!B302</f>
        <v>Villars-Epeney</v>
      </c>
      <c r="C302" s="247">
        <f>VPI!R302</f>
        <v>10030.652647058823</v>
      </c>
      <c r="D302" s="633">
        <f>Effort!I302-IF(PCS!I308&lt;0, Effort!D302, 0)</f>
        <v>39.237243263574243</v>
      </c>
      <c r="E302" s="634">
        <f>IF(PCS!I308&lt;0, 0, PCS!F308/Aide!C302)</f>
        <v>2.5952099943998133</v>
      </c>
      <c r="F302" s="634">
        <f>Effort!G302</f>
        <v>0</v>
      </c>
      <c r="G302" s="635">
        <f t="shared" si="12"/>
        <v>41.832453257974059</v>
      </c>
      <c r="H302" s="149">
        <f t="shared" si="13"/>
        <v>0</v>
      </c>
      <c r="I302" s="41">
        <f t="shared" si="14"/>
        <v>0</v>
      </c>
      <c r="J302" s="28"/>
    </row>
    <row r="303" spans="1:10" x14ac:dyDescent="0.25">
      <c r="A303" s="37">
        <f>Données!A303</f>
        <v>5937</v>
      </c>
      <c r="B303" s="125" t="str">
        <f>Données!B303</f>
        <v>Vugelles-La Mothe</v>
      </c>
      <c r="C303" s="247">
        <f>VPI!R303</f>
        <v>4424.7368571428569</v>
      </c>
      <c r="D303" s="633">
        <f>Effort!I303-IF(PCS!I309&lt;0, Effort!D303, 0)</f>
        <v>10.783374468926988</v>
      </c>
      <c r="E303" s="634">
        <f>IF(PCS!I309&lt;0, 0, PCS!F309/Aide!C303)</f>
        <v>0.18628226414626498</v>
      </c>
      <c r="F303" s="634">
        <f>Effort!G303</f>
        <v>-2.5339485397231454</v>
      </c>
      <c r="G303" s="635">
        <f t="shared" si="12"/>
        <v>13.503605272796397</v>
      </c>
      <c r="H303" s="149">
        <f t="shared" si="13"/>
        <v>0</v>
      </c>
      <c r="I303" s="41">
        <f t="shared" si="14"/>
        <v>0</v>
      </c>
      <c r="J303" s="28"/>
    </row>
    <row r="304" spans="1:10" x14ac:dyDescent="0.25">
      <c r="A304" s="37">
        <f>Données!A304</f>
        <v>5938</v>
      </c>
      <c r="B304" s="125" t="str">
        <f>Données!B304</f>
        <v>Yverdon-les-Bains</v>
      </c>
      <c r="C304" s="247">
        <f>VPI!R304</f>
        <v>801823.39555555547</v>
      </c>
      <c r="D304" s="633">
        <f>Effort!I304-IF(PCS!I310&lt;0, Effort!D304, 0)</f>
        <v>-36.658966605218751</v>
      </c>
      <c r="E304" s="634">
        <f>IF(PCS!I310&lt;0, 0, PCS!F310/Aide!C304)</f>
        <v>6.2362619907534755</v>
      </c>
      <c r="F304" s="634">
        <f>Effort!G304</f>
        <v>-12.989612778523027</v>
      </c>
      <c r="G304" s="635">
        <f t="shared" si="12"/>
        <v>-17.43309183594225</v>
      </c>
      <c r="H304" s="149">
        <f t="shared" si="13"/>
        <v>-7.4330918359422498</v>
      </c>
      <c r="I304" s="41">
        <f t="shared" si="14"/>
        <v>5960026.935371493</v>
      </c>
      <c r="J304" s="28"/>
    </row>
    <row r="305" spans="1:12" x14ac:dyDescent="0.25">
      <c r="A305" s="37">
        <f>Données!A305</f>
        <v>5939</v>
      </c>
      <c r="B305" s="125" t="str">
        <f>Données!B305</f>
        <v>Yvonand</v>
      </c>
      <c r="C305" s="247">
        <f>VPI!R305</f>
        <v>95983.007692307685</v>
      </c>
      <c r="D305" s="633">
        <f>Effort!I305-IF(PCS!I311&lt;0, Effort!D305, 0)</f>
        <v>-4.3825751600465495</v>
      </c>
      <c r="E305" s="634">
        <f>IF(PCS!I311&lt;0, 0, PCS!F311/Aide!C305)</f>
        <v>4.131900786765863</v>
      </c>
      <c r="F305" s="634">
        <f>Effort!G305</f>
        <v>-5.9303197307239701</v>
      </c>
      <c r="G305" s="635">
        <f t="shared" si="12"/>
        <v>5.6796453574432837</v>
      </c>
      <c r="H305" s="149">
        <f t="shared" si="13"/>
        <v>0</v>
      </c>
      <c r="I305" s="41">
        <f t="shared" si="14"/>
        <v>0</v>
      </c>
      <c r="J305" s="28"/>
    </row>
    <row r="306" spans="1:12" x14ac:dyDescent="0.25">
      <c r="A306" s="24"/>
      <c r="B306" s="129">
        <f>COUNTA(B6:B305)</f>
        <v>300</v>
      </c>
      <c r="C306" s="297">
        <f>VPI!R306</f>
        <v>42757870.01587484</v>
      </c>
      <c r="D306" s="779"/>
      <c r="E306" s="780"/>
      <c r="F306" s="780"/>
      <c r="G306" s="780"/>
      <c r="H306" s="781"/>
      <c r="I306" s="375">
        <f>SUM(I6:I305)</f>
        <v>9808742.5703780204</v>
      </c>
      <c r="K306" s="9"/>
      <c r="L306" s="9"/>
    </row>
    <row r="307" spans="1:12" x14ac:dyDescent="0.25">
      <c r="I307" s="22"/>
      <c r="J307" s="4"/>
    </row>
    <row r="308" spans="1:12" x14ac:dyDescent="0.25">
      <c r="I308" s="22"/>
    </row>
  </sheetData>
  <sheetProtection sheet="1" objects="1" scenarios="1"/>
  <mergeCells count="7">
    <mergeCell ref="D306:H306"/>
    <mergeCell ref="C4:C5"/>
    <mergeCell ref="B4:B5"/>
    <mergeCell ref="A4:A5"/>
    <mergeCell ref="I4:I5"/>
    <mergeCell ref="G4:G5"/>
    <mergeCell ref="D4:D5"/>
  </mergeCells>
  <phoneticPr fontId="21" type="noConversion"/>
  <conditionalFormatting sqref="D6:G305 D306">
    <cfRule type="cellIs" dxfId="8" priority="3" operator="lessThan">
      <formula>0</formula>
    </cfRule>
    <cfRule type="cellIs" dxfId="7" priority="4" operator="greaterThan">
      <formula>0</formula>
    </cfRule>
  </conditionalFormatting>
  <conditionalFormatting sqref="H5">
    <cfRule type="cellIs" dxfId="6" priority="1" operator="lessThan">
      <formula>0</formula>
    </cfRule>
    <cfRule type="cellIs" dxfId="5" priority="2" operator="greaterThan">
      <formula>0</formula>
    </cfRule>
  </conditionalFormatting>
  <hyperlinks>
    <hyperlink ref="C1" location="Effort!A1" display="← Précédent" xr:uid="{AB4DD465-687C-427D-8055-D2BD3588A1AC}"/>
    <hyperlink ref="E1" location="Taux!A1" display="Suivant →" xr:uid="{595CC61F-6155-4574-887D-9823ED57B9F9}"/>
    <hyperlink ref="D1" location="'Table des matières'!A1" display="Table des             matières" xr:uid="{FC746932-0F9A-4D6A-946B-B9E5F79E5828}"/>
  </hyperlinks>
  <pageMargins left="0.78740157499999996" right="0.78740157499999996" top="0.984251969" bottom="0.984251969" header="0.4921259845" footer="0.4921259845"/>
  <pageSetup paperSize="9" orientation="portrait" horizontalDpi="4294967292" verticalDpi="4294967292"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5">
    <tabColor theme="6" tint="0.39997558519241921"/>
  </sheetPr>
  <dimension ref="A1:R311"/>
  <sheetViews>
    <sheetView workbookViewId="0">
      <pane xSplit="2" ySplit="5" topLeftCell="C6" activePane="bottomRight" state="frozen"/>
      <selection pane="topRight" activeCell="C1" sqref="C1"/>
      <selection pane="bottomLeft" activeCell="A6" sqref="A6"/>
      <selection pane="bottomRight"/>
    </sheetView>
  </sheetViews>
  <sheetFormatPr baseColWidth="10" defaultColWidth="10.75" defaultRowHeight="15" x14ac:dyDescent="0.25"/>
  <cols>
    <col min="1" max="1" width="7.25" style="10" customWidth="1"/>
    <col min="2" max="2" width="20.25" style="10" bestFit="1" customWidth="1"/>
    <col min="3" max="3" width="16.125" style="4" customWidth="1"/>
    <col min="4" max="4" width="22.375" style="4" customWidth="1"/>
    <col min="5" max="6" width="12.125" style="4" customWidth="1"/>
    <col min="7" max="7" width="16.5" style="4" customWidth="1"/>
    <col min="8" max="8" width="12.125" style="10" customWidth="1"/>
    <col min="9" max="9" width="12" style="10" customWidth="1"/>
    <col min="10" max="10" width="13.5" style="10" customWidth="1"/>
    <col min="11" max="11" width="8.875" style="159" bestFit="1" customWidth="1"/>
    <col min="12" max="12" width="11.75" style="12" bestFit="1" customWidth="1"/>
    <col min="13" max="13" width="12.5" style="12" bestFit="1" customWidth="1"/>
    <col min="14" max="14" width="6.75" style="10" customWidth="1"/>
    <col min="15" max="15" width="12.25" style="10" customWidth="1"/>
    <col min="16" max="16" width="12.625" style="10" customWidth="1"/>
    <col min="17" max="17" width="9.625" style="10" customWidth="1"/>
    <col min="18" max="18" width="11.25" style="4" bestFit="1" customWidth="1"/>
    <col min="19" max="16384" width="10.75" style="10"/>
  </cols>
  <sheetData>
    <row r="1" spans="1:18" s="200" customFormat="1" ht="26.25" x14ac:dyDescent="0.4">
      <c r="A1" s="187" t="s">
        <v>400</v>
      </c>
      <c r="B1" s="192"/>
      <c r="C1" s="287" t="s">
        <v>402</v>
      </c>
      <c r="D1" s="208" t="s">
        <v>394</v>
      </c>
      <c r="E1" s="588" t="s">
        <v>403</v>
      </c>
      <c r="F1" s="197"/>
      <c r="G1" s="197"/>
      <c r="H1" s="196"/>
      <c r="I1" s="196"/>
      <c r="J1" s="196"/>
      <c r="K1" s="199"/>
      <c r="L1" s="199"/>
      <c r="M1" s="199"/>
      <c r="N1" s="196"/>
      <c r="O1" s="196"/>
      <c r="P1" s="196"/>
      <c r="Q1" s="196"/>
      <c r="R1" s="195"/>
    </row>
    <row r="2" spans="1:18" s="32" customFormat="1" ht="15.75" x14ac:dyDescent="0.25">
      <c r="A2" s="253" t="str">
        <f>Paramètres!B4</f>
        <v>Décompte 2024</v>
      </c>
      <c r="B2" s="31"/>
      <c r="C2" s="33"/>
      <c r="D2" s="33"/>
      <c r="E2" s="33"/>
      <c r="F2" s="33"/>
      <c r="G2" s="33"/>
      <c r="H2" s="148"/>
      <c r="I2" s="148"/>
      <c r="J2" s="148"/>
      <c r="K2" s="77"/>
      <c r="L2" s="77"/>
      <c r="M2" s="77"/>
      <c r="N2" s="148"/>
      <c r="O2" s="148"/>
      <c r="P2" s="148"/>
      <c r="Q2" s="148"/>
      <c r="R2" s="4"/>
    </row>
    <row r="3" spans="1:18" ht="26.1" customHeight="1" x14ac:dyDescent="0.25">
      <c r="D3" s="3"/>
      <c r="H3" s="78"/>
      <c r="I3" s="78"/>
    </row>
    <row r="4" spans="1:18" ht="36.75" customHeight="1" x14ac:dyDescent="0.25">
      <c r="A4" s="763" t="s">
        <v>44</v>
      </c>
      <c r="B4" s="763" t="s">
        <v>84</v>
      </c>
      <c r="C4" s="763" t="s">
        <v>409</v>
      </c>
      <c r="D4" s="249" t="s">
        <v>488</v>
      </c>
      <c r="E4" s="771" t="s">
        <v>300</v>
      </c>
      <c r="F4" s="771" t="s">
        <v>432</v>
      </c>
      <c r="G4" s="347" t="s">
        <v>487</v>
      </c>
      <c r="H4" s="777" t="s">
        <v>508</v>
      </c>
      <c r="I4" s="345" t="s">
        <v>113</v>
      </c>
      <c r="J4" s="763" t="s">
        <v>433</v>
      </c>
      <c r="L4" s="10"/>
      <c r="M4" s="10"/>
      <c r="R4" s="10"/>
    </row>
    <row r="5" spans="1:18" x14ac:dyDescent="0.25">
      <c r="A5" s="765"/>
      <c r="B5" s="765"/>
      <c r="C5" s="765"/>
      <c r="D5" s="589" t="str">
        <f>CONCATENATE(LEFT(Paramètres!B4,LENB(Paramètres!B4)-4), "T-1")</f>
        <v>Décompte T-1</v>
      </c>
      <c r="E5" s="772"/>
      <c r="F5" s="772"/>
      <c r="G5" s="361" t="str">
        <f>Paramètres!B4</f>
        <v>Décompte 2024</v>
      </c>
      <c r="H5" s="778"/>
      <c r="I5" s="362">
        <f>Paramètres!B47</f>
        <v>93.882000000000005</v>
      </c>
      <c r="J5" s="765"/>
      <c r="L5" s="10"/>
      <c r="M5" s="10"/>
      <c r="R5" s="10"/>
    </row>
    <row r="6" spans="1:18" x14ac:dyDescent="0.25">
      <c r="A6" s="35">
        <f>Données!A6</f>
        <v>5401</v>
      </c>
      <c r="B6" s="139" t="str">
        <f>Données!B6</f>
        <v>Aigle</v>
      </c>
      <c r="C6" s="246">
        <f>VPI!R6</f>
        <v>311614.01419191912</v>
      </c>
      <c r="D6" s="366">
        <f>+Données!AP6</f>
        <v>-7.7990998891929486</v>
      </c>
      <c r="E6" s="291">
        <f>VPI!Q6</f>
        <v>66</v>
      </c>
      <c r="F6" s="163">
        <f>E6-D6</f>
        <v>73.799099889192945</v>
      </c>
      <c r="G6" s="654">
        <f>Effort!I6+Aide!I6/Taux!C6+Effort!K6/Taux!C6</f>
        <v>-20.539784419872777</v>
      </c>
      <c r="H6" s="79">
        <f>F6+G6</f>
        <v>53.259315469320171</v>
      </c>
      <c r="I6" s="149">
        <f>IF(H6&gt;$I$5,H6-$I$5,0)</f>
        <v>0</v>
      </c>
      <c r="J6" s="657">
        <f>-I6*C6</f>
        <v>0</v>
      </c>
      <c r="L6" s="9"/>
      <c r="M6" s="10"/>
      <c r="R6" s="10"/>
    </row>
    <row r="7" spans="1:18" x14ac:dyDescent="0.25">
      <c r="A7" s="37">
        <f>Données!A7</f>
        <v>5402</v>
      </c>
      <c r="B7" s="137" t="str">
        <f>Données!B7</f>
        <v>Bex</v>
      </c>
      <c r="C7" s="247">
        <f>VPI!R7</f>
        <v>199600.34901408452</v>
      </c>
      <c r="D7" s="367">
        <f>+Données!AP7</f>
        <v>-11.234596466190908</v>
      </c>
      <c r="E7" s="292">
        <f>VPI!Q7</f>
        <v>71</v>
      </c>
      <c r="F7" s="162">
        <f t="shared" ref="F7:F70" si="0">E7-D7</f>
        <v>82.234596466190908</v>
      </c>
      <c r="G7" s="655">
        <f>Effort!I7+Aide!I7/Taux!C7+Effort!K7/Taux!C7</f>
        <v>-30.494535815872357</v>
      </c>
      <c r="H7" s="80">
        <f t="shared" ref="H7:H70" si="1">F7+G7</f>
        <v>51.740060650318554</v>
      </c>
      <c r="I7" s="149">
        <f t="shared" ref="I7:I70" si="2">IF(H7&gt;$I$5,H7-$I$5,0)</f>
        <v>0</v>
      </c>
      <c r="J7" s="658">
        <f t="shared" ref="J7:J70" si="3">-I7*C7</f>
        <v>0</v>
      </c>
      <c r="L7" s="9"/>
      <c r="M7" s="10"/>
      <c r="R7" s="10"/>
    </row>
    <row r="8" spans="1:18" x14ac:dyDescent="0.25">
      <c r="A8" s="37">
        <f>Données!A8</f>
        <v>5403</v>
      </c>
      <c r="B8" s="137" t="str">
        <f>Données!B8</f>
        <v>Chessel</v>
      </c>
      <c r="C8" s="247">
        <f>VPI!R8</f>
        <v>12200.842307692306</v>
      </c>
      <c r="D8" s="367">
        <f>+Données!AP8</f>
        <v>9.6188587116936297</v>
      </c>
      <c r="E8" s="292">
        <f>VPI!Q8</f>
        <v>65</v>
      </c>
      <c r="F8" s="162">
        <f t="shared" si="0"/>
        <v>55.381141288306367</v>
      </c>
      <c r="G8" s="655">
        <f>Effort!I8+Aide!I8/Taux!C8+Effort!K8/Taux!C8</f>
        <v>3.6487746646611434</v>
      </c>
      <c r="H8" s="80">
        <f t="shared" si="1"/>
        <v>59.029915952967514</v>
      </c>
      <c r="I8" s="149">
        <f t="shared" si="2"/>
        <v>0</v>
      </c>
      <c r="J8" s="658">
        <f t="shared" si="3"/>
        <v>0</v>
      </c>
      <c r="L8" s="9"/>
      <c r="M8" s="10"/>
      <c r="R8" s="10"/>
    </row>
    <row r="9" spans="1:18" x14ac:dyDescent="0.25">
      <c r="A9" s="37">
        <f>Données!A9</f>
        <v>5404</v>
      </c>
      <c r="B9" s="137" t="str">
        <f>Données!B9</f>
        <v>Corbeyrier</v>
      </c>
      <c r="C9" s="247">
        <f>VPI!R9</f>
        <v>12100.787342342343</v>
      </c>
      <c r="D9" s="367">
        <f>+Données!AP9</f>
        <v>-0.16618169641273894</v>
      </c>
      <c r="E9" s="292">
        <f>VPI!Q9</f>
        <v>74</v>
      </c>
      <c r="F9" s="162">
        <f t="shared" si="0"/>
        <v>74.166181696412735</v>
      </c>
      <c r="G9" s="655">
        <f>Effort!I9+Aide!I9/Taux!C9+Effort!K9/Taux!C9</f>
        <v>-10.425759813067035</v>
      </c>
      <c r="H9" s="80">
        <f t="shared" si="1"/>
        <v>63.740421883345704</v>
      </c>
      <c r="I9" s="149">
        <f t="shared" si="2"/>
        <v>0</v>
      </c>
      <c r="J9" s="658">
        <f t="shared" si="3"/>
        <v>0</v>
      </c>
      <c r="L9" s="9"/>
      <c r="M9" s="10"/>
      <c r="R9" s="10"/>
    </row>
    <row r="10" spans="1:18" x14ac:dyDescent="0.25">
      <c r="A10" s="37">
        <f>Données!A10</f>
        <v>5405</v>
      </c>
      <c r="B10" s="137" t="str">
        <f>Données!B10</f>
        <v>Gryon</v>
      </c>
      <c r="C10" s="247">
        <f>VPI!R10</f>
        <v>80049.808163265319</v>
      </c>
      <c r="D10" s="367">
        <f>+Données!AP10</f>
        <v>27.451174297582522</v>
      </c>
      <c r="E10" s="292">
        <f>VPI!Q10</f>
        <v>73.5</v>
      </c>
      <c r="F10" s="162">
        <f t="shared" si="0"/>
        <v>46.048825702417474</v>
      </c>
      <c r="G10" s="655">
        <f>Effort!I10+Aide!I10/Taux!C10+Effort!K10/Taux!C10</f>
        <v>15.791322804069404</v>
      </c>
      <c r="H10" s="80">
        <f t="shared" si="1"/>
        <v>61.840148506486877</v>
      </c>
      <c r="I10" s="149">
        <f t="shared" si="2"/>
        <v>0</v>
      </c>
      <c r="J10" s="658">
        <f t="shared" si="3"/>
        <v>0</v>
      </c>
      <c r="L10" s="9"/>
      <c r="M10" s="10"/>
      <c r="R10" s="10"/>
    </row>
    <row r="11" spans="1:18" x14ac:dyDescent="0.25">
      <c r="A11" s="37">
        <f>Données!A11</f>
        <v>5406</v>
      </c>
      <c r="B11" s="137" t="str">
        <f>Données!B11</f>
        <v>Lavey-Morcles</v>
      </c>
      <c r="C11" s="247">
        <f>VPI!R11</f>
        <v>23811.433641742868</v>
      </c>
      <c r="D11" s="367">
        <f>+Données!AP11</f>
        <v>2.7369708124704069</v>
      </c>
      <c r="E11" s="292">
        <f>VPI!Q11</f>
        <v>71.5</v>
      </c>
      <c r="F11" s="162">
        <f t="shared" si="0"/>
        <v>68.763029187529597</v>
      </c>
      <c r="G11" s="655">
        <f>Effort!I11+Aide!I11/Taux!C11+Effort!K11/Taux!C11</f>
        <v>-8.7959822330055673</v>
      </c>
      <c r="H11" s="80">
        <f t="shared" si="1"/>
        <v>59.967046954524029</v>
      </c>
      <c r="I11" s="149">
        <f t="shared" si="2"/>
        <v>0</v>
      </c>
      <c r="J11" s="658">
        <f t="shared" si="3"/>
        <v>0</v>
      </c>
      <c r="L11" s="9"/>
      <c r="M11" s="10"/>
      <c r="R11" s="10"/>
    </row>
    <row r="12" spans="1:18" x14ac:dyDescent="0.25">
      <c r="A12" s="37">
        <f>Données!A12</f>
        <v>5407</v>
      </c>
      <c r="B12" s="137" t="str">
        <f>Données!B12</f>
        <v>Leysin</v>
      </c>
      <c r="C12" s="247">
        <f>VPI!R12</f>
        <v>94315.702863247876</v>
      </c>
      <c r="D12" s="367">
        <f>+Données!AP12</f>
        <v>-3.6385621401331463</v>
      </c>
      <c r="E12" s="292">
        <f>VPI!Q12</f>
        <v>78</v>
      </c>
      <c r="F12" s="162">
        <f t="shared" si="0"/>
        <v>81.638562140133146</v>
      </c>
      <c r="G12" s="655">
        <f>Effort!I12+Aide!I12/Taux!C12+Effort!K12/Taux!C12</f>
        <v>-20.578614636368332</v>
      </c>
      <c r="H12" s="80">
        <f t="shared" si="1"/>
        <v>61.059947503764818</v>
      </c>
      <c r="I12" s="149">
        <f t="shared" si="2"/>
        <v>0</v>
      </c>
      <c r="J12" s="658">
        <f t="shared" si="3"/>
        <v>0</v>
      </c>
      <c r="L12" s="9"/>
      <c r="M12" s="10"/>
      <c r="R12" s="10"/>
    </row>
    <row r="13" spans="1:18" x14ac:dyDescent="0.25">
      <c r="A13" s="37">
        <f>Données!A13</f>
        <v>5408</v>
      </c>
      <c r="B13" s="137" t="str">
        <f>Données!B13</f>
        <v>Noville</v>
      </c>
      <c r="C13" s="247">
        <f>VPI!R13</f>
        <v>41741.779422222215</v>
      </c>
      <c r="D13" s="367">
        <f>+Données!AP13</f>
        <v>15.693561614340737</v>
      </c>
      <c r="E13" s="292">
        <f>VPI!Q13</f>
        <v>75</v>
      </c>
      <c r="F13" s="162">
        <f t="shared" si="0"/>
        <v>59.306438385659263</v>
      </c>
      <c r="G13" s="655">
        <f>Effort!I13+Aide!I13/Taux!C13+Effort!K13/Taux!C13</f>
        <v>14.608775905316392</v>
      </c>
      <c r="H13" s="80">
        <f t="shared" si="1"/>
        <v>73.915214290975655</v>
      </c>
      <c r="I13" s="149">
        <f t="shared" si="2"/>
        <v>0</v>
      </c>
      <c r="J13" s="658">
        <f t="shared" si="3"/>
        <v>0</v>
      </c>
      <c r="L13" s="9"/>
      <c r="M13" s="10"/>
      <c r="R13" s="10"/>
    </row>
    <row r="14" spans="1:18" x14ac:dyDescent="0.25">
      <c r="A14" s="37">
        <f>Données!A14</f>
        <v>5409</v>
      </c>
      <c r="B14" s="137" t="str">
        <f>Données!B14</f>
        <v>Ollon</v>
      </c>
      <c r="C14" s="247">
        <f>VPI!R14</f>
        <v>429709.0160746607</v>
      </c>
      <c r="D14" s="367">
        <f>+Données!AP14</f>
        <v>22.169824797496087</v>
      </c>
      <c r="E14" s="292">
        <f>VPI!Q14</f>
        <v>68</v>
      </c>
      <c r="F14" s="162">
        <f t="shared" si="0"/>
        <v>45.830175202503909</v>
      </c>
      <c r="G14" s="655">
        <f>Effort!I14+Aide!I14/Taux!C14+Effort!K14/Taux!C14</f>
        <v>13.78057004036366</v>
      </c>
      <c r="H14" s="80">
        <f t="shared" si="1"/>
        <v>59.610745242867566</v>
      </c>
      <c r="I14" s="149">
        <f t="shared" si="2"/>
        <v>0</v>
      </c>
      <c r="J14" s="658">
        <f t="shared" si="3"/>
        <v>0</v>
      </c>
      <c r="L14" s="9"/>
      <c r="M14" s="10"/>
      <c r="R14" s="10"/>
    </row>
    <row r="15" spans="1:18" x14ac:dyDescent="0.25">
      <c r="A15" s="37">
        <f>Données!A15</f>
        <v>5410</v>
      </c>
      <c r="B15" s="137" t="str">
        <f>Données!B15</f>
        <v>Ormont-Dessous</v>
      </c>
      <c r="C15" s="247">
        <f>VPI!R15</f>
        <v>39461.333506493509</v>
      </c>
      <c r="D15" s="367">
        <f>+Données!AP15</f>
        <v>10.188620381379245</v>
      </c>
      <c r="E15" s="292">
        <f>VPI!Q15</f>
        <v>77</v>
      </c>
      <c r="F15" s="162">
        <f t="shared" si="0"/>
        <v>66.811379618620748</v>
      </c>
      <c r="G15" s="655">
        <f>Effort!I15+Aide!I15/Taux!C15+Effort!K15/Taux!C15</f>
        <v>-33.089326127993928</v>
      </c>
      <c r="H15" s="80">
        <f t="shared" si="1"/>
        <v>33.72205349062682</v>
      </c>
      <c r="I15" s="149">
        <f t="shared" si="2"/>
        <v>0</v>
      </c>
      <c r="J15" s="658">
        <f t="shared" si="3"/>
        <v>0</v>
      </c>
      <c r="L15" s="9"/>
      <c r="M15" s="10"/>
      <c r="R15" s="10"/>
    </row>
    <row r="16" spans="1:18" x14ac:dyDescent="0.25">
      <c r="A16" s="37">
        <f>Données!A16</f>
        <v>5411</v>
      </c>
      <c r="B16" s="137" t="str">
        <f>Données!B16</f>
        <v>Ormont-Dessus</v>
      </c>
      <c r="C16" s="247">
        <f>VPI!R16</f>
        <v>82773.582149122798</v>
      </c>
      <c r="D16" s="367">
        <f>+Données!AP16</f>
        <v>28.790140244637172</v>
      </c>
      <c r="E16" s="292">
        <f>VPI!Q16</f>
        <v>76</v>
      </c>
      <c r="F16" s="162">
        <f t="shared" si="0"/>
        <v>47.209859755362828</v>
      </c>
      <c r="G16" s="655">
        <f>Effort!I16+Aide!I16/Taux!C16+Effort!K16/Taux!C16</f>
        <v>22.74648819121175</v>
      </c>
      <c r="H16" s="80">
        <f t="shared" si="1"/>
        <v>69.956347946574581</v>
      </c>
      <c r="I16" s="149">
        <f t="shared" si="2"/>
        <v>0</v>
      </c>
      <c r="J16" s="658">
        <f t="shared" si="3"/>
        <v>0</v>
      </c>
      <c r="L16" s="9"/>
      <c r="M16" s="10"/>
      <c r="R16" s="10"/>
    </row>
    <row r="17" spans="1:18" x14ac:dyDescent="0.25">
      <c r="A17" s="37">
        <f>Données!A17</f>
        <v>5412</v>
      </c>
      <c r="B17" s="137" t="str">
        <f>Données!B17</f>
        <v>Rennaz</v>
      </c>
      <c r="C17" s="247">
        <f>VPI!R17</f>
        <v>31259.838939393936</v>
      </c>
      <c r="D17" s="367">
        <f>+Données!AP17</f>
        <v>15.524100006984156</v>
      </c>
      <c r="E17" s="292">
        <f>VPI!Q17</f>
        <v>66</v>
      </c>
      <c r="F17" s="162">
        <f t="shared" si="0"/>
        <v>50.475899993015844</v>
      </c>
      <c r="G17" s="655">
        <f>Effort!I17+Aide!I17/Taux!C17+Effort!K17/Taux!C17</f>
        <v>14.069300293222366</v>
      </c>
      <c r="H17" s="80">
        <f t="shared" si="1"/>
        <v>64.545200286238213</v>
      </c>
      <c r="I17" s="149">
        <f t="shared" si="2"/>
        <v>0</v>
      </c>
      <c r="J17" s="658">
        <f t="shared" si="3"/>
        <v>0</v>
      </c>
      <c r="L17" s="9"/>
      <c r="M17" s="10"/>
      <c r="R17" s="10"/>
    </row>
    <row r="18" spans="1:18" x14ac:dyDescent="0.25">
      <c r="A18" s="37">
        <f>Données!A18</f>
        <v>5413</v>
      </c>
      <c r="B18" s="137" t="str">
        <f>Données!B18</f>
        <v>Roche</v>
      </c>
      <c r="C18" s="247">
        <f>VPI!R18</f>
        <v>41768.164926470592</v>
      </c>
      <c r="D18" s="367">
        <f>+Données!AP18</f>
        <v>-5.865753482322603</v>
      </c>
      <c r="E18" s="292">
        <f>VPI!Q18</f>
        <v>68</v>
      </c>
      <c r="F18" s="162">
        <f t="shared" si="0"/>
        <v>73.865753482322603</v>
      </c>
      <c r="G18" s="655">
        <f>Effort!I18+Aide!I18/Taux!C18+Effort!K18/Taux!C18</f>
        <v>-10.14076950453801</v>
      </c>
      <c r="H18" s="80">
        <f t="shared" si="1"/>
        <v>63.724983977784589</v>
      </c>
      <c r="I18" s="149">
        <f t="shared" si="2"/>
        <v>0</v>
      </c>
      <c r="J18" s="658">
        <f t="shared" si="3"/>
        <v>0</v>
      </c>
      <c r="L18" s="9"/>
      <c r="M18" s="10"/>
      <c r="R18" s="10"/>
    </row>
    <row r="19" spans="1:18" x14ac:dyDescent="0.25">
      <c r="A19" s="37">
        <f>Données!A19</f>
        <v>5414</v>
      </c>
      <c r="B19" s="137" t="str">
        <f>Données!B19</f>
        <v>Villeneuve</v>
      </c>
      <c r="C19" s="247">
        <f>VPI!R19</f>
        <v>175995.0642105263</v>
      </c>
      <c r="D19" s="367">
        <f>+Données!AP19</f>
        <v>6.714347029517624</v>
      </c>
      <c r="E19" s="292">
        <f>VPI!Q19</f>
        <v>66.5</v>
      </c>
      <c r="F19" s="162">
        <f t="shared" si="0"/>
        <v>59.785652970482374</v>
      </c>
      <c r="G19" s="655">
        <f>Effort!I19+Aide!I19/Taux!C19+Effort!K19/Taux!C19</f>
        <v>-9.4764016462920431</v>
      </c>
      <c r="H19" s="80">
        <f t="shared" si="1"/>
        <v>50.309251324190328</v>
      </c>
      <c r="I19" s="149">
        <f t="shared" si="2"/>
        <v>0</v>
      </c>
      <c r="J19" s="658">
        <f t="shared" si="3"/>
        <v>0</v>
      </c>
      <c r="L19" s="9"/>
      <c r="M19" s="10"/>
      <c r="R19" s="10"/>
    </row>
    <row r="20" spans="1:18" x14ac:dyDescent="0.25">
      <c r="A20" s="37">
        <f>Données!A20</f>
        <v>5415</v>
      </c>
      <c r="B20" s="137" t="str">
        <f>Données!B20</f>
        <v>Yvorne</v>
      </c>
      <c r="C20" s="247">
        <f>VPI!R20</f>
        <v>36884.950722610716</v>
      </c>
      <c r="D20" s="367">
        <f>+Données!AP20</f>
        <v>16.124622382405779</v>
      </c>
      <c r="E20" s="292">
        <f>VPI!Q20</f>
        <v>71.5</v>
      </c>
      <c r="F20" s="162">
        <f t="shared" si="0"/>
        <v>55.375377617594225</v>
      </c>
      <c r="G20" s="655">
        <f>Effort!I20+Aide!I20/Taux!C20+Effort!K20/Taux!C20</f>
        <v>7.88188425852214</v>
      </c>
      <c r="H20" s="80">
        <f t="shared" si="1"/>
        <v>63.257261876116367</v>
      </c>
      <c r="I20" s="149">
        <f t="shared" si="2"/>
        <v>0</v>
      </c>
      <c r="J20" s="658">
        <f t="shared" si="3"/>
        <v>0</v>
      </c>
      <c r="L20" s="9"/>
      <c r="M20" s="10"/>
      <c r="R20" s="10"/>
    </row>
    <row r="21" spans="1:18" x14ac:dyDescent="0.25">
      <c r="A21" s="37">
        <f>Données!A21</f>
        <v>5422</v>
      </c>
      <c r="B21" s="137" t="str">
        <f>Données!B21</f>
        <v>Aubonne</v>
      </c>
      <c r="C21" s="247">
        <f>VPI!R21</f>
        <v>367761.87779411761</v>
      </c>
      <c r="D21" s="367">
        <f>+Données!AP21</f>
        <v>40.962663879480942</v>
      </c>
      <c r="E21" s="292">
        <f>VPI!Q21</f>
        <v>68</v>
      </c>
      <c r="F21" s="162">
        <f t="shared" si="0"/>
        <v>27.037336120519058</v>
      </c>
      <c r="G21" s="655">
        <f>Effort!I21+Aide!I21/Taux!C21+Effort!K21/Taux!C21</f>
        <v>37.46089940488438</v>
      </c>
      <c r="H21" s="80">
        <f t="shared" si="1"/>
        <v>64.49823552540343</v>
      </c>
      <c r="I21" s="149">
        <f t="shared" si="2"/>
        <v>0</v>
      </c>
      <c r="J21" s="658">
        <f t="shared" si="3"/>
        <v>0</v>
      </c>
      <c r="L21" s="9"/>
      <c r="M21" s="10"/>
      <c r="R21" s="10"/>
    </row>
    <row r="22" spans="1:18" x14ac:dyDescent="0.25">
      <c r="A22" s="37">
        <f>Données!A22</f>
        <v>5423</v>
      </c>
      <c r="B22" s="137" t="str">
        <f>Données!B22</f>
        <v>Ballens</v>
      </c>
      <c r="C22" s="247">
        <f>VPI!R22</f>
        <v>16526.279041095891</v>
      </c>
      <c r="D22" s="367">
        <f>+Données!AP22</f>
        <v>13.274161888132589</v>
      </c>
      <c r="E22" s="292">
        <f>VPI!Q22</f>
        <v>73</v>
      </c>
      <c r="F22" s="162">
        <f t="shared" si="0"/>
        <v>59.725838111867411</v>
      </c>
      <c r="G22" s="655">
        <f>Effort!I22+Aide!I22/Taux!C22+Effort!K22/Taux!C22</f>
        <v>-0.38843452750245078</v>
      </c>
      <c r="H22" s="80">
        <f t="shared" si="1"/>
        <v>59.337403584364964</v>
      </c>
      <c r="I22" s="149">
        <f t="shared" si="2"/>
        <v>0</v>
      </c>
      <c r="J22" s="658">
        <f t="shared" si="3"/>
        <v>0</v>
      </c>
      <c r="L22" s="9"/>
      <c r="M22" s="10"/>
      <c r="R22" s="10"/>
    </row>
    <row r="23" spans="1:18" x14ac:dyDescent="0.25">
      <c r="A23" s="37">
        <f>Données!A23</f>
        <v>5424</v>
      </c>
      <c r="B23" s="137" t="str">
        <f>Données!B23</f>
        <v>Berolle</v>
      </c>
      <c r="C23" s="247">
        <f>VPI!R23</f>
        <v>9736.045430463575</v>
      </c>
      <c r="D23" s="367">
        <f>+Données!AP23</f>
        <v>15.667545927026868</v>
      </c>
      <c r="E23" s="292">
        <f>VPI!Q23</f>
        <v>75.5</v>
      </c>
      <c r="F23" s="162">
        <f t="shared" si="0"/>
        <v>59.832454072973135</v>
      </c>
      <c r="G23" s="655">
        <f>Effort!I23+Aide!I23/Taux!C23+Effort!K23/Taux!C23</f>
        <v>4.4751797914444769</v>
      </c>
      <c r="H23" s="80">
        <f t="shared" si="1"/>
        <v>64.30763386441761</v>
      </c>
      <c r="I23" s="149">
        <f t="shared" si="2"/>
        <v>0</v>
      </c>
      <c r="J23" s="658">
        <f t="shared" si="3"/>
        <v>0</v>
      </c>
      <c r="L23" s="9"/>
      <c r="M23" s="10"/>
      <c r="R23" s="10"/>
    </row>
    <row r="24" spans="1:18" x14ac:dyDescent="0.25">
      <c r="A24" s="37">
        <f>Données!A24</f>
        <v>5425</v>
      </c>
      <c r="B24" s="137" t="str">
        <f>Données!B24</f>
        <v>Bière</v>
      </c>
      <c r="C24" s="247">
        <f>VPI!R24</f>
        <v>44858.928245877061</v>
      </c>
      <c r="D24" s="367">
        <f>+Données!AP24</f>
        <v>4.957649839352964</v>
      </c>
      <c r="E24" s="292">
        <f>VPI!Q24</f>
        <v>69</v>
      </c>
      <c r="F24" s="162">
        <f t="shared" si="0"/>
        <v>64.042350160647032</v>
      </c>
      <c r="G24" s="655">
        <f>Effort!I24+Aide!I24/Taux!C24+Effort!K24/Taux!C24</f>
        <v>-10.982433277186356</v>
      </c>
      <c r="H24" s="80">
        <f t="shared" si="1"/>
        <v>53.059916883460673</v>
      </c>
      <c r="I24" s="149">
        <f t="shared" si="2"/>
        <v>0</v>
      </c>
      <c r="J24" s="658">
        <f t="shared" si="3"/>
        <v>0</v>
      </c>
      <c r="L24" s="9"/>
      <c r="M24" s="10"/>
      <c r="R24" s="10"/>
    </row>
    <row r="25" spans="1:18" x14ac:dyDescent="0.25">
      <c r="A25" s="37">
        <f>Données!A25</f>
        <v>5426</v>
      </c>
      <c r="B25" s="137" t="str">
        <f>Données!B25</f>
        <v>Bougy-Villars</v>
      </c>
      <c r="C25" s="247">
        <f>VPI!R25</f>
        <v>68704.794547803613</v>
      </c>
      <c r="D25" s="367">
        <f>+Données!AP25</f>
        <v>46.43787644043362</v>
      </c>
      <c r="E25" s="292">
        <f>VPI!Q25</f>
        <v>64.5</v>
      </c>
      <c r="F25" s="162">
        <f t="shared" si="0"/>
        <v>18.06212355956638</v>
      </c>
      <c r="G25" s="655">
        <f>Effort!I25+Aide!I25/Taux!C25+Effort!K25/Taux!C25</f>
        <v>45.863835693942491</v>
      </c>
      <c r="H25" s="80">
        <f t="shared" si="1"/>
        <v>63.925959253508871</v>
      </c>
      <c r="I25" s="149">
        <f t="shared" si="2"/>
        <v>0</v>
      </c>
      <c r="J25" s="658">
        <f t="shared" si="3"/>
        <v>0</v>
      </c>
      <c r="L25" s="9"/>
      <c r="M25" s="10"/>
      <c r="R25" s="10"/>
    </row>
    <row r="26" spans="1:18" x14ac:dyDescent="0.25">
      <c r="A26" s="37">
        <f>Données!A26</f>
        <v>5427</v>
      </c>
      <c r="B26" s="137" t="str">
        <f>Données!B26</f>
        <v>Féchy</v>
      </c>
      <c r="C26" s="247">
        <f>VPI!R26</f>
        <v>103018.21625</v>
      </c>
      <c r="D26" s="367">
        <f>+Données!AP26</f>
        <v>39.641615369972996</v>
      </c>
      <c r="E26" s="292">
        <f>VPI!Q26</f>
        <v>64</v>
      </c>
      <c r="F26" s="162">
        <f t="shared" si="0"/>
        <v>24.358384630027004</v>
      </c>
      <c r="G26" s="655">
        <f>Effort!I26+Aide!I26/Taux!C26+Effort!K26/Taux!C26</f>
        <v>42.363545273932999</v>
      </c>
      <c r="H26" s="80">
        <f t="shared" si="1"/>
        <v>66.721929903960003</v>
      </c>
      <c r="I26" s="149">
        <f t="shared" si="2"/>
        <v>0</v>
      </c>
      <c r="J26" s="658">
        <f t="shared" si="3"/>
        <v>0</v>
      </c>
      <c r="L26" s="9"/>
      <c r="M26" s="10"/>
      <c r="R26" s="10"/>
    </row>
    <row r="27" spans="1:18" x14ac:dyDescent="0.25">
      <c r="A27" s="37">
        <f>Données!A27</f>
        <v>5428</v>
      </c>
      <c r="B27" s="137" t="str">
        <f>Données!B27</f>
        <v>Gimel</v>
      </c>
      <c r="C27" s="247">
        <f>VPI!R27</f>
        <v>75149.866461187237</v>
      </c>
      <c r="D27" s="367">
        <f>+Données!AP27</f>
        <v>6.7682096596807124</v>
      </c>
      <c r="E27" s="292">
        <f>VPI!Q27</f>
        <v>73</v>
      </c>
      <c r="F27" s="162">
        <f t="shared" si="0"/>
        <v>66.231790340319293</v>
      </c>
      <c r="G27" s="655">
        <f>Effort!I27+Aide!I27/Taux!C27+Effort!K27/Taux!C27</f>
        <v>-0.21673434690499604</v>
      </c>
      <c r="H27" s="80">
        <f t="shared" si="1"/>
        <v>66.015055993414293</v>
      </c>
      <c r="I27" s="149">
        <f t="shared" si="2"/>
        <v>0</v>
      </c>
      <c r="J27" s="658">
        <f t="shared" si="3"/>
        <v>0</v>
      </c>
      <c r="L27" s="9"/>
      <c r="M27" s="10"/>
      <c r="R27" s="10"/>
    </row>
    <row r="28" spans="1:18" x14ac:dyDescent="0.25">
      <c r="A28" s="37">
        <f>Données!A28</f>
        <v>5429</v>
      </c>
      <c r="B28" s="137" t="str">
        <f>Données!B28</f>
        <v>Longirod</v>
      </c>
      <c r="C28" s="247">
        <f>VPI!R28</f>
        <v>17947.478064516126</v>
      </c>
      <c r="D28" s="367">
        <f>+Données!AP28</f>
        <v>16.837247893111542</v>
      </c>
      <c r="E28" s="292">
        <f>VPI!Q28</f>
        <v>77.5</v>
      </c>
      <c r="F28" s="162">
        <f t="shared" si="0"/>
        <v>60.662752106888462</v>
      </c>
      <c r="G28" s="655">
        <f>Effort!I28+Aide!I28/Taux!C28+Effort!K28/Taux!C28</f>
        <v>7.3176199798612966</v>
      </c>
      <c r="H28" s="80">
        <f t="shared" si="1"/>
        <v>67.980372086749753</v>
      </c>
      <c r="I28" s="149">
        <f t="shared" si="2"/>
        <v>0</v>
      </c>
      <c r="J28" s="658">
        <f t="shared" si="3"/>
        <v>0</v>
      </c>
      <c r="L28" s="9"/>
      <c r="M28" s="10"/>
      <c r="R28" s="10"/>
    </row>
    <row r="29" spans="1:18" x14ac:dyDescent="0.25">
      <c r="A29" s="37">
        <f>Données!A29</f>
        <v>5430</v>
      </c>
      <c r="B29" s="137" t="str">
        <f>Données!B29</f>
        <v>Marchissy</v>
      </c>
      <c r="C29" s="247">
        <f>VPI!R29</f>
        <v>16228.828774193547</v>
      </c>
      <c r="D29" s="367">
        <f>+Données!AP29</f>
        <v>13.394679852902417</v>
      </c>
      <c r="E29" s="292">
        <f>VPI!Q29</f>
        <v>77.5</v>
      </c>
      <c r="F29" s="162">
        <f t="shared" si="0"/>
        <v>64.105320147097586</v>
      </c>
      <c r="G29" s="655">
        <f>Effort!I29+Aide!I29/Taux!C29+Effort!K29/Taux!C29</f>
        <v>8.1867478814662107</v>
      </c>
      <c r="H29" s="80">
        <f t="shared" si="1"/>
        <v>72.29206802856379</v>
      </c>
      <c r="I29" s="149">
        <f t="shared" si="2"/>
        <v>0</v>
      </c>
      <c r="J29" s="658">
        <f t="shared" si="3"/>
        <v>0</v>
      </c>
      <c r="L29" s="9"/>
      <c r="M29" s="10"/>
      <c r="R29" s="10"/>
    </row>
    <row r="30" spans="1:18" x14ac:dyDescent="0.25">
      <c r="A30" s="37">
        <f>Données!A30</f>
        <v>5431</v>
      </c>
      <c r="B30" s="137" t="str">
        <f>Données!B30</f>
        <v>Mollens</v>
      </c>
      <c r="C30" s="247">
        <f>VPI!R30</f>
        <v>10701.336756756757</v>
      </c>
      <c r="D30" s="367">
        <f>+Données!AP30</f>
        <v>10.901769077518958</v>
      </c>
      <c r="E30" s="292">
        <f>VPI!Q30</f>
        <v>74</v>
      </c>
      <c r="F30" s="162">
        <f t="shared" si="0"/>
        <v>63.098230922481044</v>
      </c>
      <c r="G30" s="655">
        <f>Effort!I30+Aide!I30/Taux!C30+Effort!K30/Taux!C30</f>
        <v>7.4047792301841664</v>
      </c>
      <c r="H30" s="80">
        <f t="shared" si="1"/>
        <v>70.503010152665212</v>
      </c>
      <c r="I30" s="149">
        <f t="shared" si="2"/>
        <v>0</v>
      </c>
      <c r="J30" s="658">
        <f t="shared" si="3"/>
        <v>0</v>
      </c>
      <c r="L30" s="9"/>
      <c r="M30" s="10"/>
      <c r="R30" s="10"/>
    </row>
    <row r="31" spans="1:18" x14ac:dyDescent="0.25">
      <c r="A31" s="37">
        <f>Données!A31</f>
        <v>5434</v>
      </c>
      <c r="B31" s="137" t="str">
        <f>Données!B31</f>
        <v>Saint-George</v>
      </c>
      <c r="C31" s="247">
        <f>VPI!R31</f>
        <v>50881.209304556367</v>
      </c>
      <c r="D31" s="367">
        <f>+Données!AP31</f>
        <v>24.82780709975988</v>
      </c>
      <c r="E31" s="292">
        <f>VPI!Q31</f>
        <v>69.5</v>
      </c>
      <c r="F31" s="162">
        <f t="shared" si="0"/>
        <v>44.67219290024012</v>
      </c>
      <c r="G31" s="655">
        <f>Effort!I31+Aide!I31/Taux!C31+Effort!K31/Taux!C31</f>
        <v>25.100906789594752</v>
      </c>
      <c r="H31" s="80">
        <f t="shared" si="1"/>
        <v>69.773099689834879</v>
      </c>
      <c r="I31" s="149">
        <f t="shared" si="2"/>
        <v>0</v>
      </c>
      <c r="J31" s="658">
        <f t="shared" si="3"/>
        <v>0</v>
      </c>
      <c r="L31" s="9"/>
      <c r="M31" s="10"/>
      <c r="R31" s="10"/>
    </row>
    <row r="32" spans="1:18" x14ac:dyDescent="0.25">
      <c r="A32" s="37">
        <f>Données!A32</f>
        <v>5435</v>
      </c>
      <c r="B32" s="137" t="str">
        <f>Données!B32</f>
        <v>Saint-Livres</v>
      </c>
      <c r="C32" s="247">
        <f>VPI!R32</f>
        <v>27013.42144927536</v>
      </c>
      <c r="D32" s="367">
        <f>+Données!AP32</f>
        <v>21.494244214638009</v>
      </c>
      <c r="E32" s="292">
        <f>VPI!Q32</f>
        <v>69</v>
      </c>
      <c r="F32" s="162">
        <f t="shared" si="0"/>
        <v>47.505755785361991</v>
      </c>
      <c r="G32" s="655">
        <f>Effort!I32+Aide!I32/Taux!C32+Effort!K32/Taux!C32</f>
        <v>18.718706744220935</v>
      </c>
      <c r="H32" s="80">
        <f t="shared" si="1"/>
        <v>66.224462529582922</v>
      </c>
      <c r="I32" s="149">
        <f t="shared" si="2"/>
        <v>0</v>
      </c>
      <c r="J32" s="658">
        <f t="shared" si="3"/>
        <v>0</v>
      </c>
      <c r="L32" s="9"/>
      <c r="M32" s="10"/>
      <c r="R32" s="10"/>
    </row>
    <row r="33" spans="1:18" x14ac:dyDescent="0.25">
      <c r="A33" s="37">
        <f>Données!A33</f>
        <v>5436</v>
      </c>
      <c r="B33" s="137" t="str">
        <f>Données!B33</f>
        <v>Saint-Oyens</v>
      </c>
      <c r="C33" s="247">
        <f>VPI!R33</f>
        <v>17587.95702531646</v>
      </c>
      <c r="D33" s="367">
        <f>+Données!AP33</f>
        <v>17.136667614433076</v>
      </c>
      <c r="E33" s="292">
        <f>VPI!Q33</f>
        <v>79</v>
      </c>
      <c r="F33" s="162">
        <f t="shared" si="0"/>
        <v>61.86333238556692</v>
      </c>
      <c r="G33" s="655">
        <f>Effort!I33+Aide!I33/Taux!C33+Effort!K33/Taux!C33</f>
        <v>19.765686205862636</v>
      </c>
      <c r="H33" s="80">
        <f t="shared" si="1"/>
        <v>81.629018591429556</v>
      </c>
      <c r="I33" s="149">
        <f t="shared" si="2"/>
        <v>0</v>
      </c>
      <c r="J33" s="658">
        <f t="shared" si="3"/>
        <v>0</v>
      </c>
      <c r="L33" s="9"/>
      <c r="M33" s="10"/>
      <c r="R33" s="10"/>
    </row>
    <row r="34" spans="1:18" x14ac:dyDescent="0.25">
      <c r="A34" s="37">
        <f>Données!A34</f>
        <v>5437</v>
      </c>
      <c r="B34" s="137" t="str">
        <f>Données!B34</f>
        <v>Saubraz</v>
      </c>
      <c r="C34" s="247">
        <f>VPI!R34</f>
        <v>13211.02075</v>
      </c>
      <c r="D34" s="367">
        <f>+Données!AP34</f>
        <v>18.927033457184102</v>
      </c>
      <c r="E34" s="292">
        <f>VPI!Q34</f>
        <v>80</v>
      </c>
      <c r="F34" s="162">
        <f t="shared" si="0"/>
        <v>61.072966542815898</v>
      </c>
      <c r="G34" s="655">
        <f>Effort!I34+Aide!I34/Taux!C34+Effort!K34/Taux!C34</f>
        <v>-14.352195034574944</v>
      </c>
      <c r="H34" s="80">
        <f t="shared" si="1"/>
        <v>46.720771508240958</v>
      </c>
      <c r="I34" s="149">
        <f t="shared" si="2"/>
        <v>0</v>
      </c>
      <c r="J34" s="658">
        <f t="shared" si="3"/>
        <v>0</v>
      </c>
      <c r="L34" s="9"/>
      <c r="M34" s="10"/>
      <c r="R34" s="10"/>
    </row>
    <row r="35" spans="1:18" x14ac:dyDescent="0.25">
      <c r="A35" s="37">
        <f>Données!A35</f>
        <v>5451</v>
      </c>
      <c r="B35" s="137" t="str">
        <f>Données!B35</f>
        <v>Avenches</v>
      </c>
      <c r="C35" s="247">
        <f>VPI!R35</f>
        <v>142009.89482051283</v>
      </c>
      <c r="D35" s="367">
        <f>+Données!AP35</f>
        <v>6.529206993360658</v>
      </c>
      <c r="E35" s="292">
        <f>VPI!Q35</f>
        <v>65</v>
      </c>
      <c r="F35" s="162">
        <f t="shared" si="0"/>
        <v>58.47079300663934</v>
      </c>
      <c r="G35" s="655">
        <f>Effort!I35+Aide!I35/Taux!C35+Effort!K35/Taux!C35</f>
        <v>-4.2056513638865702</v>
      </c>
      <c r="H35" s="80">
        <f t="shared" si="1"/>
        <v>54.265141642752766</v>
      </c>
      <c r="I35" s="149">
        <f t="shared" si="2"/>
        <v>0</v>
      </c>
      <c r="J35" s="658">
        <f t="shared" si="3"/>
        <v>0</v>
      </c>
      <c r="L35" s="9"/>
      <c r="M35" s="10"/>
      <c r="R35" s="10"/>
    </row>
    <row r="36" spans="1:18" x14ac:dyDescent="0.25">
      <c r="A36" s="37">
        <f>Données!A36</f>
        <v>5456</v>
      </c>
      <c r="B36" s="137" t="str">
        <f>Données!B36</f>
        <v>Cudrefin</v>
      </c>
      <c r="C36" s="247">
        <f>VPI!R36</f>
        <v>69270.195988700565</v>
      </c>
      <c r="D36" s="367">
        <f>+Données!AP36</f>
        <v>20.019803267799062</v>
      </c>
      <c r="E36" s="292">
        <f>VPI!Q36</f>
        <v>59</v>
      </c>
      <c r="F36" s="162">
        <f t="shared" si="0"/>
        <v>38.980196732200938</v>
      </c>
      <c r="G36" s="655">
        <f>Effort!I36+Aide!I36/Taux!C36+Effort!K36/Taux!C36</f>
        <v>15.698724648128577</v>
      </c>
      <c r="H36" s="80">
        <f t="shared" si="1"/>
        <v>54.678921380329513</v>
      </c>
      <c r="I36" s="149">
        <f t="shared" si="2"/>
        <v>0</v>
      </c>
      <c r="J36" s="658">
        <f t="shared" si="3"/>
        <v>0</v>
      </c>
      <c r="L36" s="9"/>
      <c r="M36" s="10"/>
      <c r="R36" s="10"/>
    </row>
    <row r="37" spans="1:18" x14ac:dyDescent="0.25">
      <c r="A37" s="37">
        <f>Données!A37</f>
        <v>5458</v>
      </c>
      <c r="B37" s="137" t="str">
        <f>Données!B37</f>
        <v>Faoug</v>
      </c>
      <c r="C37" s="247">
        <f>VPI!R37</f>
        <v>33300.633333333331</v>
      </c>
      <c r="D37" s="367">
        <f>+Données!AP37</f>
        <v>18.729981291594378</v>
      </c>
      <c r="E37" s="292">
        <f>VPI!Q37</f>
        <v>65</v>
      </c>
      <c r="F37" s="162">
        <f t="shared" si="0"/>
        <v>46.270018708405622</v>
      </c>
      <c r="G37" s="655">
        <f>Effort!I37+Aide!I37/Taux!C37+Effort!K37/Taux!C37</f>
        <v>18.084379337506597</v>
      </c>
      <c r="H37" s="80">
        <f t="shared" si="1"/>
        <v>64.35439804591222</v>
      </c>
      <c r="I37" s="149">
        <f t="shared" si="2"/>
        <v>0</v>
      </c>
      <c r="J37" s="658">
        <f t="shared" si="3"/>
        <v>0</v>
      </c>
      <c r="L37" s="9"/>
      <c r="M37" s="10"/>
      <c r="R37" s="10"/>
    </row>
    <row r="38" spans="1:18" x14ac:dyDescent="0.25">
      <c r="A38" s="37">
        <f>Données!A38</f>
        <v>5464</v>
      </c>
      <c r="B38" s="137" t="str">
        <f>Données!B38</f>
        <v>Vully-les-Lacs</v>
      </c>
      <c r="C38" s="247">
        <f>VPI!R38</f>
        <v>124498.36985074625</v>
      </c>
      <c r="D38" s="367">
        <f>+Données!AP38</f>
        <v>14.549736885639245</v>
      </c>
      <c r="E38" s="292">
        <f>VPI!Q38</f>
        <v>67</v>
      </c>
      <c r="F38" s="162">
        <f t="shared" si="0"/>
        <v>52.450263114360752</v>
      </c>
      <c r="G38" s="655">
        <f>Effort!I38+Aide!I38/Taux!C38+Effort!K38/Taux!C38</f>
        <v>6.4053710258440049</v>
      </c>
      <c r="H38" s="80">
        <f t="shared" si="1"/>
        <v>58.855634140204756</v>
      </c>
      <c r="I38" s="149">
        <f t="shared" si="2"/>
        <v>0</v>
      </c>
      <c r="J38" s="658">
        <f t="shared" si="3"/>
        <v>0</v>
      </c>
      <c r="L38" s="9"/>
      <c r="M38" s="10"/>
      <c r="R38" s="10"/>
    </row>
    <row r="39" spans="1:18" x14ac:dyDescent="0.25">
      <c r="A39" s="37">
        <f>Données!A39</f>
        <v>5471</v>
      </c>
      <c r="B39" s="137" t="str">
        <f>Données!B39</f>
        <v>Bettens</v>
      </c>
      <c r="C39" s="247">
        <f>VPI!R39</f>
        <v>23785.854190476188</v>
      </c>
      <c r="D39" s="367">
        <f>+Données!AP39</f>
        <v>20.51594253029802</v>
      </c>
      <c r="E39" s="292">
        <f>VPI!Q39</f>
        <v>70</v>
      </c>
      <c r="F39" s="162">
        <f t="shared" si="0"/>
        <v>49.48405746970198</v>
      </c>
      <c r="G39" s="655">
        <f>Effort!I39+Aide!I39/Taux!C39+Effort!K39/Taux!C39</f>
        <v>19.551590694149944</v>
      </c>
      <c r="H39" s="80">
        <f t="shared" si="1"/>
        <v>69.035648163851931</v>
      </c>
      <c r="I39" s="149">
        <f t="shared" si="2"/>
        <v>0</v>
      </c>
      <c r="J39" s="658">
        <f t="shared" si="3"/>
        <v>0</v>
      </c>
      <c r="L39" s="9"/>
      <c r="M39" s="10"/>
      <c r="R39" s="10"/>
    </row>
    <row r="40" spans="1:18" x14ac:dyDescent="0.25">
      <c r="A40" s="37">
        <f>Données!A40</f>
        <v>5472</v>
      </c>
      <c r="B40" s="137" t="str">
        <f>Données!B40</f>
        <v>Bournens</v>
      </c>
      <c r="C40" s="247">
        <f>VPI!R40</f>
        <v>19794.03169230769</v>
      </c>
      <c r="D40" s="367">
        <f>+Données!AP40</f>
        <v>22.320261404416517</v>
      </c>
      <c r="E40" s="292">
        <f>VPI!Q40</f>
        <v>65</v>
      </c>
      <c r="F40" s="162">
        <f t="shared" si="0"/>
        <v>42.679738595583487</v>
      </c>
      <c r="G40" s="655">
        <f>Effort!I40+Aide!I40/Taux!C40+Effort!K40/Taux!C40</f>
        <v>17.85255210417791</v>
      </c>
      <c r="H40" s="80">
        <f t="shared" si="1"/>
        <v>60.532290699761397</v>
      </c>
      <c r="I40" s="149">
        <f t="shared" si="2"/>
        <v>0</v>
      </c>
      <c r="J40" s="658">
        <f t="shared" si="3"/>
        <v>0</v>
      </c>
      <c r="L40" s="9"/>
      <c r="M40" s="10"/>
      <c r="R40" s="10"/>
    </row>
    <row r="41" spans="1:18" x14ac:dyDescent="0.25">
      <c r="A41" s="37">
        <f>Données!A41</f>
        <v>5473</v>
      </c>
      <c r="B41" s="137" t="str">
        <f>Données!B41</f>
        <v>Boussens</v>
      </c>
      <c r="C41" s="247">
        <f>VPI!R41</f>
        <v>38638.005156250001</v>
      </c>
      <c r="D41" s="367">
        <f>+Données!AP41</f>
        <v>21.790238991503127</v>
      </c>
      <c r="E41" s="292">
        <f>VPI!Q41</f>
        <v>64</v>
      </c>
      <c r="F41" s="162">
        <f t="shared" si="0"/>
        <v>42.209761008496869</v>
      </c>
      <c r="G41" s="655">
        <f>Effort!I41+Aide!I41/Taux!C41+Effort!K41/Taux!C41</f>
        <v>22.205464439280931</v>
      </c>
      <c r="H41" s="80">
        <f t="shared" si="1"/>
        <v>64.4152254477778</v>
      </c>
      <c r="I41" s="149">
        <f t="shared" si="2"/>
        <v>0</v>
      </c>
      <c r="J41" s="658">
        <f t="shared" si="3"/>
        <v>0</v>
      </c>
      <c r="L41" s="9"/>
      <c r="M41" s="10"/>
      <c r="R41" s="10"/>
    </row>
    <row r="42" spans="1:18" x14ac:dyDescent="0.25">
      <c r="A42" s="37">
        <f>Données!A42</f>
        <v>5474</v>
      </c>
      <c r="B42" s="137" t="str">
        <f>Données!B42</f>
        <v>La Chaux (Cossonay)</v>
      </c>
      <c r="C42" s="247">
        <f>VPI!R42</f>
        <v>13264.060789473682</v>
      </c>
      <c r="D42" s="367">
        <f>+Données!AP42</f>
        <v>16.59527822295567</v>
      </c>
      <c r="E42" s="292">
        <f>VPI!Q42</f>
        <v>76</v>
      </c>
      <c r="F42" s="162">
        <f t="shared" si="0"/>
        <v>59.40472177704433</v>
      </c>
      <c r="G42" s="655">
        <f>Effort!I42+Aide!I42/Taux!C42+Effort!K42/Taux!C42</f>
        <v>3.3027001145736854</v>
      </c>
      <c r="H42" s="80">
        <f t="shared" si="1"/>
        <v>62.707421891618012</v>
      </c>
      <c r="I42" s="149">
        <f t="shared" si="2"/>
        <v>0</v>
      </c>
      <c r="J42" s="658">
        <f t="shared" si="3"/>
        <v>0</v>
      </c>
      <c r="L42" s="9"/>
      <c r="M42" s="10"/>
      <c r="R42" s="10"/>
    </row>
    <row r="43" spans="1:18" x14ac:dyDescent="0.25">
      <c r="A43" s="37">
        <f>Données!A43</f>
        <v>5475</v>
      </c>
      <c r="B43" s="137" t="str">
        <f>Données!B43</f>
        <v>Chavannes-le-Veyron</v>
      </c>
      <c r="C43" s="247">
        <f>VPI!R43</f>
        <v>4088.5965333333334</v>
      </c>
      <c r="D43" s="367">
        <f>+Données!AP43</f>
        <v>10.405202679104503</v>
      </c>
      <c r="E43" s="292">
        <f>VPI!Q43</f>
        <v>75</v>
      </c>
      <c r="F43" s="162">
        <f t="shared" si="0"/>
        <v>64.594797320895495</v>
      </c>
      <c r="G43" s="655">
        <f>Effort!I43+Aide!I43/Taux!C43+Effort!K43/Taux!C43</f>
        <v>-22.61409679856413</v>
      </c>
      <c r="H43" s="80">
        <f t="shared" si="1"/>
        <v>41.980700522331361</v>
      </c>
      <c r="I43" s="149">
        <f t="shared" si="2"/>
        <v>0</v>
      </c>
      <c r="J43" s="658">
        <f t="shared" si="3"/>
        <v>0</v>
      </c>
      <c r="L43" s="9"/>
      <c r="M43" s="10"/>
      <c r="R43" s="10"/>
    </row>
    <row r="44" spans="1:18" x14ac:dyDescent="0.25">
      <c r="A44" s="37">
        <f>Données!A44</f>
        <v>5476</v>
      </c>
      <c r="B44" s="137" t="str">
        <f>Données!B44</f>
        <v>Chevilly</v>
      </c>
      <c r="C44" s="247">
        <f>VPI!R44</f>
        <v>11956.878714285715</v>
      </c>
      <c r="D44" s="367">
        <f>+Données!AP44</f>
        <v>22.594143675573189</v>
      </c>
      <c r="E44" s="292">
        <f>VPI!Q44</f>
        <v>70</v>
      </c>
      <c r="F44" s="162">
        <f t="shared" si="0"/>
        <v>47.405856324426807</v>
      </c>
      <c r="G44" s="655">
        <f>Effort!I44+Aide!I44/Taux!C44+Effort!K44/Taux!C44</f>
        <v>8.5681639492380057</v>
      </c>
      <c r="H44" s="80">
        <f t="shared" si="1"/>
        <v>55.974020273664813</v>
      </c>
      <c r="I44" s="149">
        <f t="shared" si="2"/>
        <v>0</v>
      </c>
      <c r="J44" s="658">
        <f t="shared" si="3"/>
        <v>0</v>
      </c>
      <c r="L44" s="9"/>
      <c r="M44" s="10"/>
      <c r="R44" s="10"/>
    </row>
    <row r="45" spans="1:18" x14ac:dyDescent="0.25">
      <c r="A45" s="37">
        <f>Données!A45</f>
        <v>5477</v>
      </c>
      <c r="B45" s="137" t="str">
        <f>Données!B45</f>
        <v>Cossonay</v>
      </c>
      <c r="C45" s="247">
        <f>VPI!R45</f>
        <v>181500.7204411765</v>
      </c>
      <c r="D45" s="367">
        <f>+Données!AP45</f>
        <v>10.045193575565275</v>
      </c>
      <c r="E45" s="292">
        <f>VPI!Q45</f>
        <v>68</v>
      </c>
      <c r="F45" s="162">
        <f t="shared" si="0"/>
        <v>57.954806424434722</v>
      </c>
      <c r="G45" s="655">
        <f>Effort!I45+Aide!I45/Taux!C45+Effort!K45/Taux!C45</f>
        <v>9.1745893649780328</v>
      </c>
      <c r="H45" s="80">
        <f t="shared" si="1"/>
        <v>67.129395789412754</v>
      </c>
      <c r="I45" s="149">
        <f t="shared" si="2"/>
        <v>0</v>
      </c>
      <c r="J45" s="658">
        <f t="shared" si="3"/>
        <v>0</v>
      </c>
      <c r="L45" s="9"/>
      <c r="M45" s="10"/>
      <c r="R45" s="10"/>
    </row>
    <row r="46" spans="1:18" x14ac:dyDescent="0.25">
      <c r="A46" s="37">
        <f>Données!A46</f>
        <v>5479</v>
      </c>
      <c r="B46" s="137" t="str">
        <f>Données!B46</f>
        <v>Cuarnens</v>
      </c>
      <c r="C46" s="247">
        <f>VPI!R46</f>
        <v>19152.633421052633</v>
      </c>
      <c r="D46" s="367">
        <f>+Données!AP46</f>
        <v>17.280760407532128</v>
      </c>
      <c r="E46" s="292">
        <f>VPI!Q46</f>
        <v>76</v>
      </c>
      <c r="F46" s="162">
        <f t="shared" si="0"/>
        <v>58.719239592467872</v>
      </c>
      <c r="G46" s="655">
        <f>Effort!I46+Aide!I46/Taux!C46+Effort!K46/Taux!C46</f>
        <v>5.5433618725094753</v>
      </c>
      <c r="H46" s="80">
        <f t="shared" si="1"/>
        <v>64.262601464977351</v>
      </c>
      <c r="I46" s="149">
        <f t="shared" si="2"/>
        <v>0</v>
      </c>
      <c r="J46" s="658">
        <f t="shared" si="3"/>
        <v>0</v>
      </c>
      <c r="L46" s="9"/>
      <c r="M46" s="10"/>
      <c r="R46" s="10"/>
    </row>
    <row r="47" spans="1:18" x14ac:dyDescent="0.25">
      <c r="A47" s="37">
        <f>Données!A47</f>
        <v>5480</v>
      </c>
      <c r="B47" s="137" t="str">
        <f>Données!B47</f>
        <v>Daillens</v>
      </c>
      <c r="C47" s="247">
        <f>VPI!R47</f>
        <v>49509.108484848482</v>
      </c>
      <c r="D47" s="367">
        <f>+Données!AP47</f>
        <v>26.474417412505801</v>
      </c>
      <c r="E47" s="292">
        <f>VPI!Q47</f>
        <v>66</v>
      </c>
      <c r="F47" s="162">
        <f t="shared" si="0"/>
        <v>39.525582587494199</v>
      </c>
      <c r="G47" s="655">
        <f>Effort!I47+Aide!I47/Taux!C47+Effort!K47/Taux!C47</f>
        <v>23.374058008961825</v>
      </c>
      <c r="H47" s="80">
        <f t="shared" si="1"/>
        <v>62.899640596456024</v>
      </c>
      <c r="I47" s="149">
        <f t="shared" si="2"/>
        <v>0</v>
      </c>
      <c r="J47" s="658">
        <f t="shared" si="3"/>
        <v>0</v>
      </c>
      <c r="L47" s="9"/>
      <c r="M47" s="10"/>
      <c r="R47" s="10"/>
    </row>
    <row r="48" spans="1:18" x14ac:dyDescent="0.25">
      <c r="A48" s="37">
        <f>Données!A48</f>
        <v>5481</v>
      </c>
      <c r="B48" s="137" t="str">
        <f>Données!B48</f>
        <v>Dizy</v>
      </c>
      <c r="C48" s="247">
        <f>VPI!R48</f>
        <v>12384.965733333334</v>
      </c>
      <c r="D48" s="367">
        <f>+Données!AP48</f>
        <v>20.317577580545482</v>
      </c>
      <c r="E48" s="292">
        <f>VPI!Q48</f>
        <v>75</v>
      </c>
      <c r="F48" s="162">
        <f t="shared" si="0"/>
        <v>54.682422419454518</v>
      </c>
      <c r="G48" s="655">
        <f>Effort!I48+Aide!I48/Taux!C48+Effort!K48/Taux!C48</f>
        <v>28.124175145670385</v>
      </c>
      <c r="H48" s="80">
        <f t="shared" si="1"/>
        <v>82.806597565124903</v>
      </c>
      <c r="I48" s="149">
        <f t="shared" si="2"/>
        <v>0</v>
      </c>
      <c r="J48" s="658">
        <f t="shared" si="3"/>
        <v>0</v>
      </c>
      <c r="L48" s="9"/>
      <c r="M48" s="10"/>
      <c r="R48" s="10"/>
    </row>
    <row r="49" spans="1:18" x14ac:dyDescent="0.25">
      <c r="A49" s="37">
        <f>Données!A49</f>
        <v>5482</v>
      </c>
      <c r="B49" s="137" t="str">
        <f>Données!B49</f>
        <v>Eclépens</v>
      </c>
      <c r="C49" s="247">
        <f>VPI!R49</f>
        <v>54393.337391304347</v>
      </c>
      <c r="D49" s="367">
        <f>+Données!AP49</f>
        <v>27.203965931366163</v>
      </c>
      <c r="E49" s="292">
        <f>VPI!Q49</f>
        <v>46</v>
      </c>
      <c r="F49" s="162">
        <f t="shared" si="0"/>
        <v>18.796034068633837</v>
      </c>
      <c r="G49" s="655">
        <f>Effort!I49+Aide!I49/Taux!C49+Effort!K49/Taux!C49</f>
        <v>22.925473127610861</v>
      </c>
      <c r="H49" s="80">
        <f t="shared" si="1"/>
        <v>41.721507196244701</v>
      </c>
      <c r="I49" s="149">
        <f t="shared" si="2"/>
        <v>0</v>
      </c>
      <c r="J49" s="658">
        <f t="shared" si="3"/>
        <v>0</v>
      </c>
      <c r="L49" s="9"/>
      <c r="M49" s="10"/>
      <c r="R49" s="10"/>
    </row>
    <row r="50" spans="1:18" x14ac:dyDescent="0.25">
      <c r="A50" s="37">
        <f>Données!A50</f>
        <v>5483</v>
      </c>
      <c r="B50" s="137" t="str">
        <f>Données!B50</f>
        <v>Ferreyres</v>
      </c>
      <c r="C50" s="247">
        <f>VPI!R50</f>
        <v>11195.615526315791</v>
      </c>
      <c r="D50" s="367">
        <f>+Données!AP50</f>
        <v>19.76414982119611</v>
      </c>
      <c r="E50" s="292">
        <f>VPI!Q50</f>
        <v>76</v>
      </c>
      <c r="F50" s="162">
        <f t="shared" si="0"/>
        <v>56.235850178803886</v>
      </c>
      <c r="G50" s="655">
        <f>Effort!I50+Aide!I50/Taux!C50+Effort!K50/Taux!C50</f>
        <v>17.984375921251289</v>
      </c>
      <c r="H50" s="80">
        <f t="shared" si="1"/>
        <v>74.220226100055172</v>
      </c>
      <c r="I50" s="149">
        <f t="shared" si="2"/>
        <v>0</v>
      </c>
      <c r="J50" s="658">
        <f t="shared" si="3"/>
        <v>0</v>
      </c>
      <c r="L50" s="9"/>
      <c r="M50" s="10"/>
      <c r="R50" s="10"/>
    </row>
    <row r="51" spans="1:18" x14ac:dyDescent="0.25">
      <c r="A51" s="37">
        <f>Données!A51</f>
        <v>5484</v>
      </c>
      <c r="B51" s="137" t="str">
        <f>Données!B51</f>
        <v>Gollion</v>
      </c>
      <c r="C51" s="247">
        <f>VPI!R51</f>
        <v>33718.962837837833</v>
      </c>
      <c r="D51" s="367">
        <f>+Données!AP51</f>
        <v>15.09167041900233</v>
      </c>
      <c r="E51" s="292">
        <f>VPI!Q51</f>
        <v>74</v>
      </c>
      <c r="F51" s="162">
        <f t="shared" si="0"/>
        <v>58.908329580997673</v>
      </c>
      <c r="G51" s="655">
        <f>Effort!I51+Aide!I51/Taux!C51+Effort!K51/Taux!C51</f>
        <v>0.92123457263300423</v>
      </c>
      <c r="H51" s="80">
        <f t="shared" si="1"/>
        <v>59.829564153630677</v>
      </c>
      <c r="I51" s="149">
        <f t="shared" si="2"/>
        <v>0</v>
      </c>
      <c r="J51" s="658">
        <f t="shared" si="3"/>
        <v>0</v>
      </c>
      <c r="L51" s="9"/>
      <c r="M51" s="10"/>
      <c r="R51" s="10"/>
    </row>
    <row r="52" spans="1:18" x14ac:dyDescent="0.25">
      <c r="A52" s="37">
        <f>Données!A52</f>
        <v>5485</v>
      </c>
      <c r="B52" s="137" t="str">
        <f>Données!B52</f>
        <v>Grancy</v>
      </c>
      <c r="C52" s="247">
        <f>VPI!R52</f>
        <v>26449.499428571431</v>
      </c>
      <c r="D52" s="367">
        <f>+Données!AP52</f>
        <v>29.412165005937435</v>
      </c>
      <c r="E52" s="292">
        <f>VPI!Q52</f>
        <v>70</v>
      </c>
      <c r="F52" s="162">
        <f t="shared" si="0"/>
        <v>40.587834994062561</v>
      </c>
      <c r="G52" s="655">
        <f>Effort!I52+Aide!I52/Taux!C52+Effort!K52/Taux!C52</f>
        <v>24.072678618169068</v>
      </c>
      <c r="H52" s="80">
        <f t="shared" si="1"/>
        <v>64.660513612231625</v>
      </c>
      <c r="I52" s="149">
        <f t="shared" si="2"/>
        <v>0</v>
      </c>
      <c r="J52" s="658">
        <f t="shared" si="3"/>
        <v>0</v>
      </c>
      <c r="L52" s="9"/>
      <c r="M52" s="10"/>
      <c r="R52" s="10"/>
    </row>
    <row r="53" spans="1:18" x14ac:dyDescent="0.25">
      <c r="A53" s="37">
        <f>Données!A53</f>
        <v>5486</v>
      </c>
      <c r="B53" s="137" t="str">
        <f>Données!B53</f>
        <v>L'Isle</v>
      </c>
      <c r="C53" s="247">
        <f>VPI!R53</f>
        <v>36962.66320000001</v>
      </c>
      <c r="D53" s="367">
        <f>+Données!AP53</f>
        <v>12.771851589125813</v>
      </c>
      <c r="E53" s="292">
        <f>VPI!Q53</f>
        <v>75</v>
      </c>
      <c r="F53" s="162">
        <f t="shared" si="0"/>
        <v>62.228148410874184</v>
      </c>
      <c r="G53" s="655">
        <f>Effort!I53+Aide!I53/Taux!C53+Effort!K53/Taux!C53</f>
        <v>7.948316682435479</v>
      </c>
      <c r="H53" s="80">
        <f t="shared" si="1"/>
        <v>70.176465093309659</v>
      </c>
      <c r="I53" s="149">
        <f t="shared" si="2"/>
        <v>0</v>
      </c>
      <c r="J53" s="658">
        <f t="shared" si="3"/>
        <v>0</v>
      </c>
      <c r="L53" s="9"/>
      <c r="M53" s="10"/>
      <c r="R53" s="10"/>
    </row>
    <row r="54" spans="1:18" x14ac:dyDescent="0.25">
      <c r="A54" s="37">
        <f>Données!A54</f>
        <v>5487</v>
      </c>
      <c r="B54" s="137" t="str">
        <f>Données!B54</f>
        <v>Lussery-Villars</v>
      </c>
      <c r="C54" s="247">
        <f>VPI!R54</f>
        <v>15075.076666666666</v>
      </c>
      <c r="D54" s="367">
        <f>+Données!AP54</f>
        <v>13.880332262457175</v>
      </c>
      <c r="E54" s="292">
        <f>VPI!Q54</f>
        <v>75</v>
      </c>
      <c r="F54" s="162">
        <f t="shared" si="0"/>
        <v>61.119667737542827</v>
      </c>
      <c r="G54" s="655">
        <f>Effort!I54+Aide!I54/Taux!C54+Effort!K54/Taux!C54</f>
        <v>14.140829160916063</v>
      </c>
      <c r="H54" s="80">
        <f t="shared" si="1"/>
        <v>75.260496898458882</v>
      </c>
      <c r="I54" s="149">
        <f t="shared" si="2"/>
        <v>0</v>
      </c>
      <c r="J54" s="658">
        <f t="shared" si="3"/>
        <v>0</v>
      </c>
      <c r="L54" s="9"/>
      <c r="M54" s="10"/>
      <c r="R54" s="10"/>
    </row>
    <row r="55" spans="1:18" x14ac:dyDescent="0.25">
      <c r="A55" s="37">
        <f>Données!A55</f>
        <v>5488</v>
      </c>
      <c r="B55" s="137" t="str">
        <f>Données!B55</f>
        <v>Mauraz</v>
      </c>
      <c r="C55" s="247">
        <f>VPI!R55</f>
        <v>1889.5633766233766</v>
      </c>
      <c r="D55" s="367">
        <f>+Données!AP55</f>
        <v>9.2871747997845837</v>
      </c>
      <c r="E55" s="292">
        <f>VPI!Q55</f>
        <v>77</v>
      </c>
      <c r="F55" s="162">
        <f t="shared" si="0"/>
        <v>67.71282520021542</v>
      </c>
      <c r="G55" s="655">
        <f>Effort!I55+Aide!I55/Taux!C55+Effort!K55/Taux!C55</f>
        <v>-14.060527918072221</v>
      </c>
      <c r="H55" s="80">
        <f t="shared" si="1"/>
        <v>53.652297282143195</v>
      </c>
      <c r="I55" s="149">
        <f t="shared" si="2"/>
        <v>0</v>
      </c>
      <c r="J55" s="658">
        <f t="shared" si="3"/>
        <v>0</v>
      </c>
      <c r="L55" s="9"/>
      <c r="M55" s="10"/>
      <c r="R55" s="10"/>
    </row>
    <row r="56" spans="1:18" x14ac:dyDescent="0.25">
      <c r="A56" s="37">
        <f>Données!A56</f>
        <v>5489</v>
      </c>
      <c r="B56" s="137" t="str">
        <f>Données!B56</f>
        <v>Mex</v>
      </c>
      <c r="C56" s="247">
        <f>VPI!R56</f>
        <v>77108.405546218492</v>
      </c>
      <c r="D56" s="367">
        <f>+Données!AP56</f>
        <v>34.506049869828949</v>
      </c>
      <c r="E56" s="292">
        <f>VPI!Q56</f>
        <v>59.5</v>
      </c>
      <c r="F56" s="162">
        <f t="shared" si="0"/>
        <v>24.993950130171051</v>
      </c>
      <c r="G56" s="655">
        <f>Effort!I56+Aide!I56/Taux!C56+Effort!K56/Taux!C56</f>
        <v>22.976606598023807</v>
      </c>
      <c r="H56" s="80">
        <f t="shared" si="1"/>
        <v>47.970556728194857</v>
      </c>
      <c r="I56" s="149">
        <f t="shared" si="2"/>
        <v>0</v>
      </c>
      <c r="J56" s="658">
        <f t="shared" si="3"/>
        <v>0</v>
      </c>
      <c r="L56" s="9"/>
      <c r="M56" s="10"/>
      <c r="R56" s="10"/>
    </row>
    <row r="57" spans="1:18" x14ac:dyDescent="0.25">
      <c r="A57" s="37">
        <f>Données!A57</f>
        <v>5490</v>
      </c>
      <c r="B57" s="137" t="str">
        <f>Données!B57</f>
        <v>Moiry</v>
      </c>
      <c r="C57" s="247">
        <f>VPI!R57</f>
        <v>8086.7260526315777</v>
      </c>
      <c r="D57" s="367">
        <f>+Données!AP57</f>
        <v>12.519886132898193</v>
      </c>
      <c r="E57" s="292">
        <f>VPI!Q57</f>
        <v>76</v>
      </c>
      <c r="F57" s="162">
        <f t="shared" si="0"/>
        <v>63.480113867101807</v>
      </c>
      <c r="G57" s="655">
        <f>Effort!I57+Aide!I57/Taux!C57+Effort!K57/Taux!C57</f>
        <v>0.2876131453668016</v>
      </c>
      <c r="H57" s="80">
        <f t="shared" si="1"/>
        <v>63.767727012468612</v>
      </c>
      <c r="I57" s="149">
        <f t="shared" si="2"/>
        <v>0</v>
      </c>
      <c r="J57" s="658">
        <f t="shared" si="3"/>
        <v>0</v>
      </c>
      <c r="L57" s="9"/>
      <c r="M57" s="10"/>
      <c r="R57" s="10"/>
    </row>
    <row r="58" spans="1:18" x14ac:dyDescent="0.25">
      <c r="A58" s="37">
        <f>Données!A58</f>
        <v>5491</v>
      </c>
      <c r="B58" s="137" t="str">
        <f>Données!B58</f>
        <v>Mont-la-Ville</v>
      </c>
      <c r="C58" s="247">
        <f>VPI!R58</f>
        <v>14059.996578947368</v>
      </c>
      <c r="D58" s="367">
        <f>+Données!AP58</f>
        <v>10.195222998462143</v>
      </c>
      <c r="E58" s="292">
        <f>VPI!Q58</f>
        <v>76</v>
      </c>
      <c r="F58" s="162">
        <f t="shared" si="0"/>
        <v>65.804777001537857</v>
      </c>
      <c r="G58" s="655">
        <f>Effort!I58+Aide!I58/Taux!C58+Effort!K58/Taux!C58</f>
        <v>-45.833920206982242</v>
      </c>
      <c r="H58" s="80">
        <f t="shared" si="1"/>
        <v>19.970856794555615</v>
      </c>
      <c r="I58" s="149">
        <f t="shared" si="2"/>
        <v>0</v>
      </c>
      <c r="J58" s="658">
        <f t="shared" si="3"/>
        <v>0</v>
      </c>
      <c r="L58" s="9"/>
      <c r="M58" s="10"/>
      <c r="R58" s="10"/>
    </row>
    <row r="59" spans="1:18" x14ac:dyDescent="0.25">
      <c r="A59" s="37">
        <f>Données!A59</f>
        <v>5492</v>
      </c>
      <c r="B59" s="137" t="str">
        <f>Données!B59</f>
        <v>Montricher</v>
      </c>
      <c r="C59" s="247">
        <f>VPI!R59</f>
        <v>198155.03156250002</v>
      </c>
      <c r="D59" s="367">
        <f>+Données!AP59</f>
        <v>53.467325074991308</v>
      </c>
      <c r="E59" s="292">
        <f>VPI!Q59</f>
        <v>64</v>
      </c>
      <c r="F59" s="162">
        <f t="shared" si="0"/>
        <v>10.532674925008692</v>
      </c>
      <c r="G59" s="655">
        <f>Effort!I59+Aide!I59/Taux!C59+Effort!K59/Taux!C59</f>
        <v>48</v>
      </c>
      <c r="H59" s="80">
        <f t="shared" si="1"/>
        <v>58.532674925008692</v>
      </c>
      <c r="I59" s="149">
        <f t="shared" si="2"/>
        <v>0</v>
      </c>
      <c r="J59" s="658">
        <f t="shared" si="3"/>
        <v>0</v>
      </c>
      <c r="L59" s="9"/>
      <c r="M59" s="10"/>
      <c r="R59" s="10"/>
    </row>
    <row r="60" spans="1:18" x14ac:dyDescent="0.25">
      <c r="A60" s="37">
        <f>Données!A60</f>
        <v>5493</v>
      </c>
      <c r="B60" s="137" t="str">
        <f>Données!B60</f>
        <v>Orny</v>
      </c>
      <c r="C60" s="247">
        <f>VPI!R60</f>
        <v>16121.406280295052</v>
      </c>
      <c r="D60" s="367">
        <f>+Données!AP60</f>
        <v>13.009297182503367</v>
      </c>
      <c r="E60" s="292">
        <f>VPI!Q60</f>
        <v>73</v>
      </c>
      <c r="F60" s="162">
        <f t="shared" si="0"/>
        <v>59.990702817496633</v>
      </c>
      <c r="G60" s="655">
        <f>Effort!I60+Aide!I60/Taux!C60+Effort!K60/Taux!C60</f>
        <v>10.024780966141631</v>
      </c>
      <c r="H60" s="80">
        <f t="shared" si="1"/>
        <v>70.01548378363826</v>
      </c>
      <c r="I60" s="149">
        <f t="shared" si="2"/>
        <v>0</v>
      </c>
      <c r="J60" s="658">
        <f t="shared" si="3"/>
        <v>0</v>
      </c>
      <c r="L60" s="9"/>
      <c r="M60" s="10"/>
      <c r="R60" s="10"/>
    </row>
    <row r="61" spans="1:18" x14ac:dyDescent="0.25">
      <c r="A61" s="37">
        <f>Données!A61</f>
        <v>5495</v>
      </c>
      <c r="B61" s="137" t="str">
        <f>Données!B61</f>
        <v>Penthalaz</v>
      </c>
      <c r="C61" s="247">
        <f>VPI!R61</f>
        <v>96624.252827586228</v>
      </c>
      <c r="D61" s="367">
        <f>+Données!AP61</f>
        <v>6.9904837539249396</v>
      </c>
      <c r="E61" s="292">
        <f>VPI!Q61</f>
        <v>72.5</v>
      </c>
      <c r="F61" s="162">
        <f t="shared" si="0"/>
        <v>65.509516246075066</v>
      </c>
      <c r="G61" s="655">
        <f>Effort!I61+Aide!I61/Taux!C61+Effort!K61/Taux!C61</f>
        <v>0.21148960634251068</v>
      </c>
      <c r="H61" s="80">
        <f t="shared" si="1"/>
        <v>65.721005852417576</v>
      </c>
      <c r="I61" s="149">
        <f t="shared" si="2"/>
        <v>0</v>
      </c>
      <c r="J61" s="658">
        <f t="shared" si="3"/>
        <v>0</v>
      </c>
      <c r="L61" s="9"/>
      <c r="M61" s="10"/>
      <c r="R61" s="10"/>
    </row>
    <row r="62" spans="1:18" x14ac:dyDescent="0.25">
      <c r="A62" s="37">
        <f>Données!A62</f>
        <v>5496</v>
      </c>
      <c r="B62" s="137" t="str">
        <f>Données!B62</f>
        <v>Penthaz</v>
      </c>
      <c r="C62" s="247">
        <f>VPI!R62</f>
        <v>63424.403453237413</v>
      </c>
      <c r="D62" s="367">
        <f>+Données!AP62</f>
        <v>16.178754521025024</v>
      </c>
      <c r="E62" s="292">
        <f>VPI!Q62</f>
        <v>69.5</v>
      </c>
      <c r="F62" s="162">
        <f t="shared" si="0"/>
        <v>53.321245478974973</v>
      </c>
      <c r="G62" s="655">
        <f>Effort!I62+Aide!I62/Taux!C62+Effort!K62/Taux!C62</f>
        <v>8.6293212221563707</v>
      </c>
      <c r="H62" s="80">
        <f t="shared" si="1"/>
        <v>61.950566701131343</v>
      </c>
      <c r="I62" s="149">
        <f t="shared" si="2"/>
        <v>0</v>
      </c>
      <c r="J62" s="658">
        <f t="shared" si="3"/>
        <v>0</v>
      </c>
      <c r="L62" s="9"/>
      <c r="M62" s="10"/>
      <c r="R62" s="10"/>
    </row>
    <row r="63" spans="1:18" x14ac:dyDescent="0.25">
      <c r="A63" s="37">
        <f>Données!A63</f>
        <v>5497</v>
      </c>
      <c r="B63" s="137" t="str">
        <f>Données!B63</f>
        <v>Pompaples</v>
      </c>
      <c r="C63" s="247">
        <f>VPI!R63</f>
        <v>29282.771666666667</v>
      </c>
      <c r="D63" s="367">
        <f>+Données!AP63</f>
        <v>12.172311541571926</v>
      </c>
      <c r="E63" s="292">
        <f>VPI!Q63</f>
        <v>66</v>
      </c>
      <c r="F63" s="162">
        <f t="shared" si="0"/>
        <v>53.827688458428071</v>
      </c>
      <c r="G63" s="655">
        <f>Effort!I63+Aide!I63/Taux!C63+Effort!K63/Taux!C63</f>
        <v>9.3174463568595627</v>
      </c>
      <c r="H63" s="80">
        <f t="shared" si="1"/>
        <v>63.145134815287634</v>
      </c>
      <c r="I63" s="149">
        <f t="shared" si="2"/>
        <v>0</v>
      </c>
      <c r="J63" s="658">
        <f t="shared" si="3"/>
        <v>0</v>
      </c>
      <c r="L63" s="9"/>
      <c r="M63" s="10"/>
      <c r="R63" s="10"/>
    </row>
    <row r="64" spans="1:18" x14ac:dyDescent="0.25">
      <c r="A64" s="37">
        <f>Données!A64</f>
        <v>5498</v>
      </c>
      <c r="B64" s="137" t="str">
        <f>Données!B64</f>
        <v>La Sarraz</v>
      </c>
      <c r="C64" s="247">
        <f>VPI!R64</f>
        <v>76599.208428571437</v>
      </c>
      <c r="D64" s="367">
        <f>+Données!AP64</f>
        <v>10.364877197438158</v>
      </c>
      <c r="E64" s="292">
        <f>VPI!Q64</f>
        <v>70</v>
      </c>
      <c r="F64" s="162">
        <f t="shared" si="0"/>
        <v>59.635122802561838</v>
      </c>
      <c r="G64" s="655">
        <f>Effort!I64+Aide!I64/Taux!C64+Effort!K64/Taux!C64</f>
        <v>2.0444875546620267</v>
      </c>
      <c r="H64" s="80">
        <f t="shared" si="1"/>
        <v>61.679610357223865</v>
      </c>
      <c r="I64" s="149">
        <f t="shared" si="2"/>
        <v>0</v>
      </c>
      <c r="J64" s="658">
        <f t="shared" si="3"/>
        <v>0</v>
      </c>
      <c r="L64" s="9"/>
      <c r="M64" s="10"/>
      <c r="R64" s="10"/>
    </row>
    <row r="65" spans="1:18" x14ac:dyDescent="0.25">
      <c r="A65" s="37">
        <f>Données!A65</f>
        <v>5499</v>
      </c>
      <c r="B65" s="137" t="str">
        <f>Données!B65</f>
        <v>Senarclens</v>
      </c>
      <c r="C65" s="247">
        <f>VPI!R65</f>
        <v>21136.176934306572</v>
      </c>
      <c r="D65" s="367">
        <f>+Données!AP65</f>
        <v>28.977250283662983</v>
      </c>
      <c r="E65" s="292">
        <f>VPI!Q65</f>
        <v>68.5</v>
      </c>
      <c r="F65" s="162">
        <f t="shared" si="0"/>
        <v>39.522749716337017</v>
      </c>
      <c r="G65" s="655">
        <f>Effort!I65+Aide!I65/Taux!C65+Effort!K65/Taux!C65</f>
        <v>15.439349003317734</v>
      </c>
      <c r="H65" s="80">
        <f t="shared" si="1"/>
        <v>54.962098719654747</v>
      </c>
      <c r="I65" s="149">
        <f t="shared" si="2"/>
        <v>0</v>
      </c>
      <c r="J65" s="658">
        <f t="shared" si="3"/>
        <v>0</v>
      </c>
      <c r="L65" s="9"/>
      <c r="M65" s="10"/>
      <c r="R65" s="10"/>
    </row>
    <row r="66" spans="1:18" x14ac:dyDescent="0.25">
      <c r="A66" s="37">
        <f>Données!A66</f>
        <v>5501</v>
      </c>
      <c r="B66" s="137" t="str">
        <f>Données!B66</f>
        <v>Sullens</v>
      </c>
      <c r="C66" s="247">
        <f>VPI!R66</f>
        <v>57751.835468749996</v>
      </c>
      <c r="D66" s="367">
        <f>+Données!AP66</f>
        <v>25.487989814433362</v>
      </c>
      <c r="E66" s="292">
        <f>VPI!Q66</f>
        <v>64</v>
      </c>
      <c r="F66" s="162">
        <f t="shared" si="0"/>
        <v>38.512010185566638</v>
      </c>
      <c r="G66" s="655">
        <f>Effort!I66+Aide!I66/Taux!C66+Effort!K66/Taux!C66</f>
        <v>25.930638810763391</v>
      </c>
      <c r="H66" s="80">
        <f t="shared" si="1"/>
        <v>64.442648996330036</v>
      </c>
      <c r="I66" s="149">
        <f t="shared" si="2"/>
        <v>0</v>
      </c>
      <c r="J66" s="658">
        <f t="shared" si="3"/>
        <v>0</v>
      </c>
      <c r="L66" s="9"/>
      <c r="M66" s="10"/>
      <c r="R66" s="10"/>
    </row>
    <row r="67" spans="1:18" x14ac:dyDescent="0.25">
      <c r="A67" s="37">
        <f>Données!A67</f>
        <v>5503</v>
      </c>
      <c r="B67" s="137" t="str">
        <f>Données!B67</f>
        <v>Vufflens-la-Ville</v>
      </c>
      <c r="C67" s="247">
        <f>VPI!R67</f>
        <v>68821.666815920398</v>
      </c>
      <c r="D67" s="367">
        <f>+Données!AP67</f>
        <v>29.447055435017589</v>
      </c>
      <c r="E67" s="292">
        <f>VPI!Q67</f>
        <v>67</v>
      </c>
      <c r="F67" s="162">
        <f t="shared" si="0"/>
        <v>37.552944564982411</v>
      </c>
      <c r="G67" s="655">
        <f>Effort!I67+Aide!I67/Taux!C67+Effort!K67/Taux!C67</f>
        <v>21.792081554238418</v>
      </c>
      <c r="H67" s="80">
        <f t="shared" si="1"/>
        <v>59.345026119220833</v>
      </c>
      <c r="I67" s="149">
        <f t="shared" si="2"/>
        <v>0</v>
      </c>
      <c r="J67" s="658">
        <f t="shared" si="3"/>
        <v>0</v>
      </c>
      <c r="L67" s="9"/>
      <c r="M67" s="10"/>
      <c r="R67" s="10"/>
    </row>
    <row r="68" spans="1:18" x14ac:dyDescent="0.25">
      <c r="A68" s="37">
        <f>Données!A68</f>
        <v>5511</v>
      </c>
      <c r="B68" s="137" t="str">
        <f>Données!B68</f>
        <v>Assens</v>
      </c>
      <c r="C68" s="247">
        <f>VPI!R68</f>
        <v>69828.319999999992</v>
      </c>
      <c r="D68" s="367">
        <f>+Données!AP68</f>
        <v>23.192873805559621</v>
      </c>
      <c r="E68" s="292">
        <f>VPI!Q68</f>
        <v>70</v>
      </c>
      <c r="F68" s="162">
        <f t="shared" si="0"/>
        <v>46.807126194440379</v>
      </c>
      <c r="G68" s="655">
        <f>Effort!I68+Aide!I68/Taux!C68+Effort!K68/Taux!C68</f>
        <v>17.691311055584428</v>
      </c>
      <c r="H68" s="80">
        <f t="shared" si="1"/>
        <v>64.498437250024807</v>
      </c>
      <c r="I68" s="149">
        <f t="shared" si="2"/>
        <v>0</v>
      </c>
      <c r="J68" s="658">
        <f t="shared" si="3"/>
        <v>0</v>
      </c>
      <c r="L68" s="9"/>
      <c r="M68" s="10"/>
      <c r="R68" s="10"/>
    </row>
    <row r="69" spans="1:18" x14ac:dyDescent="0.25">
      <c r="A69" s="37">
        <f>Données!A69</f>
        <v>5512</v>
      </c>
      <c r="B69" s="137" t="str">
        <f>Données!B69</f>
        <v>Bercher</v>
      </c>
      <c r="C69" s="247">
        <f>VPI!R69</f>
        <v>41189.844430379737</v>
      </c>
      <c r="D69" s="367">
        <f>+Données!AP69</f>
        <v>10.971631855539865</v>
      </c>
      <c r="E69" s="292">
        <f>VPI!Q69</f>
        <v>79</v>
      </c>
      <c r="F69" s="162">
        <f t="shared" si="0"/>
        <v>68.028368144460131</v>
      </c>
      <c r="G69" s="655">
        <f>Effort!I69+Aide!I69/Taux!C69+Effort!K69/Taux!C69</f>
        <v>2.1313479715385064</v>
      </c>
      <c r="H69" s="80">
        <f t="shared" si="1"/>
        <v>70.159716115998634</v>
      </c>
      <c r="I69" s="149">
        <f t="shared" si="2"/>
        <v>0</v>
      </c>
      <c r="J69" s="658">
        <f t="shared" si="3"/>
        <v>0</v>
      </c>
      <c r="L69" s="9"/>
      <c r="M69" s="10"/>
      <c r="R69" s="10"/>
    </row>
    <row r="70" spans="1:18" x14ac:dyDescent="0.25">
      <c r="A70" s="37">
        <f>Données!A70</f>
        <v>5514</v>
      </c>
      <c r="B70" s="137" t="str">
        <f>Données!B70</f>
        <v>Bottens</v>
      </c>
      <c r="C70" s="247">
        <f>VPI!R70</f>
        <v>45955.362896551727</v>
      </c>
      <c r="D70" s="367">
        <f>+Données!AP70</f>
        <v>14.011953146993246</v>
      </c>
      <c r="E70" s="292">
        <f>VPI!Q70</f>
        <v>72.5</v>
      </c>
      <c r="F70" s="162">
        <f t="shared" si="0"/>
        <v>58.48804685300675</v>
      </c>
      <c r="G70" s="655">
        <f>Effort!I70+Aide!I70/Taux!C70+Effort!K70/Taux!C70</f>
        <v>13.841388053142486</v>
      </c>
      <c r="H70" s="80">
        <f t="shared" si="1"/>
        <v>72.329434906149231</v>
      </c>
      <c r="I70" s="149">
        <f t="shared" si="2"/>
        <v>0</v>
      </c>
      <c r="J70" s="658">
        <f t="shared" si="3"/>
        <v>0</v>
      </c>
      <c r="L70" s="9"/>
      <c r="M70" s="10"/>
      <c r="R70" s="10"/>
    </row>
    <row r="71" spans="1:18" x14ac:dyDescent="0.25">
      <c r="A71" s="37">
        <f>Données!A71</f>
        <v>5515</v>
      </c>
      <c r="B71" s="137" t="str">
        <f>Données!B71</f>
        <v>Bretigny-sur-Morrens</v>
      </c>
      <c r="C71" s="247">
        <f>VPI!R71</f>
        <v>32116.031538461531</v>
      </c>
      <c r="D71" s="367">
        <f>+Données!AP71</f>
        <v>18.173914314855157</v>
      </c>
      <c r="E71" s="292">
        <f>VPI!Q71</f>
        <v>78</v>
      </c>
      <c r="F71" s="162">
        <f t="shared" ref="F71:F134" si="4">E71-D71</f>
        <v>59.826085685144847</v>
      </c>
      <c r="G71" s="655">
        <f>Effort!I71+Aide!I71/Taux!C71+Effort!K71/Taux!C71</f>
        <v>17.263465410252191</v>
      </c>
      <c r="H71" s="80">
        <f t="shared" ref="H71:H134" si="5">F71+G71</f>
        <v>77.089551095397042</v>
      </c>
      <c r="I71" s="149">
        <f t="shared" ref="I71:I134" si="6">IF(H71&gt;$I$5,H71-$I$5,0)</f>
        <v>0</v>
      </c>
      <c r="J71" s="658">
        <f t="shared" ref="J71:J134" si="7">-I71*C71</f>
        <v>0</v>
      </c>
      <c r="L71" s="9"/>
      <c r="M71" s="10"/>
      <c r="R71" s="10"/>
    </row>
    <row r="72" spans="1:18" x14ac:dyDescent="0.25">
      <c r="A72" s="37">
        <f>Données!A72</f>
        <v>5516</v>
      </c>
      <c r="B72" s="137" t="str">
        <f>Données!B72</f>
        <v>Cugy</v>
      </c>
      <c r="C72" s="247">
        <f>VPI!R72</f>
        <v>112038.1875</v>
      </c>
      <c r="D72" s="367">
        <f>+Données!AP72</f>
        <v>19.78405229876617</v>
      </c>
      <c r="E72" s="292">
        <f>VPI!Q72</f>
        <v>76</v>
      </c>
      <c r="F72" s="162">
        <f t="shared" si="4"/>
        <v>56.21594770123383</v>
      </c>
      <c r="G72" s="655">
        <f>Effort!I72+Aide!I72/Taux!C72+Effort!K72/Taux!C72</f>
        <v>14.493688947621381</v>
      </c>
      <c r="H72" s="80">
        <f t="shared" si="5"/>
        <v>70.709636648855209</v>
      </c>
      <c r="I72" s="149">
        <f t="shared" si="6"/>
        <v>0</v>
      </c>
      <c r="J72" s="658">
        <f t="shared" si="7"/>
        <v>0</v>
      </c>
      <c r="L72" s="9"/>
      <c r="M72" s="10"/>
      <c r="R72" s="10"/>
    </row>
    <row r="73" spans="1:18" x14ac:dyDescent="0.25">
      <c r="A73" s="37">
        <f>Données!A73</f>
        <v>5518</v>
      </c>
      <c r="B73" s="137" t="str">
        <f>Données!B73</f>
        <v>Echallens</v>
      </c>
      <c r="C73" s="247">
        <f>VPI!R73</f>
        <v>216867.084137931</v>
      </c>
      <c r="D73" s="367">
        <f>+Données!AP73</f>
        <v>3.5498014415719661</v>
      </c>
      <c r="E73" s="292">
        <f>VPI!Q73</f>
        <v>72.5</v>
      </c>
      <c r="F73" s="162">
        <f t="shared" si="4"/>
        <v>68.950198558428028</v>
      </c>
      <c r="G73" s="655">
        <f>Effort!I73+Aide!I73/Taux!C73+Effort!K73/Taux!C73</f>
        <v>-1.7465821908389287</v>
      </c>
      <c r="H73" s="80">
        <f t="shared" si="5"/>
        <v>67.203616367589092</v>
      </c>
      <c r="I73" s="149">
        <f t="shared" si="6"/>
        <v>0</v>
      </c>
      <c r="J73" s="658">
        <f t="shared" si="7"/>
        <v>0</v>
      </c>
      <c r="L73" s="9"/>
      <c r="M73" s="10"/>
      <c r="R73" s="10"/>
    </row>
    <row r="74" spans="1:18" x14ac:dyDescent="0.25">
      <c r="A74" s="37">
        <f>Données!A74</f>
        <v>5520</v>
      </c>
      <c r="B74" s="137" t="str">
        <f>Données!B74</f>
        <v>Essertines-sur-Yverdon</v>
      </c>
      <c r="C74" s="247">
        <f>VPI!R74</f>
        <v>35335.874054054053</v>
      </c>
      <c r="D74" s="367">
        <f>+Données!AP74</f>
        <v>10.771428333342605</v>
      </c>
      <c r="E74" s="292">
        <f>VPI!Q74</f>
        <v>74</v>
      </c>
      <c r="F74" s="162">
        <f t="shared" si="4"/>
        <v>63.228571666657395</v>
      </c>
      <c r="G74" s="655">
        <f>Effort!I74+Aide!I74/Taux!C74+Effort!K74/Taux!C74</f>
        <v>-13.086008848988595</v>
      </c>
      <c r="H74" s="80">
        <f t="shared" si="5"/>
        <v>50.142562817668804</v>
      </c>
      <c r="I74" s="149">
        <f t="shared" si="6"/>
        <v>0</v>
      </c>
      <c r="J74" s="658">
        <f t="shared" si="7"/>
        <v>0</v>
      </c>
      <c r="L74" s="9"/>
      <c r="M74" s="10"/>
      <c r="R74" s="10"/>
    </row>
    <row r="75" spans="1:18" x14ac:dyDescent="0.25">
      <c r="A75" s="37">
        <f>Données!A75</f>
        <v>5521</v>
      </c>
      <c r="B75" s="137" t="str">
        <f>Données!B75</f>
        <v>Etagnières</v>
      </c>
      <c r="C75" s="247">
        <f>VPI!R75</f>
        <v>46868.677397260268</v>
      </c>
      <c r="D75" s="367">
        <f>+Données!AP75</f>
        <v>20.369758716255912</v>
      </c>
      <c r="E75" s="292">
        <f>VPI!Q75</f>
        <v>73</v>
      </c>
      <c r="F75" s="162">
        <f t="shared" si="4"/>
        <v>52.630241283744084</v>
      </c>
      <c r="G75" s="655">
        <f>Effort!I75+Aide!I75/Taux!C75+Effort!K75/Taux!C75</f>
        <v>17.344015966330932</v>
      </c>
      <c r="H75" s="80">
        <f t="shared" si="5"/>
        <v>69.974257250075013</v>
      </c>
      <c r="I75" s="149">
        <f t="shared" si="6"/>
        <v>0</v>
      </c>
      <c r="J75" s="658">
        <f t="shared" si="7"/>
        <v>0</v>
      </c>
      <c r="L75" s="9"/>
      <c r="M75" s="10"/>
      <c r="R75" s="10"/>
    </row>
    <row r="76" spans="1:18" x14ac:dyDescent="0.25">
      <c r="A76" s="37">
        <f>Données!A76</f>
        <v>5522</v>
      </c>
      <c r="B76" s="137" t="str">
        <f>Données!B76</f>
        <v>Fey</v>
      </c>
      <c r="C76" s="247">
        <f>VPI!R76</f>
        <v>25183.4012</v>
      </c>
      <c r="D76" s="367">
        <f>+Données!AP76</f>
        <v>11.924996824331103</v>
      </c>
      <c r="E76" s="292">
        <f>VPI!Q76</f>
        <v>75</v>
      </c>
      <c r="F76" s="162">
        <f t="shared" si="4"/>
        <v>63.075003175668897</v>
      </c>
      <c r="G76" s="655">
        <f>Effort!I76+Aide!I76/Taux!C76+Effort!K76/Taux!C76</f>
        <v>5.6038381503579799</v>
      </c>
      <c r="H76" s="80">
        <f t="shared" si="5"/>
        <v>68.678841326026884</v>
      </c>
      <c r="I76" s="149">
        <f t="shared" si="6"/>
        <v>0</v>
      </c>
      <c r="J76" s="658">
        <f t="shared" si="7"/>
        <v>0</v>
      </c>
      <c r="L76" s="9"/>
      <c r="M76" s="10"/>
      <c r="R76" s="10"/>
    </row>
    <row r="77" spans="1:18" x14ac:dyDescent="0.25">
      <c r="A77" s="37">
        <f>Données!A77</f>
        <v>5523</v>
      </c>
      <c r="B77" s="137" t="str">
        <f>Données!B77</f>
        <v>Froideville</v>
      </c>
      <c r="C77" s="247">
        <f>VPI!R77</f>
        <v>89218.615555555531</v>
      </c>
      <c r="D77" s="367">
        <f>+Données!AP77</f>
        <v>13.149340317012921</v>
      </c>
      <c r="E77" s="292">
        <f>VPI!Q77</f>
        <v>72</v>
      </c>
      <c r="F77" s="162">
        <f t="shared" si="4"/>
        <v>58.850659682987079</v>
      </c>
      <c r="G77" s="655">
        <f>Effort!I77+Aide!I77/Taux!C77+Effort!K77/Taux!C77</f>
        <v>8.1377289544384315</v>
      </c>
      <c r="H77" s="80">
        <f t="shared" si="5"/>
        <v>66.988388637425516</v>
      </c>
      <c r="I77" s="149">
        <f t="shared" si="6"/>
        <v>0</v>
      </c>
      <c r="J77" s="658">
        <f t="shared" si="7"/>
        <v>0</v>
      </c>
      <c r="L77" s="9"/>
      <c r="M77" s="10"/>
      <c r="R77" s="10"/>
    </row>
    <row r="78" spans="1:18" x14ac:dyDescent="0.25">
      <c r="A78" s="37">
        <f>Données!A78</f>
        <v>5527</v>
      </c>
      <c r="B78" s="137" t="str">
        <f>Données!B78</f>
        <v>Morrens</v>
      </c>
      <c r="C78" s="247">
        <f>VPI!R78</f>
        <v>42618.641486486493</v>
      </c>
      <c r="D78" s="367">
        <f>+Données!AP78</f>
        <v>19.581470436463484</v>
      </c>
      <c r="E78" s="292">
        <f>VPI!Q78</f>
        <v>74</v>
      </c>
      <c r="F78" s="162">
        <f t="shared" si="4"/>
        <v>54.418529563536516</v>
      </c>
      <c r="G78" s="655">
        <f>Effort!I78+Aide!I78/Taux!C78+Effort!K78/Taux!C78</f>
        <v>17.704253153590216</v>
      </c>
      <c r="H78" s="80">
        <f t="shared" si="5"/>
        <v>72.122782717126739</v>
      </c>
      <c r="I78" s="149">
        <f t="shared" si="6"/>
        <v>0</v>
      </c>
      <c r="J78" s="658">
        <f t="shared" si="7"/>
        <v>0</v>
      </c>
      <c r="L78" s="9"/>
      <c r="M78" s="10"/>
      <c r="R78" s="10"/>
    </row>
    <row r="79" spans="1:18" x14ac:dyDescent="0.25">
      <c r="A79" s="37">
        <f>Données!A79</f>
        <v>5529</v>
      </c>
      <c r="B79" s="137" t="str">
        <f>Données!B79</f>
        <v>Oulens-sous-Echallens</v>
      </c>
      <c r="C79" s="247">
        <f>VPI!R79</f>
        <v>21320.008028169017</v>
      </c>
      <c r="D79" s="367">
        <f>+Données!AP79</f>
        <v>21.441042997412243</v>
      </c>
      <c r="E79" s="292">
        <f>VPI!Q79</f>
        <v>71</v>
      </c>
      <c r="F79" s="162">
        <f t="shared" si="4"/>
        <v>49.558957002587761</v>
      </c>
      <c r="G79" s="655">
        <f>Effort!I79+Aide!I79/Taux!C79+Effort!K79/Taux!C79</f>
        <v>12.943831684079152</v>
      </c>
      <c r="H79" s="80">
        <f t="shared" si="5"/>
        <v>62.502788686666911</v>
      </c>
      <c r="I79" s="149">
        <f t="shared" si="6"/>
        <v>0</v>
      </c>
      <c r="J79" s="658">
        <f t="shared" si="7"/>
        <v>0</v>
      </c>
      <c r="L79" s="9"/>
      <c r="M79" s="10"/>
      <c r="R79" s="10"/>
    </row>
    <row r="80" spans="1:18" x14ac:dyDescent="0.25">
      <c r="A80" s="37">
        <f>Données!A80</f>
        <v>5530</v>
      </c>
      <c r="B80" s="137" t="str">
        <f>Données!B80</f>
        <v>Pailly</v>
      </c>
      <c r="C80" s="247">
        <f>VPI!R80</f>
        <v>18985.526425438595</v>
      </c>
      <c r="D80" s="367">
        <f>+Données!AP80</f>
        <v>18.172914095649702</v>
      </c>
      <c r="E80" s="292">
        <f>VPI!Q80</f>
        <v>76</v>
      </c>
      <c r="F80" s="162">
        <f t="shared" si="4"/>
        <v>57.827085904350298</v>
      </c>
      <c r="G80" s="655">
        <f>Effort!I80+Aide!I80/Taux!C80+Effort!K80/Taux!C80</f>
        <v>-0.4165704945437767</v>
      </c>
      <c r="H80" s="80">
        <f t="shared" si="5"/>
        <v>57.410515409806521</v>
      </c>
      <c r="I80" s="149">
        <f t="shared" si="6"/>
        <v>0</v>
      </c>
      <c r="J80" s="658">
        <f t="shared" si="7"/>
        <v>0</v>
      </c>
      <c r="L80" s="9"/>
      <c r="M80" s="10"/>
      <c r="R80" s="10"/>
    </row>
    <row r="81" spans="1:18" x14ac:dyDescent="0.25">
      <c r="A81" s="37">
        <f>Données!A81</f>
        <v>5531</v>
      </c>
      <c r="B81" s="137" t="str">
        <f>Données!B81</f>
        <v>Penthéréaz</v>
      </c>
      <c r="C81" s="247">
        <f>VPI!R81</f>
        <v>16979.020135135139</v>
      </c>
      <c r="D81" s="367">
        <f>+Données!AP81</f>
        <v>21.753306951340296</v>
      </c>
      <c r="E81" s="292">
        <f>VPI!Q81</f>
        <v>74</v>
      </c>
      <c r="F81" s="162">
        <f t="shared" si="4"/>
        <v>52.246693048659708</v>
      </c>
      <c r="G81" s="655">
        <f>Effort!I81+Aide!I81/Taux!C81+Effort!K81/Taux!C81</f>
        <v>18.838840460145722</v>
      </c>
      <c r="H81" s="80">
        <f t="shared" si="5"/>
        <v>71.085533508805426</v>
      </c>
      <c r="I81" s="149">
        <f t="shared" si="6"/>
        <v>0</v>
      </c>
      <c r="J81" s="658">
        <f t="shared" si="7"/>
        <v>0</v>
      </c>
      <c r="L81" s="9"/>
      <c r="M81" s="10"/>
      <c r="R81" s="10"/>
    </row>
    <row r="82" spans="1:18" x14ac:dyDescent="0.25">
      <c r="A82" s="37">
        <f>Données!A82</f>
        <v>5533</v>
      </c>
      <c r="B82" s="137" t="str">
        <f>Données!B82</f>
        <v>Poliez-Pittet</v>
      </c>
      <c r="C82" s="247">
        <f>VPI!R82</f>
        <v>27367.358493150681</v>
      </c>
      <c r="D82" s="367">
        <f>+Données!AP82</f>
        <v>13.893817838488841</v>
      </c>
      <c r="E82" s="292">
        <f>VPI!Q82</f>
        <v>73</v>
      </c>
      <c r="F82" s="162">
        <f t="shared" si="4"/>
        <v>59.106182161511157</v>
      </c>
      <c r="G82" s="655">
        <f>Effort!I82+Aide!I82/Taux!C82+Effort!K82/Taux!C82</f>
        <v>11.946400559005527</v>
      </c>
      <c r="H82" s="80">
        <f t="shared" si="5"/>
        <v>71.052582720516682</v>
      </c>
      <c r="I82" s="149">
        <f t="shared" si="6"/>
        <v>0</v>
      </c>
      <c r="J82" s="658">
        <f t="shared" si="7"/>
        <v>0</v>
      </c>
      <c r="L82" s="9"/>
      <c r="M82" s="10"/>
      <c r="R82" s="10"/>
    </row>
    <row r="83" spans="1:18" x14ac:dyDescent="0.25">
      <c r="A83" s="37">
        <f>Données!A83</f>
        <v>5534</v>
      </c>
      <c r="B83" s="137" t="str">
        <f>Données!B83</f>
        <v>Rueyres</v>
      </c>
      <c r="C83" s="247">
        <f>VPI!R83</f>
        <v>17982.384452054797</v>
      </c>
      <c r="D83" s="367">
        <f>+Données!AP83</f>
        <v>29.14517329141098</v>
      </c>
      <c r="E83" s="292">
        <f>VPI!Q83</f>
        <v>73</v>
      </c>
      <c r="F83" s="162">
        <f t="shared" si="4"/>
        <v>43.854826708589016</v>
      </c>
      <c r="G83" s="655">
        <f>Effort!I83+Aide!I83/Taux!C83+Effort!K83/Taux!C83</f>
        <v>30.682637410275085</v>
      </c>
      <c r="H83" s="80">
        <f t="shared" si="5"/>
        <v>74.537464118864108</v>
      </c>
      <c r="I83" s="149">
        <f t="shared" si="6"/>
        <v>0</v>
      </c>
      <c r="J83" s="658">
        <f t="shared" si="7"/>
        <v>0</v>
      </c>
      <c r="L83" s="9"/>
      <c r="M83" s="10"/>
      <c r="R83" s="10"/>
    </row>
    <row r="84" spans="1:18" x14ac:dyDescent="0.25">
      <c r="A84" s="37">
        <f>Données!A84</f>
        <v>5535</v>
      </c>
      <c r="B84" s="137" t="str">
        <f>Données!B84</f>
        <v>Saint-Barthélemy</v>
      </c>
      <c r="C84" s="247">
        <f>VPI!R84</f>
        <v>26523.088000000003</v>
      </c>
      <c r="D84" s="367">
        <f>+Données!AP84</f>
        <v>15.354833455682197</v>
      </c>
      <c r="E84" s="292">
        <f>VPI!Q84</f>
        <v>75</v>
      </c>
      <c r="F84" s="162">
        <f t="shared" si="4"/>
        <v>59.645166544317803</v>
      </c>
      <c r="G84" s="655">
        <f>Effort!I84+Aide!I84/Taux!C84+Effort!K84/Taux!C84</f>
        <v>12.862108663281468</v>
      </c>
      <c r="H84" s="80">
        <f t="shared" si="5"/>
        <v>72.507275207599264</v>
      </c>
      <c r="I84" s="149">
        <f t="shared" si="6"/>
        <v>0</v>
      </c>
      <c r="J84" s="658">
        <f t="shared" si="7"/>
        <v>0</v>
      </c>
      <c r="L84" s="9"/>
      <c r="M84" s="10"/>
      <c r="R84" s="10"/>
    </row>
    <row r="85" spans="1:18" x14ac:dyDescent="0.25">
      <c r="A85" s="37">
        <f>Données!A85</f>
        <v>5537</v>
      </c>
      <c r="B85" s="137" t="str">
        <f>Données!B85</f>
        <v>Villars-le-Terroir</v>
      </c>
      <c r="C85" s="247">
        <f>VPI!R85</f>
        <v>36821.563947368428</v>
      </c>
      <c r="D85" s="367">
        <f>+Données!AP85</f>
        <v>7.3899213784184861</v>
      </c>
      <c r="E85" s="292">
        <f>VPI!Q85</f>
        <v>76</v>
      </c>
      <c r="F85" s="162">
        <f t="shared" si="4"/>
        <v>68.610078621581508</v>
      </c>
      <c r="G85" s="655">
        <f>Effort!I85+Aide!I85/Taux!C85+Effort!K85/Taux!C85</f>
        <v>2.7755698496107719</v>
      </c>
      <c r="H85" s="80">
        <f t="shared" si="5"/>
        <v>71.385648471192283</v>
      </c>
      <c r="I85" s="149">
        <f t="shared" si="6"/>
        <v>0</v>
      </c>
      <c r="J85" s="658">
        <f t="shared" si="7"/>
        <v>0</v>
      </c>
      <c r="L85" s="9"/>
      <c r="M85" s="10"/>
      <c r="R85" s="10"/>
    </row>
    <row r="86" spans="1:18" x14ac:dyDescent="0.25">
      <c r="A86" s="37">
        <f>Données!A86</f>
        <v>5539</v>
      </c>
      <c r="B86" s="137" t="str">
        <f>Données!B86</f>
        <v>Vuarrens</v>
      </c>
      <c r="C86" s="247">
        <f>VPI!R86</f>
        <v>34903.7481632653</v>
      </c>
      <c r="D86" s="367">
        <f>+Données!AP86</f>
        <v>11.859710901783533</v>
      </c>
      <c r="E86" s="292">
        <f>VPI!Q86</f>
        <v>73.5</v>
      </c>
      <c r="F86" s="162">
        <f t="shared" si="4"/>
        <v>61.640289098216471</v>
      </c>
      <c r="G86" s="655">
        <f>Effort!I86+Aide!I86/Taux!C86+Effort!K86/Taux!C86</f>
        <v>11.628631329700273</v>
      </c>
      <c r="H86" s="80">
        <f t="shared" si="5"/>
        <v>73.26892042791674</v>
      </c>
      <c r="I86" s="149">
        <f t="shared" si="6"/>
        <v>0</v>
      </c>
      <c r="J86" s="658">
        <f t="shared" si="7"/>
        <v>0</v>
      </c>
      <c r="L86" s="9"/>
      <c r="M86" s="10"/>
      <c r="R86" s="10"/>
    </row>
    <row r="87" spans="1:18" x14ac:dyDescent="0.25">
      <c r="A87" s="37">
        <f>Données!A87</f>
        <v>5540</v>
      </c>
      <c r="B87" s="137" t="str">
        <f>Données!B87</f>
        <v>Montilliez</v>
      </c>
      <c r="C87" s="247">
        <f>VPI!R87</f>
        <v>65033.644896551712</v>
      </c>
      <c r="D87" s="367">
        <f>+Données!AP87</f>
        <v>18.949889873847908</v>
      </c>
      <c r="E87" s="292">
        <f>VPI!Q87</f>
        <v>72.5</v>
      </c>
      <c r="F87" s="162">
        <f t="shared" si="4"/>
        <v>53.550110126152092</v>
      </c>
      <c r="G87" s="655">
        <f>Effort!I87+Aide!I87/Taux!C87+Effort!K87/Taux!C87</f>
        <v>12.510850779380405</v>
      </c>
      <c r="H87" s="80">
        <f t="shared" si="5"/>
        <v>66.060960905532497</v>
      </c>
      <c r="I87" s="149">
        <f t="shared" si="6"/>
        <v>0</v>
      </c>
      <c r="J87" s="658">
        <f t="shared" si="7"/>
        <v>0</v>
      </c>
      <c r="L87" s="9"/>
      <c r="M87" s="10"/>
      <c r="R87" s="10"/>
    </row>
    <row r="88" spans="1:18" x14ac:dyDescent="0.25">
      <c r="A88" s="37">
        <f>Données!A88</f>
        <v>5541</v>
      </c>
      <c r="B88" s="137" t="str">
        <f>Données!B88</f>
        <v>Goumoëns</v>
      </c>
      <c r="C88" s="247">
        <f>VPI!R88</f>
        <v>41006.934834437088</v>
      </c>
      <c r="D88" s="367">
        <f>+Données!AP88</f>
        <v>16.504321002414795</v>
      </c>
      <c r="E88" s="292">
        <f>VPI!Q88</f>
        <v>75.5</v>
      </c>
      <c r="F88" s="162">
        <f t="shared" si="4"/>
        <v>58.995678997585202</v>
      </c>
      <c r="G88" s="655">
        <f>Effort!I88+Aide!I88/Taux!C88+Effort!K88/Taux!C88</f>
        <v>13.360882787975696</v>
      </c>
      <c r="H88" s="80">
        <f t="shared" si="5"/>
        <v>72.356561785560899</v>
      </c>
      <c r="I88" s="149">
        <f t="shared" si="6"/>
        <v>0</v>
      </c>
      <c r="J88" s="658">
        <f t="shared" si="7"/>
        <v>0</v>
      </c>
      <c r="L88" s="9"/>
      <c r="M88" s="10"/>
      <c r="R88" s="10"/>
    </row>
    <row r="89" spans="1:18" x14ac:dyDescent="0.25">
      <c r="A89" s="37">
        <f>Données!A89</f>
        <v>5551</v>
      </c>
      <c r="B89" s="137" t="str">
        <f>Données!B89</f>
        <v>Bonvillars</v>
      </c>
      <c r="C89" s="247">
        <f>VPI!R89</f>
        <v>19467.158771929826</v>
      </c>
      <c r="D89" s="367">
        <f>+Données!AP89</f>
        <v>22.347148706267237</v>
      </c>
      <c r="E89" s="292">
        <f>VPI!Q89</f>
        <v>57</v>
      </c>
      <c r="F89" s="162">
        <f t="shared" si="4"/>
        <v>34.652851293732766</v>
      </c>
      <c r="G89" s="655">
        <f>Effort!I89+Aide!I89/Taux!C89+Effort!K89/Taux!C89</f>
        <v>19.678179777569341</v>
      </c>
      <c r="H89" s="80">
        <f t="shared" si="5"/>
        <v>54.331031071302107</v>
      </c>
      <c r="I89" s="149">
        <f t="shared" si="6"/>
        <v>0</v>
      </c>
      <c r="J89" s="658">
        <f t="shared" si="7"/>
        <v>0</v>
      </c>
      <c r="L89" s="9"/>
      <c r="M89" s="10"/>
      <c r="R89" s="10"/>
    </row>
    <row r="90" spans="1:18" x14ac:dyDescent="0.25">
      <c r="A90" s="37">
        <f>Données!A90</f>
        <v>5552</v>
      </c>
      <c r="B90" s="137" t="str">
        <f>Données!B90</f>
        <v>Bullet</v>
      </c>
      <c r="C90" s="247">
        <f>VPI!R90</f>
        <v>20081.650000000001</v>
      </c>
      <c r="D90" s="367">
        <f>+Données!AP90</f>
        <v>14.019304490343982</v>
      </c>
      <c r="E90" s="292">
        <f>VPI!Q90</f>
        <v>72</v>
      </c>
      <c r="F90" s="162">
        <f t="shared" si="4"/>
        <v>57.980695509656016</v>
      </c>
      <c r="G90" s="655">
        <f>Effort!I90+Aide!I90/Taux!C90+Effort!K90/Taux!C90</f>
        <v>-0.23558171286220997</v>
      </c>
      <c r="H90" s="80">
        <f t="shared" si="5"/>
        <v>57.745113796793802</v>
      </c>
      <c r="I90" s="149">
        <f t="shared" si="6"/>
        <v>0</v>
      </c>
      <c r="J90" s="658">
        <f t="shared" si="7"/>
        <v>0</v>
      </c>
      <c r="L90" s="9"/>
      <c r="M90" s="10"/>
      <c r="R90" s="10"/>
    </row>
    <row r="91" spans="1:18" x14ac:dyDescent="0.25">
      <c r="A91" s="37">
        <f>Données!A91</f>
        <v>5553</v>
      </c>
      <c r="B91" s="137" t="str">
        <f>Données!B91</f>
        <v>Champagne</v>
      </c>
      <c r="C91" s="247">
        <f>VPI!R91</f>
        <v>38368.423846153841</v>
      </c>
      <c r="D91" s="367">
        <f>+Données!AP91</f>
        <v>18.591148195589042</v>
      </c>
      <c r="E91" s="292">
        <f>VPI!Q91</f>
        <v>65</v>
      </c>
      <c r="F91" s="162">
        <f t="shared" si="4"/>
        <v>46.408851804410958</v>
      </c>
      <c r="G91" s="655">
        <f>Effort!I91+Aide!I91/Taux!C91+Effort!K91/Taux!C91</f>
        <v>8.7465895278956758</v>
      </c>
      <c r="H91" s="80">
        <f t="shared" si="5"/>
        <v>55.155441332306637</v>
      </c>
      <c r="I91" s="149">
        <f t="shared" si="6"/>
        <v>0</v>
      </c>
      <c r="J91" s="658">
        <f t="shared" si="7"/>
        <v>0</v>
      </c>
      <c r="L91" s="9"/>
      <c r="M91" s="10"/>
      <c r="R91" s="10"/>
    </row>
    <row r="92" spans="1:18" x14ac:dyDescent="0.25">
      <c r="A92" s="37">
        <f>Données!A92</f>
        <v>5554</v>
      </c>
      <c r="B92" s="137" t="str">
        <f>Données!B92</f>
        <v>Concise</v>
      </c>
      <c r="C92" s="247">
        <f>VPI!R92</f>
        <v>33009.838309859158</v>
      </c>
      <c r="D92" s="367">
        <f>+Données!AP92</f>
        <v>16.913777169331382</v>
      </c>
      <c r="E92" s="292">
        <f>VPI!Q92</f>
        <v>71</v>
      </c>
      <c r="F92" s="162">
        <f t="shared" si="4"/>
        <v>54.086222830668618</v>
      </c>
      <c r="G92" s="655">
        <f>Effort!I92+Aide!I92/Taux!C92+Effort!K92/Taux!C92</f>
        <v>7.8072557596514969</v>
      </c>
      <c r="H92" s="80">
        <f t="shared" si="5"/>
        <v>61.893478590320115</v>
      </c>
      <c r="I92" s="149">
        <f t="shared" si="6"/>
        <v>0</v>
      </c>
      <c r="J92" s="658">
        <f t="shared" si="7"/>
        <v>0</v>
      </c>
      <c r="L92" s="9"/>
      <c r="M92" s="10"/>
      <c r="R92" s="10"/>
    </row>
    <row r="93" spans="1:18" x14ac:dyDescent="0.25">
      <c r="A93" s="37">
        <f>Données!A93</f>
        <v>5555</v>
      </c>
      <c r="B93" s="137" t="str">
        <f>Données!B93</f>
        <v>Corcelles-près-Concise</v>
      </c>
      <c r="C93" s="247">
        <f>VPI!R93</f>
        <v>14189.979565217391</v>
      </c>
      <c r="D93" s="367">
        <f>+Données!AP93</f>
        <v>16.396635848317846</v>
      </c>
      <c r="E93" s="292">
        <f>VPI!Q93</f>
        <v>69</v>
      </c>
      <c r="F93" s="162">
        <f t="shared" si="4"/>
        <v>52.603364151682158</v>
      </c>
      <c r="G93" s="655">
        <f>Effort!I93+Aide!I93/Taux!C93+Effort!K93/Taux!C93</f>
        <v>1.6360987001019076</v>
      </c>
      <c r="H93" s="80">
        <f t="shared" si="5"/>
        <v>54.239462851784069</v>
      </c>
      <c r="I93" s="149">
        <f t="shared" si="6"/>
        <v>0</v>
      </c>
      <c r="J93" s="658">
        <f t="shared" si="7"/>
        <v>0</v>
      </c>
      <c r="L93" s="9"/>
      <c r="M93" s="10"/>
      <c r="R93" s="10"/>
    </row>
    <row r="94" spans="1:18" x14ac:dyDescent="0.25">
      <c r="A94" s="37">
        <f>Données!A94</f>
        <v>5556</v>
      </c>
      <c r="B94" s="137" t="str">
        <f>Données!B94</f>
        <v>Fiez</v>
      </c>
      <c r="C94" s="247">
        <f>VPI!R94</f>
        <v>12811.352608695654</v>
      </c>
      <c r="D94" s="367">
        <f>+Données!AP94</f>
        <v>13.671964618200015</v>
      </c>
      <c r="E94" s="292">
        <f>VPI!Q94</f>
        <v>69</v>
      </c>
      <c r="F94" s="162">
        <f t="shared" si="4"/>
        <v>55.328035381799985</v>
      </c>
      <c r="G94" s="655">
        <f>Effort!I94+Aide!I94/Taux!C94+Effort!K94/Taux!C94</f>
        <v>9.9292615310392307</v>
      </c>
      <c r="H94" s="80">
        <f t="shared" si="5"/>
        <v>65.257296912839223</v>
      </c>
      <c r="I94" s="149">
        <f t="shared" si="6"/>
        <v>0</v>
      </c>
      <c r="J94" s="658">
        <f t="shared" si="7"/>
        <v>0</v>
      </c>
      <c r="L94" s="9"/>
      <c r="M94" s="10"/>
      <c r="R94" s="10"/>
    </row>
    <row r="95" spans="1:18" x14ac:dyDescent="0.25">
      <c r="A95" s="37">
        <f>Données!A95</f>
        <v>5557</v>
      </c>
      <c r="B95" s="137" t="str">
        <f>Données!B95</f>
        <v>Fontaines-sur-Grandson</v>
      </c>
      <c r="C95" s="247">
        <f>VPI!R95</f>
        <v>5164.2157971014494</v>
      </c>
      <c r="D95" s="367">
        <f>+Données!AP95</f>
        <v>4.4170595117633953</v>
      </c>
      <c r="E95" s="292">
        <f>VPI!Q95</f>
        <v>69</v>
      </c>
      <c r="F95" s="162">
        <f t="shared" si="4"/>
        <v>64.582940488236602</v>
      </c>
      <c r="G95" s="655">
        <f>Effort!I95+Aide!I95/Taux!C95+Effort!K95/Taux!C95</f>
        <v>-9.0380149221310084</v>
      </c>
      <c r="H95" s="80">
        <f t="shared" si="5"/>
        <v>55.54492556610559</v>
      </c>
      <c r="I95" s="149">
        <f t="shared" si="6"/>
        <v>0</v>
      </c>
      <c r="J95" s="658">
        <f t="shared" si="7"/>
        <v>0</v>
      </c>
      <c r="L95" s="9"/>
      <c r="M95" s="10"/>
      <c r="R95" s="10"/>
    </row>
    <row r="96" spans="1:18" x14ac:dyDescent="0.25">
      <c r="A96" s="37">
        <f>Données!A96</f>
        <v>5559</v>
      </c>
      <c r="B96" s="137" t="str">
        <f>Données!B96</f>
        <v>Giez</v>
      </c>
      <c r="C96" s="247">
        <f>VPI!R96</f>
        <v>23273.261029411766</v>
      </c>
      <c r="D96" s="367">
        <f>+Données!AP96</f>
        <v>25.136197352429413</v>
      </c>
      <c r="E96" s="292">
        <f>VPI!Q96</f>
        <v>68</v>
      </c>
      <c r="F96" s="162">
        <f t="shared" si="4"/>
        <v>42.863802647570587</v>
      </c>
      <c r="G96" s="655">
        <f>Effort!I96+Aide!I96/Taux!C96+Effort!K96/Taux!C96</f>
        <v>26.201633608501069</v>
      </c>
      <c r="H96" s="80">
        <f t="shared" si="5"/>
        <v>69.065436256071649</v>
      </c>
      <c r="I96" s="149">
        <f t="shared" si="6"/>
        <v>0</v>
      </c>
      <c r="J96" s="658">
        <f t="shared" si="7"/>
        <v>0</v>
      </c>
      <c r="L96" s="9"/>
      <c r="M96" s="10"/>
      <c r="R96" s="10"/>
    </row>
    <row r="97" spans="1:18" x14ac:dyDescent="0.25">
      <c r="A97" s="37">
        <f>Données!A97</f>
        <v>5560</v>
      </c>
      <c r="B97" s="137" t="str">
        <f>Données!B97</f>
        <v>Grandevent</v>
      </c>
      <c r="C97" s="247">
        <f>VPI!R97</f>
        <v>8016.4264285714298</v>
      </c>
      <c r="D97" s="367">
        <f>+Données!AP97</f>
        <v>17.978255875132518</v>
      </c>
      <c r="E97" s="292">
        <f>VPI!Q97</f>
        <v>70</v>
      </c>
      <c r="F97" s="162">
        <f t="shared" si="4"/>
        <v>52.021744124867482</v>
      </c>
      <c r="G97" s="655">
        <f>Effort!I97+Aide!I97/Taux!C97+Effort!K97/Taux!C97</f>
        <v>-4.7258684715871127</v>
      </c>
      <c r="H97" s="80">
        <f t="shared" si="5"/>
        <v>47.295875653280369</v>
      </c>
      <c r="I97" s="149">
        <f t="shared" si="6"/>
        <v>0</v>
      </c>
      <c r="J97" s="658">
        <f t="shared" si="7"/>
        <v>0</v>
      </c>
      <c r="L97" s="9"/>
      <c r="M97" s="10"/>
      <c r="R97" s="10"/>
    </row>
    <row r="98" spans="1:18" x14ac:dyDescent="0.25">
      <c r="A98" s="37">
        <f>Données!A98</f>
        <v>5561</v>
      </c>
      <c r="B98" s="137" t="str">
        <f>Données!B98</f>
        <v>Grandson</v>
      </c>
      <c r="C98" s="247">
        <f>VPI!R98</f>
        <v>125721.38057971014</v>
      </c>
      <c r="D98" s="367">
        <f>+Données!AP98</f>
        <v>25.7298206924225</v>
      </c>
      <c r="E98" s="292">
        <f>VPI!Q98</f>
        <v>69</v>
      </c>
      <c r="F98" s="162">
        <f t="shared" si="4"/>
        <v>43.2701793075775</v>
      </c>
      <c r="G98" s="655">
        <f>Effort!I98+Aide!I98/Taux!C98+Effort!K98/Taux!C98</f>
        <v>6.4564877986592233</v>
      </c>
      <c r="H98" s="80">
        <f t="shared" si="5"/>
        <v>49.726667106236725</v>
      </c>
      <c r="I98" s="149">
        <f t="shared" si="6"/>
        <v>0</v>
      </c>
      <c r="J98" s="658">
        <f t="shared" si="7"/>
        <v>0</v>
      </c>
      <c r="L98" s="9"/>
      <c r="M98" s="10"/>
      <c r="R98" s="10"/>
    </row>
    <row r="99" spans="1:18" x14ac:dyDescent="0.25">
      <c r="A99" s="37">
        <f>Données!A99</f>
        <v>5562</v>
      </c>
      <c r="B99" s="137" t="str">
        <f>Données!B99</f>
        <v>Mauborget</v>
      </c>
      <c r="C99" s="247">
        <f>VPI!R99</f>
        <v>4554.1072619047618</v>
      </c>
      <c r="D99" s="367">
        <f>+Données!AP99</f>
        <v>20.599220377719362</v>
      </c>
      <c r="E99" s="292">
        <f>VPI!Q99</f>
        <v>70</v>
      </c>
      <c r="F99" s="162">
        <f t="shared" si="4"/>
        <v>49.400779622280638</v>
      </c>
      <c r="G99" s="655">
        <f>Effort!I99+Aide!I99/Taux!C99+Effort!K99/Taux!C99</f>
        <v>5.0317686658256857</v>
      </c>
      <c r="H99" s="80">
        <f t="shared" si="5"/>
        <v>54.432548288106325</v>
      </c>
      <c r="I99" s="149">
        <f t="shared" si="6"/>
        <v>0</v>
      </c>
      <c r="J99" s="658">
        <f t="shared" si="7"/>
        <v>0</v>
      </c>
      <c r="L99" s="9"/>
      <c r="M99" s="10"/>
      <c r="R99" s="10"/>
    </row>
    <row r="100" spans="1:18" x14ac:dyDescent="0.25">
      <c r="A100" s="37">
        <f>Données!A100</f>
        <v>5563</v>
      </c>
      <c r="B100" s="137" t="str">
        <f>Données!B100</f>
        <v>Mutrux</v>
      </c>
      <c r="C100" s="247">
        <f>VPI!R100</f>
        <v>4029.343875</v>
      </c>
      <c r="D100" s="367">
        <f>+Données!AP100</f>
        <v>-12.977613611746547</v>
      </c>
      <c r="E100" s="292">
        <f>VPI!Q100</f>
        <v>80</v>
      </c>
      <c r="F100" s="162">
        <f t="shared" si="4"/>
        <v>92.977613611746548</v>
      </c>
      <c r="G100" s="655">
        <f>Effort!I100+Aide!I100/Taux!C100+Effort!K100/Taux!C100</f>
        <v>-9.0365907705486315</v>
      </c>
      <c r="H100" s="80">
        <f t="shared" si="5"/>
        <v>83.94102284119792</v>
      </c>
      <c r="I100" s="149">
        <f t="shared" si="6"/>
        <v>0</v>
      </c>
      <c r="J100" s="658">
        <f t="shared" si="7"/>
        <v>0</v>
      </c>
      <c r="L100" s="9"/>
      <c r="M100" s="10"/>
      <c r="R100" s="10"/>
    </row>
    <row r="101" spans="1:18" x14ac:dyDescent="0.25">
      <c r="A101" s="37">
        <f>Données!A101</f>
        <v>5564</v>
      </c>
      <c r="B101" s="137" t="str">
        <f>Données!B101</f>
        <v>Novalles</v>
      </c>
      <c r="C101" s="247">
        <f>VPI!R101</f>
        <v>2464.3180592105264</v>
      </c>
      <c r="D101" s="367">
        <f>+Données!AP101</f>
        <v>-3.1157049479201877</v>
      </c>
      <c r="E101" s="292">
        <f>VPI!Q101</f>
        <v>76</v>
      </c>
      <c r="F101" s="162">
        <f t="shared" si="4"/>
        <v>79.115704947920193</v>
      </c>
      <c r="G101" s="655">
        <f>Effort!I101+Aide!I101/Taux!C101+Effort!K101/Taux!C101</f>
        <v>-6.1888178464717463</v>
      </c>
      <c r="H101" s="80">
        <f t="shared" si="5"/>
        <v>72.926887101448443</v>
      </c>
      <c r="I101" s="149">
        <f t="shared" si="6"/>
        <v>0</v>
      </c>
      <c r="J101" s="658">
        <f t="shared" si="7"/>
        <v>0</v>
      </c>
      <c r="L101" s="9"/>
      <c r="M101" s="10"/>
      <c r="R101" s="10"/>
    </row>
    <row r="102" spans="1:18" x14ac:dyDescent="0.25">
      <c r="A102" s="37">
        <f>Données!A102</f>
        <v>5565</v>
      </c>
      <c r="B102" s="137" t="str">
        <f>Données!B102</f>
        <v>Onnens</v>
      </c>
      <c r="C102" s="247">
        <f>VPI!R102</f>
        <v>20188.105039370083</v>
      </c>
      <c r="D102" s="367">
        <f>+Données!AP102</f>
        <v>25.380807136305148</v>
      </c>
      <c r="E102" s="292">
        <f>VPI!Q102</f>
        <v>63.5</v>
      </c>
      <c r="F102" s="162">
        <f t="shared" si="4"/>
        <v>38.119192863694849</v>
      </c>
      <c r="G102" s="655">
        <f>Effort!I102+Aide!I102/Taux!C102+Effort!K102/Taux!C102</f>
        <v>19.207289954460219</v>
      </c>
      <c r="H102" s="80">
        <f t="shared" si="5"/>
        <v>57.326482818155071</v>
      </c>
      <c r="I102" s="149">
        <f t="shared" si="6"/>
        <v>0</v>
      </c>
      <c r="J102" s="658">
        <f t="shared" si="7"/>
        <v>0</v>
      </c>
      <c r="L102" s="9"/>
      <c r="M102" s="10"/>
      <c r="R102" s="10"/>
    </row>
    <row r="103" spans="1:18" x14ac:dyDescent="0.25">
      <c r="A103" s="37">
        <f>Données!A103</f>
        <v>5566</v>
      </c>
      <c r="B103" s="137" t="str">
        <f>Données!B103</f>
        <v>Provence</v>
      </c>
      <c r="C103" s="247">
        <f>VPI!R103</f>
        <v>11354.81353909465</v>
      </c>
      <c r="D103" s="367">
        <f>+Données!AP103</f>
        <v>-4.2808102419863658</v>
      </c>
      <c r="E103" s="292">
        <f>VPI!Q103</f>
        <v>81</v>
      </c>
      <c r="F103" s="162">
        <f t="shared" si="4"/>
        <v>85.280810241986359</v>
      </c>
      <c r="G103" s="655">
        <f>Effort!I103+Aide!I103/Taux!C103+Effort!K103/Taux!C103</f>
        <v>-31.824576624962969</v>
      </c>
      <c r="H103" s="80">
        <f t="shared" si="5"/>
        <v>53.456233617023386</v>
      </c>
      <c r="I103" s="149">
        <f t="shared" si="6"/>
        <v>0</v>
      </c>
      <c r="J103" s="658">
        <f t="shared" si="7"/>
        <v>0</v>
      </c>
      <c r="L103" s="9"/>
      <c r="M103" s="10"/>
      <c r="R103" s="10"/>
    </row>
    <row r="104" spans="1:18" x14ac:dyDescent="0.25">
      <c r="A104" s="37">
        <f>Données!A104</f>
        <v>5568</v>
      </c>
      <c r="B104" s="137" t="str">
        <f>Données!B104</f>
        <v>Sainte-Croix</v>
      </c>
      <c r="C104" s="247">
        <f>VPI!R104</f>
        <v>114571.34028571429</v>
      </c>
      <c r="D104" s="367">
        <f>+Données!AP104</f>
        <v>-12.559319667475949</v>
      </c>
      <c r="E104" s="292">
        <f>VPI!Q104</f>
        <v>70</v>
      </c>
      <c r="F104" s="162">
        <f t="shared" si="4"/>
        <v>82.559319667475947</v>
      </c>
      <c r="G104" s="655">
        <f>Effort!I104+Aide!I104/Taux!C104+Effort!K104/Taux!C104</f>
        <v>-26.526446211426816</v>
      </c>
      <c r="H104" s="80">
        <f t="shared" si="5"/>
        <v>56.032873456049131</v>
      </c>
      <c r="I104" s="149">
        <f t="shared" si="6"/>
        <v>0</v>
      </c>
      <c r="J104" s="658">
        <f t="shared" si="7"/>
        <v>0</v>
      </c>
      <c r="L104" s="9"/>
      <c r="M104" s="10"/>
      <c r="R104" s="10"/>
    </row>
    <row r="105" spans="1:18" x14ac:dyDescent="0.25">
      <c r="A105" s="37">
        <f>Données!A105</f>
        <v>5571</v>
      </c>
      <c r="B105" s="137" t="str">
        <f>Données!B105</f>
        <v>Tévenon</v>
      </c>
      <c r="C105" s="247">
        <f>VPI!R105</f>
        <v>26145.544382284381</v>
      </c>
      <c r="D105" s="367">
        <f>+Données!AP105</f>
        <v>13.157096638700697</v>
      </c>
      <c r="E105" s="292">
        <f>VPI!Q105</f>
        <v>71.5</v>
      </c>
      <c r="F105" s="162">
        <f t="shared" si="4"/>
        <v>58.342903361299307</v>
      </c>
      <c r="G105" s="655">
        <f>Effort!I105+Aide!I105/Taux!C105+Effort!K105/Taux!C105</f>
        <v>7.7145780522600518</v>
      </c>
      <c r="H105" s="80">
        <f t="shared" si="5"/>
        <v>66.057481413559358</v>
      </c>
      <c r="I105" s="149">
        <f t="shared" si="6"/>
        <v>0</v>
      </c>
      <c r="J105" s="658">
        <f t="shared" si="7"/>
        <v>0</v>
      </c>
      <c r="L105" s="9"/>
      <c r="M105" s="10"/>
      <c r="R105" s="10"/>
    </row>
    <row r="106" spans="1:18" x14ac:dyDescent="0.25">
      <c r="A106" s="37">
        <f>Données!A106</f>
        <v>5581</v>
      </c>
      <c r="B106" s="137" t="str">
        <f>Données!B106</f>
        <v>Belmont-sur-Lausanne</v>
      </c>
      <c r="C106" s="247">
        <f>VPI!R106</f>
        <v>246930.40333333338</v>
      </c>
      <c r="D106" s="367">
        <f>+Données!AP106</f>
        <v>26.210724071527487</v>
      </c>
      <c r="E106" s="292">
        <f>VPI!Q106</f>
        <v>72</v>
      </c>
      <c r="F106" s="162">
        <f t="shared" si="4"/>
        <v>45.789275928472513</v>
      </c>
      <c r="G106" s="655">
        <f>Effort!I106+Aide!I106/Taux!C106+Effort!K106/Taux!C106</f>
        <v>23.876706705003116</v>
      </c>
      <c r="H106" s="80">
        <f t="shared" si="5"/>
        <v>69.665982633475636</v>
      </c>
      <c r="I106" s="149">
        <f t="shared" si="6"/>
        <v>0</v>
      </c>
      <c r="J106" s="658">
        <f t="shared" si="7"/>
        <v>0</v>
      </c>
      <c r="L106" s="9"/>
      <c r="M106" s="10"/>
      <c r="R106" s="10"/>
    </row>
    <row r="107" spans="1:18" x14ac:dyDescent="0.25">
      <c r="A107" s="37">
        <f>Données!A107</f>
        <v>5582</v>
      </c>
      <c r="B107" s="137" t="str">
        <f>Données!B107</f>
        <v>Cheseaux-sur-Lausanne</v>
      </c>
      <c r="C107" s="247">
        <f>VPI!R107</f>
        <v>179580.92342465755</v>
      </c>
      <c r="D107" s="367">
        <f>+Données!AP107</f>
        <v>13.443097728177493</v>
      </c>
      <c r="E107" s="292">
        <f>VPI!Q107</f>
        <v>73</v>
      </c>
      <c r="F107" s="162">
        <f t="shared" si="4"/>
        <v>59.556902271822509</v>
      </c>
      <c r="G107" s="655">
        <f>Effort!I107+Aide!I107/Taux!C107+Effort!K107/Taux!C107</f>
        <v>9.6605963240473933</v>
      </c>
      <c r="H107" s="80">
        <f t="shared" si="5"/>
        <v>69.217498595869898</v>
      </c>
      <c r="I107" s="149">
        <f t="shared" si="6"/>
        <v>0</v>
      </c>
      <c r="J107" s="658">
        <f t="shared" si="7"/>
        <v>0</v>
      </c>
      <c r="L107" s="9"/>
      <c r="M107" s="10"/>
      <c r="R107" s="10"/>
    </row>
    <row r="108" spans="1:18" x14ac:dyDescent="0.25">
      <c r="A108" s="37">
        <f>Données!A108</f>
        <v>5583</v>
      </c>
      <c r="B108" s="137" t="str">
        <f>Données!B108</f>
        <v>Crissier</v>
      </c>
      <c r="C108" s="247">
        <f>VPI!R108</f>
        <v>456346.42330708652</v>
      </c>
      <c r="D108" s="367">
        <f>+Données!AP108</f>
        <v>14.187124590856268</v>
      </c>
      <c r="E108" s="292">
        <f>VPI!Q108</f>
        <v>63.5</v>
      </c>
      <c r="F108" s="162">
        <f t="shared" si="4"/>
        <v>49.312875409143729</v>
      </c>
      <c r="G108" s="655">
        <f>Effort!I108+Aide!I108/Taux!C108+Effort!K108/Taux!C108</f>
        <v>6.8289431053970766</v>
      </c>
      <c r="H108" s="80">
        <f t="shared" si="5"/>
        <v>56.141818514540802</v>
      </c>
      <c r="I108" s="149">
        <f t="shared" si="6"/>
        <v>0</v>
      </c>
      <c r="J108" s="658">
        <f t="shared" si="7"/>
        <v>0</v>
      </c>
      <c r="L108" s="9"/>
      <c r="M108" s="10"/>
      <c r="R108" s="10"/>
    </row>
    <row r="109" spans="1:18" x14ac:dyDescent="0.25">
      <c r="A109" s="37">
        <f>Données!A109</f>
        <v>5584</v>
      </c>
      <c r="B109" s="137" t="str">
        <f>Données!B109</f>
        <v>Epalinges</v>
      </c>
      <c r="C109" s="247">
        <f>VPI!R109</f>
        <v>527681.12604651169</v>
      </c>
      <c r="D109" s="367">
        <f>+Données!AP109</f>
        <v>21.286516382221471</v>
      </c>
      <c r="E109" s="292">
        <f>VPI!Q109</f>
        <v>64.5</v>
      </c>
      <c r="F109" s="162">
        <f t="shared" si="4"/>
        <v>43.213483617778529</v>
      </c>
      <c r="G109" s="655">
        <f>Effort!I109+Aide!I109/Taux!C109+Effort!K109/Taux!C109</f>
        <v>13.265727179322722</v>
      </c>
      <c r="H109" s="80">
        <f t="shared" si="5"/>
        <v>56.479210797101253</v>
      </c>
      <c r="I109" s="149">
        <f t="shared" si="6"/>
        <v>0</v>
      </c>
      <c r="J109" s="658">
        <f t="shared" si="7"/>
        <v>0</v>
      </c>
      <c r="L109" s="9"/>
      <c r="M109" s="10"/>
      <c r="R109" s="10"/>
    </row>
    <row r="110" spans="1:18" x14ac:dyDescent="0.25">
      <c r="A110" s="37">
        <f>Données!A110</f>
        <v>5585</v>
      </c>
      <c r="B110" s="137" t="str">
        <f>Données!B110</f>
        <v>Jouxtens-Mézery</v>
      </c>
      <c r="C110" s="247">
        <f>VPI!R110</f>
        <v>207839.61429378533</v>
      </c>
      <c r="D110" s="367">
        <f>+Données!AP110</f>
        <v>48.139867713125156</v>
      </c>
      <c r="E110" s="292">
        <f>VPI!Q110</f>
        <v>59</v>
      </c>
      <c r="F110" s="162">
        <f t="shared" si="4"/>
        <v>10.860132286874844</v>
      </c>
      <c r="G110" s="655">
        <f>Effort!I110+Aide!I110/Taux!C110+Effort!K110/Taux!C110</f>
        <v>44.575826418021748</v>
      </c>
      <c r="H110" s="80">
        <f t="shared" si="5"/>
        <v>55.435958704896592</v>
      </c>
      <c r="I110" s="149">
        <f t="shared" si="6"/>
        <v>0</v>
      </c>
      <c r="J110" s="658">
        <f t="shared" si="7"/>
        <v>0</v>
      </c>
      <c r="L110" s="9"/>
      <c r="M110" s="10"/>
      <c r="R110" s="10"/>
    </row>
    <row r="111" spans="1:18" x14ac:dyDescent="0.25">
      <c r="A111" s="37">
        <f>Données!A111</f>
        <v>5586</v>
      </c>
      <c r="B111" s="137" t="str">
        <f>Données!B111</f>
        <v>Lausanne</v>
      </c>
      <c r="C111" s="247">
        <f>VPI!R111</f>
        <v>7026947.2679830147</v>
      </c>
      <c r="D111" s="367">
        <f>+Données!AP111</f>
        <v>7.8780736211345248</v>
      </c>
      <c r="E111" s="292">
        <f>VPI!Q111</f>
        <v>78.5</v>
      </c>
      <c r="F111" s="162">
        <f t="shared" si="4"/>
        <v>70.621926378865481</v>
      </c>
      <c r="G111" s="655">
        <f>Effort!I111+Aide!I111/Taux!C111+Effort!K111/Taux!C111</f>
        <v>0.39832406262895859</v>
      </c>
      <c r="H111" s="80">
        <f t="shared" si="5"/>
        <v>71.02025044149444</v>
      </c>
      <c r="I111" s="149">
        <f t="shared" si="6"/>
        <v>0</v>
      </c>
      <c r="J111" s="658">
        <f t="shared" si="7"/>
        <v>0</v>
      </c>
      <c r="L111" s="9"/>
      <c r="M111" s="10"/>
      <c r="R111" s="10"/>
    </row>
    <row r="112" spans="1:18" x14ac:dyDescent="0.25">
      <c r="A112" s="37">
        <f>Données!A112</f>
        <v>5587</v>
      </c>
      <c r="B112" s="137" t="str">
        <f>Données!B112</f>
        <v>Le Mont-sur-Lausanne</v>
      </c>
      <c r="C112" s="247">
        <f>VPI!R112</f>
        <v>515123.14148148138</v>
      </c>
      <c r="D112" s="367">
        <f>+Données!AP112</f>
        <v>22.193367387054948</v>
      </c>
      <c r="E112" s="292">
        <f>VPI!Q112</f>
        <v>72</v>
      </c>
      <c r="F112" s="162">
        <f t="shared" si="4"/>
        <v>49.806632612945052</v>
      </c>
      <c r="G112" s="655">
        <f>Effort!I112+Aide!I112/Taux!C112+Effort!K112/Taux!C112</f>
        <v>17.325666117922971</v>
      </c>
      <c r="H112" s="80">
        <f t="shared" si="5"/>
        <v>67.13229873086803</v>
      </c>
      <c r="I112" s="149">
        <f t="shared" si="6"/>
        <v>0</v>
      </c>
      <c r="J112" s="658">
        <f t="shared" si="7"/>
        <v>0</v>
      </c>
      <c r="L112" s="9"/>
      <c r="M112" s="10"/>
      <c r="R112" s="10"/>
    </row>
    <row r="113" spans="1:18" x14ac:dyDescent="0.25">
      <c r="A113" s="37">
        <f>Données!A113</f>
        <v>5588</v>
      </c>
      <c r="B113" s="137" t="str">
        <f>Données!B113</f>
        <v>Paudex</v>
      </c>
      <c r="C113" s="247">
        <f>VPI!R113</f>
        <v>151788.7450912997</v>
      </c>
      <c r="D113" s="367">
        <f>+Données!AP113</f>
        <v>35.447250127743771</v>
      </c>
      <c r="E113" s="292">
        <f>VPI!Q113</f>
        <v>66.5</v>
      </c>
      <c r="F113" s="162">
        <f t="shared" si="4"/>
        <v>31.052749872256229</v>
      </c>
      <c r="G113" s="655">
        <f>Effort!I113+Aide!I113/Taux!C113+Effort!K113/Taux!C113</f>
        <v>39.60531274454803</v>
      </c>
      <c r="H113" s="80">
        <f t="shared" si="5"/>
        <v>70.658062616804258</v>
      </c>
      <c r="I113" s="149">
        <f t="shared" si="6"/>
        <v>0</v>
      </c>
      <c r="J113" s="658">
        <f t="shared" si="7"/>
        <v>0</v>
      </c>
      <c r="L113" s="9"/>
      <c r="M113" s="10"/>
      <c r="R113" s="10"/>
    </row>
    <row r="114" spans="1:18" x14ac:dyDescent="0.25">
      <c r="A114" s="37">
        <f>Données!A114</f>
        <v>5589</v>
      </c>
      <c r="B114" s="137" t="str">
        <f>Données!B114</f>
        <v>Prilly</v>
      </c>
      <c r="C114" s="247">
        <f>VPI!R114</f>
        <v>442584.39482228115</v>
      </c>
      <c r="D114" s="367">
        <f>+Données!AP114</f>
        <v>6.2709154664486384</v>
      </c>
      <c r="E114" s="292">
        <f>VPI!Q114</f>
        <v>72.5</v>
      </c>
      <c r="F114" s="162">
        <f t="shared" si="4"/>
        <v>66.229084533551358</v>
      </c>
      <c r="G114" s="655">
        <f>Effort!I114+Aide!I114/Taux!C114+Effort!K114/Taux!C114</f>
        <v>-5.1534005932157498</v>
      </c>
      <c r="H114" s="80">
        <f t="shared" si="5"/>
        <v>61.075683940335608</v>
      </c>
      <c r="I114" s="149">
        <f t="shared" si="6"/>
        <v>0</v>
      </c>
      <c r="J114" s="658">
        <f t="shared" si="7"/>
        <v>0</v>
      </c>
      <c r="L114" s="9"/>
      <c r="M114" s="10"/>
      <c r="R114" s="10"/>
    </row>
    <row r="115" spans="1:18" x14ac:dyDescent="0.25">
      <c r="A115" s="37">
        <f>Données!A115</f>
        <v>5590</v>
      </c>
      <c r="B115" s="137" t="str">
        <f>Données!B115</f>
        <v>Pully</v>
      </c>
      <c r="C115" s="247">
        <f>VPI!R115</f>
        <v>1670113.1662763469</v>
      </c>
      <c r="D115" s="367">
        <f>+Données!AP115</f>
        <v>28.789199024967932</v>
      </c>
      <c r="E115" s="292">
        <f>VPI!Q115</f>
        <v>61</v>
      </c>
      <c r="F115" s="162">
        <f t="shared" si="4"/>
        <v>32.210800975032072</v>
      </c>
      <c r="G115" s="655">
        <f>Effort!I115+Aide!I115/Taux!C115+Effort!K115/Taux!C115</f>
        <v>27.418645122105655</v>
      </c>
      <c r="H115" s="80">
        <f t="shared" si="5"/>
        <v>59.62944609713773</v>
      </c>
      <c r="I115" s="149">
        <f t="shared" si="6"/>
        <v>0</v>
      </c>
      <c r="J115" s="658">
        <f t="shared" si="7"/>
        <v>0</v>
      </c>
      <c r="L115" s="9"/>
      <c r="M115" s="10"/>
      <c r="R115" s="10"/>
    </row>
    <row r="116" spans="1:18" x14ac:dyDescent="0.25">
      <c r="A116" s="37">
        <f>Données!A116</f>
        <v>5591</v>
      </c>
      <c r="B116" s="137" t="str">
        <f>Données!B116</f>
        <v>Renens</v>
      </c>
      <c r="C116" s="247">
        <f>VPI!R116</f>
        <v>627232.40092764387</v>
      </c>
      <c r="D116" s="367">
        <f>+Données!AP116</f>
        <v>-11.927036887481123</v>
      </c>
      <c r="E116" s="292">
        <f>VPI!Q116</f>
        <v>77</v>
      </c>
      <c r="F116" s="162">
        <f t="shared" si="4"/>
        <v>88.927036887481123</v>
      </c>
      <c r="G116" s="655">
        <f>Effort!I116+Aide!I116/Taux!C116+Effort!K116/Taux!C116</f>
        <v>-26.153398118892454</v>
      </c>
      <c r="H116" s="80">
        <f t="shared" si="5"/>
        <v>62.773638768588668</v>
      </c>
      <c r="I116" s="149">
        <f t="shared" si="6"/>
        <v>0</v>
      </c>
      <c r="J116" s="658">
        <f t="shared" si="7"/>
        <v>0</v>
      </c>
      <c r="L116" s="9"/>
      <c r="M116" s="10"/>
      <c r="R116" s="10"/>
    </row>
    <row r="117" spans="1:18" x14ac:dyDescent="0.25">
      <c r="A117" s="37">
        <f>Données!A117</f>
        <v>5592</v>
      </c>
      <c r="B117" s="137" t="str">
        <f>Données!B117</f>
        <v>Romanel-sur-Lausanne</v>
      </c>
      <c r="C117" s="247">
        <f>VPI!R117</f>
        <v>146863.22056737586</v>
      </c>
      <c r="D117" s="367">
        <f>+Données!AP117</f>
        <v>11.609817753226588</v>
      </c>
      <c r="E117" s="292">
        <f>VPI!Q117</f>
        <v>70.5</v>
      </c>
      <c r="F117" s="162">
        <f t="shared" si="4"/>
        <v>58.890182246773414</v>
      </c>
      <c r="G117" s="655">
        <f>Effort!I117+Aide!I117/Taux!C117+Effort!K117/Taux!C117</f>
        <v>9.3162134682619193</v>
      </c>
      <c r="H117" s="80">
        <f t="shared" si="5"/>
        <v>68.206395715035327</v>
      </c>
      <c r="I117" s="149">
        <f t="shared" si="6"/>
        <v>0</v>
      </c>
      <c r="J117" s="658">
        <f t="shared" si="7"/>
        <v>0</v>
      </c>
      <c r="L117" s="9"/>
      <c r="M117" s="10"/>
      <c r="R117" s="10"/>
    </row>
    <row r="118" spans="1:18" x14ac:dyDescent="0.25">
      <c r="A118" s="37">
        <f>Données!A118</f>
        <v>5601</v>
      </c>
      <c r="B118" s="137" t="str">
        <f>Données!B118</f>
        <v>Chexbres</v>
      </c>
      <c r="C118" s="247">
        <f>VPI!R118</f>
        <v>111006.30192592592</v>
      </c>
      <c r="D118" s="367">
        <f>+Données!AP118</f>
        <v>23.583177283130308</v>
      </c>
      <c r="E118" s="292">
        <f>VPI!Q118</f>
        <v>67.5</v>
      </c>
      <c r="F118" s="162">
        <f t="shared" si="4"/>
        <v>43.916822716869689</v>
      </c>
      <c r="G118" s="655">
        <f>Effort!I118+Aide!I118/Taux!C118+Effort!K118/Taux!C118</f>
        <v>22.22225235117266</v>
      </c>
      <c r="H118" s="80">
        <f t="shared" si="5"/>
        <v>66.139075068042345</v>
      </c>
      <c r="I118" s="149">
        <f t="shared" si="6"/>
        <v>0</v>
      </c>
      <c r="J118" s="658">
        <f t="shared" si="7"/>
        <v>0</v>
      </c>
      <c r="L118" s="9"/>
      <c r="M118" s="10"/>
      <c r="R118" s="10"/>
    </row>
    <row r="119" spans="1:18" x14ac:dyDescent="0.25">
      <c r="A119" s="37">
        <f>Données!A119</f>
        <v>5604</v>
      </c>
      <c r="B119" s="137" t="str">
        <f>Données!B119</f>
        <v>Forel (Lavaux)</v>
      </c>
      <c r="C119" s="247">
        <f>VPI!R119</f>
        <v>74097.487681159415</v>
      </c>
      <c r="D119" s="367">
        <f>+Données!AP119</f>
        <v>17.18191857695728</v>
      </c>
      <c r="E119" s="292">
        <f>VPI!Q119</f>
        <v>69</v>
      </c>
      <c r="F119" s="162">
        <f t="shared" si="4"/>
        <v>51.81808142304272</v>
      </c>
      <c r="G119" s="655">
        <f>Effort!I119+Aide!I119/Taux!C119+Effort!K119/Taux!C119</f>
        <v>10.750692139821052</v>
      </c>
      <c r="H119" s="80">
        <f t="shared" si="5"/>
        <v>62.568773562863768</v>
      </c>
      <c r="I119" s="149">
        <f t="shared" si="6"/>
        <v>0</v>
      </c>
      <c r="J119" s="658">
        <f t="shared" si="7"/>
        <v>0</v>
      </c>
      <c r="L119" s="9"/>
      <c r="M119" s="10"/>
      <c r="R119" s="10"/>
    </row>
    <row r="120" spans="1:18" x14ac:dyDescent="0.25">
      <c r="A120" s="37">
        <f>Données!A120</f>
        <v>5606</v>
      </c>
      <c r="B120" s="137" t="str">
        <f>Données!B120</f>
        <v>Lutry</v>
      </c>
      <c r="C120" s="247">
        <f>VPI!R120</f>
        <v>967121.48857142858</v>
      </c>
      <c r="D120" s="367">
        <f>+Données!AP120</f>
        <v>32.731717246997164</v>
      </c>
      <c r="E120" s="292">
        <f>VPI!Q120</f>
        <v>54</v>
      </c>
      <c r="F120" s="162">
        <f t="shared" si="4"/>
        <v>21.268282753002836</v>
      </c>
      <c r="G120" s="655">
        <f>Effort!I120+Aide!I120/Taux!C120+Effort!K120/Taux!C120</f>
        <v>29.880129196640759</v>
      </c>
      <c r="H120" s="80">
        <f t="shared" si="5"/>
        <v>51.148411949643595</v>
      </c>
      <c r="I120" s="149">
        <f t="shared" si="6"/>
        <v>0</v>
      </c>
      <c r="J120" s="658">
        <f t="shared" si="7"/>
        <v>0</v>
      </c>
      <c r="L120" s="9"/>
      <c r="M120" s="10"/>
      <c r="R120" s="10"/>
    </row>
    <row r="121" spans="1:18" x14ac:dyDescent="0.25">
      <c r="A121" s="37">
        <f>Données!A121</f>
        <v>5607</v>
      </c>
      <c r="B121" s="137" t="str">
        <f>Données!B121</f>
        <v>Puidoux</v>
      </c>
      <c r="C121" s="247">
        <f>VPI!R121</f>
        <v>136783.21297365916</v>
      </c>
      <c r="D121" s="367">
        <f>+Données!AP121</f>
        <v>22.304793166210946</v>
      </c>
      <c r="E121" s="292">
        <f>VPI!Q121</f>
        <v>68.5</v>
      </c>
      <c r="F121" s="162">
        <f t="shared" si="4"/>
        <v>46.195206833789058</v>
      </c>
      <c r="G121" s="655">
        <f>Effort!I121+Aide!I121/Taux!C121+Effort!K121/Taux!C121</f>
        <v>16.17727967127292</v>
      </c>
      <c r="H121" s="80">
        <f t="shared" si="5"/>
        <v>62.372486505061978</v>
      </c>
      <c r="I121" s="149">
        <f t="shared" si="6"/>
        <v>0</v>
      </c>
      <c r="J121" s="658">
        <f t="shared" si="7"/>
        <v>0</v>
      </c>
      <c r="L121" s="9"/>
      <c r="M121" s="10"/>
      <c r="R121" s="10"/>
    </row>
    <row r="122" spans="1:18" x14ac:dyDescent="0.25">
      <c r="A122" s="37">
        <f>Données!A122</f>
        <v>5609</v>
      </c>
      <c r="B122" s="137" t="str">
        <f>Données!B122</f>
        <v>Rivaz</v>
      </c>
      <c r="C122" s="247">
        <f>VPI!R122</f>
        <v>15606.865161290323</v>
      </c>
      <c r="D122" s="367">
        <f>+Données!AP122</f>
        <v>25.359061557561891</v>
      </c>
      <c r="E122" s="292">
        <f>VPI!Q122</f>
        <v>62</v>
      </c>
      <c r="F122" s="162">
        <f t="shared" si="4"/>
        <v>36.640938442438113</v>
      </c>
      <c r="G122" s="655">
        <f>Effort!I122+Aide!I122/Taux!C122+Effort!K122/Taux!C122</f>
        <v>23.145223662917378</v>
      </c>
      <c r="H122" s="80">
        <f t="shared" si="5"/>
        <v>59.786162105355487</v>
      </c>
      <c r="I122" s="149">
        <f t="shared" si="6"/>
        <v>0</v>
      </c>
      <c r="J122" s="658">
        <f t="shared" si="7"/>
        <v>0</v>
      </c>
      <c r="L122" s="9"/>
      <c r="M122" s="10"/>
      <c r="R122" s="10"/>
    </row>
    <row r="123" spans="1:18" x14ac:dyDescent="0.25">
      <c r="A123" s="37">
        <f>Données!A123</f>
        <v>5610</v>
      </c>
      <c r="B123" s="137" t="str">
        <f>Données!B123</f>
        <v>St-Saphorin (Lavaux)</v>
      </c>
      <c r="C123" s="247">
        <f>VPI!R123</f>
        <v>17690.752229729729</v>
      </c>
      <c r="D123" s="367">
        <f>+Données!AP123</f>
        <v>28.057423438341019</v>
      </c>
      <c r="E123" s="292">
        <f>VPI!Q123</f>
        <v>74</v>
      </c>
      <c r="F123" s="162">
        <f t="shared" si="4"/>
        <v>45.942576561658981</v>
      </c>
      <c r="G123" s="655">
        <f>Effort!I123+Aide!I123/Taux!C123+Effort!K123/Taux!C123</f>
        <v>14.653252217713728</v>
      </c>
      <c r="H123" s="80">
        <f t="shared" si="5"/>
        <v>60.59582877937271</v>
      </c>
      <c r="I123" s="149">
        <f t="shared" si="6"/>
        <v>0</v>
      </c>
      <c r="J123" s="658">
        <f t="shared" si="7"/>
        <v>0</v>
      </c>
      <c r="L123" s="9"/>
      <c r="M123" s="10"/>
      <c r="R123" s="10"/>
    </row>
    <row r="124" spans="1:18" x14ac:dyDescent="0.25">
      <c r="A124" s="37">
        <f>Données!A124</f>
        <v>5611</v>
      </c>
      <c r="B124" s="137" t="str">
        <f>Données!B124</f>
        <v>Savigny</v>
      </c>
      <c r="C124" s="247">
        <f>VPI!R124</f>
        <v>157298.88888888891</v>
      </c>
      <c r="D124" s="367">
        <f>+Données!AP124</f>
        <v>19.603871974545882</v>
      </c>
      <c r="E124" s="292">
        <f>VPI!Q124</f>
        <v>69</v>
      </c>
      <c r="F124" s="162">
        <f t="shared" si="4"/>
        <v>49.396128025454118</v>
      </c>
      <c r="G124" s="655">
        <f>Effort!I124+Aide!I124/Taux!C124+Effort!K124/Taux!C124</f>
        <v>17.750789534130739</v>
      </c>
      <c r="H124" s="80">
        <f t="shared" si="5"/>
        <v>67.146917559584864</v>
      </c>
      <c r="I124" s="149">
        <f t="shared" si="6"/>
        <v>0</v>
      </c>
      <c r="J124" s="658">
        <f t="shared" si="7"/>
        <v>0</v>
      </c>
      <c r="L124" s="9"/>
      <c r="M124" s="10"/>
      <c r="R124" s="10"/>
    </row>
    <row r="125" spans="1:18" x14ac:dyDescent="0.25">
      <c r="A125" s="37">
        <f>Données!A125</f>
        <v>5613</v>
      </c>
      <c r="B125" s="137" t="str">
        <f>Données!B125</f>
        <v>Bourg-en-Lavaux</v>
      </c>
      <c r="C125" s="247">
        <f>VPI!R125</f>
        <v>362275.1242133333</v>
      </c>
      <c r="D125" s="367">
        <f>+Données!AP125</f>
        <v>28.836167316505296</v>
      </c>
      <c r="E125" s="292">
        <f>VPI!Q125</f>
        <v>62.5</v>
      </c>
      <c r="F125" s="162">
        <f t="shared" si="4"/>
        <v>33.663832683494704</v>
      </c>
      <c r="G125" s="655">
        <f>Effort!I125+Aide!I125/Taux!C125+Effort!K125/Taux!C125</f>
        <v>28.161556765887209</v>
      </c>
      <c r="H125" s="80">
        <f t="shared" si="5"/>
        <v>61.825389449381916</v>
      </c>
      <c r="I125" s="149">
        <f t="shared" si="6"/>
        <v>0</v>
      </c>
      <c r="J125" s="658">
        <f t="shared" si="7"/>
        <v>0</v>
      </c>
      <c r="L125" s="9"/>
      <c r="M125" s="10"/>
      <c r="R125" s="10"/>
    </row>
    <row r="126" spans="1:18" x14ac:dyDescent="0.25">
      <c r="A126" s="37">
        <f>Données!A126</f>
        <v>5621</v>
      </c>
      <c r="B126" s="137" t="str">
        <f>Données!B126</f>
        <v>Aclens</v>
      </c>
      <c r="C126" s="247">
        <f>VPI!R126</f>
        <v>31275.873303030305</v>
      </c>
      <c r="D126" s="367">
        <f>+Données!AP126</f>
        <v>30.436671095480829</v>
      </c>
      <c r="E126" s="292">
        <f>VPI!Q126</f>
        <v>60</v>
      </c>
      <c r="F126" s="162">
        <f t="shared" si="4"/>
        <v>29.563328904519171</v>
      </c>
      <c r="G126" s="655">
        <f>Effort!I126+Aide!I126/Taux!C126+Effort!K126/Taux!C126</f>
        <v>26.004126945142986</v>
      </c>
      <c r="H126" s="80">
        <f t="shared" si="5"/>
        <v>55.567455849662153</v>
      </c>
      <c r="I126" s="149">
        <f t="shared" si="6"/>
        <v>0</v>
      </c>
      <c r="J126" s="658">
        <f t="shared" si="7"/>
        <v>0</v>
      </c>
      <c r="L126" s="9"/>
      <c r="M126" s="10"/>
      <c r="R126" s="10"/>
    </row>
    <row r="127" spans="1:18" x14ac:dyDescent="0.25">
      <c r="A127" s="37">
        <f>Données!A127</f>
        <v>5622</v>
      </c>
      <c r="B127" s="137" t="str">
        <f>Données!B127</f>
        <v>Bremblens</v>
      </c>
      <c r="C127" s="247">
        <f>VPI!R127</f>
        <v>29645.912352941177</v>
      </c>
      <c r="D127" s="367">
        <f>+Données!AP127</f>
        <v>27.793398581443292</v>
      </c>
      <c r="E127" s="292">
        <f>VPI!Q127</f>
        <v>68</v>
      </c>
      <c r="F127" s="162">
        <f t="shared" si="4"/>
        <v>40.206601418556708</v>
      </c>
      <c r="G127" s="655">
        <f>Effort!I127+Aide!I127/Taux!C127+Effort!K127/Taux!C127</f>
        <v>27.229491980102754</v>
      </c>
      <c r="H127" s="80">
        <f t="shared" si="5"/>
        <v>67.436093398659466</v>
      </c>
      <c r="I127" s="149">
        <f t="shared" si="6"/>
        <v>0</v>
      </c>
      <c r="J127" s="658">
        <f t="shared" si="7"/>
        <v>0</v>
      </c>
      <c r="L127" s="9"/>
      <c r="M127" s="10"/>
      <c r="R127" s="10"/>
    </row>
    <row r="128" spans="1:18" x14ac:dyDescent="0.25">
      <c r="A128" s="37">
        <f>Données!A128</f>
        <v>5623</v>
      </c>
      <c r="B128" s="137" t="str">
        <f>Données!B128</f>
        <v>Buchillon</v>
      </c>
      <c r="C128" s="247">
        <f>VPI!R128</f>
        <v>102629.43480769232</v>
      </c>
      <c r="D128" s="367">
        <f>+Données!AP128</f>
        <v>43.2551870448345</v>
      </c>
      <c r="E128" s="292">
        <f>VPI!Q128</f>
        <v>52</v>
      </c>
      <c r="F128" s="162">
        <f t="shared" si="4"/>
        <v>8.7448129551655001</v>
      </c>
      <c r="G128" s="655">
        <f>Effort!I128+Aide!I128/Taux!C128+Effort!K128/Taux!C128</f>
        <v>44.137798515790465</v>
      </c>
      <c r="H128" s="80">
        <f t="shared" si="5"/>
        <v>52.882611470955965</v>
      </c>
      <c r="I128" s="149">
        <f t="shared" si="6"/>
        <v>0</v>
      </c>
      <c r="J128" s="658">
        <f t="shared" si="7"/>
        <v>0</v>
      </c>
      <c r="L128" s="9"/>
      <c r="M128" s="10"/>
      <c r="R128" s="10"/>
    </row>
    <row r="129" spans="1:18" x14ac:dyDescent="0.25">
      <c r="A129" s="37">
        <f>Données!A129</f>
        <v>5624</v>
      </c>
      <c r="B129" s="137" t="str">
        <f>Données!B129</f>
        <v>Bussigny</v>
      </c>
      <c r="C129" s="247">
        <f>VPI!R129</f>
        <v>450667.46672000003</v>
      </c>
      <c r="D129" s="367">
        <f>+Données!AP129</f>
        <v>12.120963000098179</v>
      </c>
      <c r="E129" s="292">
        <f>VPI!Q129</f>
        <v>62.5</v>
      </c>
      <c r="F129" s="162">
        <f t="shared" si="4"/>
        <v>50.379036999901821</v>
      </c>
      <c r="G129" s="655">
        <f>Effort!I129+Aide!I129/Taux!C129+Effort!K129/Taux!C129</f>
        <v>5.1332412309955906</v>
      </c>
      <c r="H129" s="80">
        <f t="shared" si="5"/>
        <v>55.512278230897408</v>
      </c>
      <c r="I129" s="149">
        <f t="shared" si="6"/>
        <v>0</v>
      </c>
      <c r="J129" s="658">
        <f t="shared" si="7"/>
        <v>0</v>
      </c>
      <c r="L129" s="9"/>
      <c r="M129" s="10"/>
      <c r="R129" s="10"/>
    </row>
    <row r="130" spans="1:18" x14ac:dyDescent="0.25">
      <c r="A130" s="37">
        <f>Données!A130</f>
        <v>5627</v>
      </c>
      <c r="B130" s="137" t="str">
        <f>Données!B130</f>
        <v>Chavannes-près-Renens</v>
      </c>
      <c r="C130" s="247">
        <f>VPI!R130</f>
        <v>202046.51840860216</v>
      </c>
      <c r="D130" s="367">
        <f>+Données!AP130</f>
        <v>-25.195424850918631</v>
      </c>
      <c r="E130" s="292">
        <f>VPI!Q130</f>
        <v>77.5</v>
      </c>
      <c r="F130" s="162">
        <f t="shared" si="4"/>
        <v>102.69542485091863</v>
      </c>
      <c r="G130" s="655">
        <f>Effort!I130+Aide!I130/Taux!C130+Effort!K130/Taux!C130</f>
        <v>-29.021886622067321</v>
      </c>
      <c r="H130" s="80">
        <f t="shared" si="5"/>
        <v>73.673538228851299</v>
      </c>
      <c r="I130" s="149">
        <f t="shared" si="6"/>
        <v>0</v>
      </c>
      <c r="J130" s="658">
        <f t="shared" si="7"/>
        <v>0</v>
      </c>
      <c r="L130" s="9"/>
      <c r="M130" s="10"/>
      <c r="R130" s="10"/>
    </row>
    <row r="131" spans="1:18" x14ac:dyDescent="0.25">
      <c r="A131" s="37">
        <f>Données!A131</f>
        <v>5628</v>
      </c>
      <c r="B131" s="137" t="str">
        <f>Données!B131</f>
        <v>Chigny</v>
      </c>
      <c r="C131" s="247">
        <f>VPI!R131</f>
        <v>31766.144193548385</v>
      </c>
      <c r="D131" s="367">
        <f>+Données!AP131</f>
        <v>33.566401105777373</v>
      </c>
      <c r="E131" s="292">
        <f>VPI!Q131</f>
        <v>62</v>
      </c>
      <c r="F131" s="162">
        <f t="shared" si="4"/>
        <v>28.433598894222627</v>
      </c>
      <c r="G131" s="655">
        <f>Effort!I131+Aide!I131/Taux!C131+Effort!K131/Taux!C131</f>
        <v>34.45414549457378</v>
      </c>
      <c r="H131" s="80">
        <f t="shared" si="5"/>
        <v>62.887744388796406</v>
      </c>
      <c r="I131" s="149">
        <f t="shared" si="6"/>
        <v>0</v>
      </c>
      <c r="J131" s="658">
        <f t="shared" si="7"/>
        <v>0</v>
      </c>
      <c r="L131" s="9"/>
      <c r="M131" s="10"/>
      <c r="R131" s="10"/>
    </row>
    <row r="132" spans="1:18" x14ac:dyDescent="0.25">
      <c r="A132" s="37">
        <f>Données!A132</f>
        <v>5629</v>
      </c>
      <c r="B132" s="137" t="str">
        <f>Données!B132</f>
        <v>Clarmont</v>
      </c>
      <c r="C132" s="247">
        <f>VPI!R132</f>
        <v>8028.6466666666693</v>
      </c>
      <c r="D132" s="367">
        <f>+Données!AP132</f>
        <v>28.702971394660402</v>
      </c>
      <c r="E132" s="292">
        <f>VPI!Q132</f>
        <v>72</v>
      </c>
      <c r="F132" s="162">
        <f t="shared" si="4"/>
        <v>43.297028605339598</v>
      </c>
      <c r="G132" s="655">
        <f>Effort!I132+Aide!I132/Taux!C132+Effort!K132/Taux!C132</f>
        <v>10.076321281201826</v>
      </c>
      <c r="H132" s="80">
        <f t="shared" si="5"/>
        <v>53.373349886541426</v>
      </c>
      <c r="I132" s="149">
        <f t="shared" si="6"/>
        <v>0</v>
      </c>
      <c r="J132" s="658">
        <f t="shared" si="7"/>
        <v>0</v>
      </c>
      <c r="L132" s="9"/>
      <c r="M132" s="10"/>
      <c r="R132" s="10"/>
    </row>
    <row r="133" spans="1:18" x14ac:dyDescent="0.25">
      <c r="A133" s="37">
        <f>Données!A133</f>
        <v>5631</v>
      </c>
      <c r="B133" s="137" t="str">
        <f>Données!B133</f>
        <v>Denens</v>
      </c>
      <c r="C133" s="247">
        <f>VPI!R133</f>
        <v>46857.544615384613</v>
      </c>
      <c r="D133" s="367">
        <f>+Données!AP133</f>
        <v>32.153035734783018</v>
      </c>
      <c r="E133" s="292">
        <f>VPI!Q133</f>
        <v>65</v>
      </c>
      <c r="F133" s="162">
        <f t="shared" si="4"/>
        <v>32.846964265216982</v>
      </c>
      <c r="G133" s="655">
        <f>Effort!I133+Aide!I133/Taux!C133+Effort!K133/Taux!C133</f>
        <v>31.600072074638096</v>
      </c>
      <c r="H133" s="80">
        <f t="shared" si="5"/>
        <v>64.447036339855075</v>
      </c>
      <c r="I133" s="149">
        <f t="shared" si="6"/>
        <v>0</v>
      </c>
      <c r="J133" s="658">
        <f t="shared" si="7"/>
        <v>0</v>
      </c>
      <c r="L133" s="9"/>
      <c r="M133" s="10"/>
      <c r="R133" s="10"/>
    </row>
    <row r="134" spans="1:18" x14ac:dyDescent="0.25">
      <c r="A134" s="37">
        <f>Données!A134</f>
        <v>5632</v>
      </c>
      <c r="B134" s="137" t="str">
        <f>Données!B134</f>
        <v>Denges</v>
      </c>
      <c r="C134" s="247">
        <f>VPI!R134</f>
        <v>84931.199193548397</v>
      </c>
      <c r="D134" s="367">
        <f>+Données!AP134</f>
        <v>25.911849256487233</v>
      </c>
      <c r="E134" s="292">
        <f>VPI!Q134</f>
        <v>62</v>
      </c>
      <c r="F134" s="162">
        <f t="shared" si="4"/>
        <v>36.08815074351277</v>
      </c>
      <c r="G134" s="655">
        <f>Effort!I134+Aide!I134/Taux!C134+Effort!K134/Taux!C134</f>
        <v>23.102924025942123</v>
      </c>
      <c r="H134" s="80">
        <f t="shared" si="5"/>
        <v>59.191074769454893</v>
      </c>
      <c r="I134" s="149">
        <f t="shared" si="6"/>
        <v>0</v>
      </c>
      <c r="J134" s="658">
        <f t="shared" si="7"/>
        <v>0</v>
      </c>
      <c r="L134" s="9"/>
      <c r="M134" s="10"/>
      <c r="R134" s="10"/>
    </row>
    <row r="135" spans="1:18" x14ac:dyDescent="0.25">
      <c r="A135" s="37">
        <f>Données!A135</f>
        <v>5633</v>
      </c>
      <c r="B135" s="137" t="str">
        <f>Données!B135</f>
        <v>Echandens</v>
      </c>
      <c r="C135" s="247">
        <f>VPI!R135</f>
        <v>152816.5752066116</v>
      </c>
      <c r="D135" s="367">
        <f>+Données!AP135</f>
        <v>25.315155682724178</v>
      </c>
      <c r="E135" s="292">
        <f>VPI!Q135</f>
        <v>60.5</v>
      </c>
      <c r="F135" s="162">
        <f t="shared" ref="F135:F198" si="8">E135-D135</f>
        <v>35.184844317275818</v>
      </c>
      <c r="G135" s="655">
        <f>Effort!I135+Aide!I135/Taux!C135+Effort!K135/Taux!C135</f>
        <v>19.841642834404755</v>
      </c>
      <c r="H135" s="80">
        <f t="shared" ref="H135:H198" si="9">F135+G135</f>
        <v>55.02648715168057</v>
      </c>
      <c r="I135" s="149">
        <f t="shared" ref="I135:I198" si="10">IF(H135&gt;$I$5,H135-$I$5,0)</f>
        <v>0</v>
      </c>
      <c r="J135" s="658">
        <f t="shared" ref="J135:J198" si="11">-I135*C135</f>
        <v>0</v>
      </c>
      <c r="L135" s="9"/>
      <c r="M135" s="10"/>
      <c r="R135" s="10"/>
    </row>
    <row r="136" spans="1:18" x14ac:dyDescent="0.25">
      <c r="A136" s="37">
        <f>Données!A136</f>
        <v>5634</v>
      </c>
      <c r="B136" s="137" t="str">
        <f>Données!B136</f>
        <v>Echichens</v>
      </c>
      <c r="C136" s="247">
        <f>VPI!R136</f>
        <v>172315.76318181818</v>
      </c>
      <c r="D136" s="367">
        <f>+Données!AP136</f>
        <v>27.230048163983827</v>
      </c>
      <c r="E136" s="292">
        <f>VPI!Q136</f>
        <v>66</v>
      </c>
      <c r="F136" s="162">
        <f t="shared" si="8"/>
        <v>38.769951836016176</v>
      </c>
      <c r="G136" s="655">
        <f>Effort!I136+Aide!I136/Taux!C136+Effort!K136/Taux!C136</f>
        <v>24.779274757808274</v>
      </c>
      <c r="H136" s="80">
        <f t="shared" si="9"/>
        <v>63.54922659382445</v>
      </c>
      <c r="I136" s="149">
        <f t="shared" si="10"/>
        <v>0</v>
      </c>
      <c r="J136" s="658">
        <f t="shared" si="11"/>
        <v>0</v>
      </c>
      <c r="L136" s="9"/>
      <c r="M136" s="10"/>
      <c r="R136" s="10"/>
    </row>
    <row r="137" spans="1:18" x14ac:dyDescent="0.25">
      <c r="A137" s="37">
        <f>Données!A137</f>
        <v>5635</v>
      </c>
      <c r="B137" s="137" t="str">
        <f>Données!B137</f>
        <v>Ecublens</v>
      </c>
      <c r="C137" s="247">
        <f>VPI!R137</f>
        <v>544882.47829333332</v>
      </c>
      <c r="D137" s="367">
        <f>+Données!AP137</f>
        <v>9.1915299195519413</v>
      </c>
      <c r="E137" s="292">
        <f>VPI!Q137</f>
        <v>62.5</v>
      </c>
      <c r="F137" s="162">
        <f t="shared" si="8"/>
        <v>53.30847008044806</v>
      </c>
      <c r="G137" s="655">
        <f>Effort!I137+Aide!I137/Taux!C137+Effort!K137/Taux!C137</f>
        <v>3.8302219815032732</v>
      </c>
      <c r="H137" s="80">
        <f t="shared" si="9"/>
        <v>57.138692061951332</v>
      </c>
      <c r="I137" s="149">
        <f t="shared" si="10"/>
        <v>0</v>
      </c>
      <c r="J137" s="658">
        <f t="shared" si="11"/>
        <v>0</v>
      </c>
      <c r="L137" s="9"/>
      <c r="M137" s="10"/>
      <c r="R137" s="10"/>
    </row>
    <row r="138" spans="1:18" x14ac:dyDescent="0.25">
      <c r="A138" s="37">
        <f>Données!A138</f>
        <v>5636</v>
      </c>
      <c r="B138" s="137" t="str">
        <f>Données!B138</f>
        <v>Etoy</v>
      </c>
      <c r="C138" s="247">
        <f>VPI!R138</f>
        <v>214499.46883333332</v>
      </c>
      <c r="D138" s="367">
        <f>+Données!AP138</f>
        <v>34.033229766096014</v>
      </c>
      <c r="E138" s="292">
        <f>VPI!Q138</f>
        <v>60</v>
      </c>
      <c r="F138" s="162">
        <f t="shared" si="8"/>
        <v>25.966770233903986</v>
      </c>
      <c r="G138" s="655">
        <f>Effort!I138+Aide!I138/Taux!C138+Effort!K138/Taux!C138</f>
        <v>31.365983508846455</v>
      </c>
      <c r="H138" s="80">
        <f t="shared" si="9"/>
        <v>57.332753742750441</v>
      </c>
      <c r="I138" s="149">
        <f t="shared" si="10"/>
        <v>0</v>
      </c>
      <c r="J138" s="658">
        <f t="shared" si="11"/>
        <v>0</v>
      </c>
      <c r="L138" s="9"/>
      <c r="M138" s="10"/>
      <c r="R138" s="10"/>
    </row>
    <row r="139" spans="1:18" x14ac:dyDescent="0.25">
      <c r="A139" s="37">
        <f>Données!A139</f>
        <v>5637</v>
      </c>
      <c r="B139" s="137" t="str">
        <f>Données!B139</f>
        <v>Lavigny</v>
      </c>
      <c r="C139" s="247">
        <f>VPI!R139</f>
        <v>37437.327945205478</v>
      </c>
      <c r="D139" s="367">
        <f>+Données!AP139</f>
        <v>19.203555787039846</v>
      </c>
      <c r="E139" s="292">
        <f>VPI!Q139</f>
        <v>73</v>
      </c>
      <c r="F139" s="162">
        <f t="shared" si="8"/>
        <v>53.796444212960154</v>
      </c>
      <c r="G139" s="655">
        <f>Effort!I139+Aide!I139/Taux!C139+Effort!K139/Taux!C139</f>
        <v>-29.623452826601739</v>
      </c>
      <c r="H139" s="80">
        <f t="shared" si="9"/>
        <v>24.172991386358415</v>
      </c>
      <c r="I139" s="149">
        <f t="shared" si="10"/>
        <v>0</v>
      </c>
      <c r="J139" s="658">
        <f t="shared" si="11"/>
        <v>0</v>
      </c>
      <c r="L139" s="9"/>
      <c r="M139" s="10"/>
      <c r="R139" s="10"/>
    </row>
    <row r="140" spans="1:18" x14ac:dyDescent="0.25">
      <c r="A140" s="37">
        <f>Données!A140</f>
        <v>5638</v>
      </c>
      <c r="B140" s="137" t="str">
        <f>Données!B140</f>
        <v>Lonay</v>
      </c>
      <c r="C140" s="247">
        <f>VPI!R140</f>
        <v>156370.75327272728</v>
      </c>
      <c r="D140" s="367">
        <f>+Données!AP140</f>
        <v>28.89215735317735</v>
      </c>
      <c r="E140" s="292">
        <f>VPI!Q140</f>
        <v>55</v>
      </c>
      <c r="F140" s="162">
        <f t="shared" si="8"/>
        <v>26.10784264682265</v>
      </c>
      <c r="G140" s="655">
        <f>Effort!I140+Aide!I140/Taux!C140+Effort!K140/Taux!C140</f>
        <v>24.150667570791505</v>
      </c>
      <c r="H140" s="80">
        <f t="shared" si="9"/>
        <v>50.258510217614159</v>
      </c>
      <c r="I140" s="149">
        <f t="shared" si="10"/>
        <v>0</v>
      </c>
      <c r="J140" s="658">
        <f t="shared" si="11"/>
        <v>0</v>
      </c>
      <c r="L140" s="9"/>
      <c r="M140" s="10"/>
      <c r="R140" s="10"/>
    </row>
    <row r="141" spans="1:18" x14ac:dyDescent="0.25">
      <c r="A141" s="37">
        <f>Données!A141</f>
        <v>5639</v>
      </c>
      <c r="B141" s="137" t="str">
        <f>Données!B141</f>
        <v>Lully</v>
      </c>
      <c r="C141" s="247">
        <f>VPI!R141</f>
        <v>55829.926885245906</v>
      </c>
      <c r="D141" s="367">
        <f>+Données!AP141</f>
        <v>31.141854351673729</v>
      </c>
      <c r="E141" s="292">
        <f>VPI!Q141</f>
        <v>61</v>
      </c>
      <c r="F141" s="162">
        <f t="shared" si="8"/>
        <v>29.858145648326271</v>
      </c>
      <c r="G141" s="655">
        <f>Effort!I141+Aide!I141/Taux!C141+Effort!K141/Taux!C141</f>
        <v>32.327528572020249</v>
      </c>
      <c r="H141" s="80">
        <f t="shared" si="9"/>
        <v>62.18567422034652</v>
      </c>
      <c r="I141" s="149">
        <f t="shared" si="10"/>
        <v>0</v>
      </c>
      <c r="J141" s="658">
        <f t="shared" si="11"/>
        <v>0</v>
      </c>
      <c r="L141" s="9"/>
      <c r="M141" s="10"/>
      <c r="R141" s="10"/>
    </row>
    <row r="142" spans="1:18" x14ac:dyDescent="0.25">
      <c r="A142" s="37">
        <f>Données!A142</f>
        <v>5640</v>
      </c>
      <c r="B142" s="137" t="str">
        <f>Données!B142</f>
        <v>Lussy-sur-Morges</v>
      </c>
      <c r="C142" s="247">
        <f>VPI!R142</f>
        <v>63303.13934959349</v>
      </c>
      <c r="D142" s="367">
        <f>+Données!AP142</f>
        <v>34.16377931238695</v>
      </c>
      <c r="E142" s="292">
        <f>VPI!Q142</f>
        <v>61.5</v>
      </c>
      <c r="F142" s="162">
        <f t="shared" si="8"/>
        <v>27.33622068761305</v>
      </c>
      <c r="G142" s="655">
        <f>Effort!I142+Aide!I142/Taux!C142+Effort!K142/Taux!C142</f>
        <v>37.348576322447599</v>
      </c>
      <c r="H142" s="80">
        <f t="shared" si="9"/>
        <v>64.684797010060649</v>
      </c>
      <c r="I142" s="149">
        <f t="shared" si="10"/>
        <v>0</v>
      </c>
      <c r="J142" s="658">
        <f t="shared" si="11"/>
        <v>0</v>
      </c>
      <c r="L142" s="9"/>
      <c r="M142" s="10"/>
      <c r="R142" s="10"/>
    </row>
    <row r="143" spans="1:18" x14ac:dyDescent="0.25">
      <c r="A143" s="37">
        <f>Données!A143</f>
        <v>5642</v>
      </c>
      <c r="B143" s="137" t="str">
        <f>Données!B143</f>
        <v>Morges</v>
      </c>
      <c r="C143" s="247">
        <f>VPI!R143</f>
        <v>1061989.5101492535</v>
      </c>
      <c r="D143" s="367">
        <f>+Données!AP143</f>
        <v>22.503610901033994</v>
      </c>
      <c r="E143" s="292">
        <f>VPI!Q143</f>
        <v>67</v>
      </c>
      <c r="F143" s="162">
        <f t="shared" si="8"/>
        <v>44.496389098966006</v>
      </c>
      <c r="G143" s="655">
        <f>Effort!I143+Aide!I143/Taux!C143+Effort!K143/Taux!C143</f>
        <v>18.486350677659857</v>
      </c>
      <c r="H143" s="80">
        <f t="shared" si="9"/>
        <v>62.982739776625863</v>
      </c>
      <c r="I143" s="149">
        <f t="shared" si="10"/>
        <v>0</v>
      </c>
      <c r="J143" s="658">
        <f t="shared" si="11"/>
        <v>0</v>
      </c>
      <c r="L143" s="9"/>
      <c r="M143" s="10"/>
      <c r="R143" s="10"/>
    </row>
    <row r="144" spans="1:18" x14ac:dyDescent="0.25">
      <c r="A144" s="37">
        <f>Données!A144</f>
        <v>5643</v>
      </c>
      <c r="B144" s="137" t="str">
        <f>Données!B144</f>
        <v>Préverenges</v>
      </c>
      <c r="C144" s="247">
        <f>VPI!R144</f>
        <v>254683.39384615389</v>
      </c>
      <c r="D144" s="367">
        <f>+Données!AP144</f>
        <v>21.935920807015393</v>
      </c>
      <c r="E144" s="292">
        <f>VPI!Q144</f>
        <v>65</v>
      </c>
      <c r="F144" s="162">
        <f t="shared" si="8"/>
        <v>43.064079192984607</v>
      </c>
      <c r="G144" s="655">
        <f>Effort!I144+Aide!I144/Taux!C144+Effort!K144/Taux!C144</f>
        <v>21.775734065297737</v>
      </c>
      <c r="H144" s="80">
        <f t="shared" si="9"/>
        <v>64.839813258282348</v>
      </c>
      <c r="I144" s="149">
        <f t="shared" si="10"/>
        <v>0</v>
      </c>
      <c r="J144" s="658">
        <f t="shared" si="11"/>
        <v>0</v>
      </c>
      <c r="L144" s="9"/>
      <c r="M144" s="10"/>
      <c r="R144" s="10"/>
    </row>
    <row r="145" spans="1:18" x14ac:dyDescent="0.25">
      <c r="A145" s="37">
        <f>Données!A145</f>
        <v>5645</v>
      </c>
      <c r="B145" s="137" t="str">
        <f>Données!B145</f>
        <v>Romanel-sur-Morges</v>
      </c>
      <c r="C145" s="247">
        <f>VPI!R145</f>
        <v>28308.714642857147</v>
      </c>
      <c r="D145" s="367">
        <f>+Données!AP145</f>
        <v>30.307581065727511</v>
      </c>
      <c r="E145" s="292">
        <f>VPI!Q145</f>
        <v>56</v>
      </c>
      <c r="F145" s="162">
        <f t="shared" si="8"/>
        <v>25.692418934272489</v>
      </c>
      <c r="G145" s="655">
        <f>Effort!I145+Aide!I145/Taux!C145+Effort!K145/Taux!C145</f>
        <v>30.97081073943621</v>
      </c>
      <c r="H145" s="80">
        <f t="shared" si="9"/>
        <v>56.663229673708699</v>
      </c>
      <c r="I145" s="149">
        <f t="shared" si="10"/>
        <v>0</v>
      </c>
      <c r="J145" s="658">
        <f t="shared" si="11"/>
        <v>0</v>
      </c>
      <c r="L145" s="9"/>
      <c r="M145" s="10"/>
      <c r="R145" s="10"/>
    </row>
    <row r="146" spans="1:18" x14ac:dyDescent="0.25">
      <c r="A146" s="37">
        <f>Données!A146</f>
        <v>5646</v>
      </c>
      <c r="B146" s="137" t="str">
        <f>Données!B146</f>
        <v>Saint-Prex</v>
      </c>
      <c r="C146" s="247">
        <f>VPI!R146</f>
        <v>465798.68426553684</v>
      </c>
      <c r="D146" s="367">
        <f>+Données!AP146</f>
        <v>34.209075754740432</v>
      </c>
      <c r="E146" s="292">
        <f>VPI!Q146</f>
        <v>59</v>
      </c>
      <c r="F146" s="162">
        <f t="shared" si="8"/>
        <v>24.790924245259568</v>
      </c>
      <c r="G146" s="655">
        <f>Effort!I146+Aide!I146/Taux!C146+Effort!K146/Taux!C146</f>
        <v>31.452256230733198</v>
      </c>
      <c r="H146" s="80">
        <f t="shared" si="9"/>
        <v>56.243180475992766</v>
      </c>
      <c r="I146" s="149">
        <f t="shared" si="10"/>
        <v>0</v>
      </c>
      <c r="J146" s="658">
        <f t="shared" si="11"/>
        <v>0</v>
      </c>
      <c r="L146" s="9"/>
      <c r="M146" s="10"/>
      <c r="R146" s="10"/>
    </row>
    <row r="147" spans="1:18" x14ac:dyDescent="0.25">
      <c r="A147" s="37">
        <f>Données!A147</f>
        <v>5648</v>
      </c>
      <c r="B147" s="137" t="str">
        <f>Données!B147</f>
        <v>Saint-Sulpice</v>
      </c>
      <c r="C147" s="247">
        <f>VPI!R147</f>
        <v>424880.94159090909</v>
      </c>
      <c r="D147" s="367">
        <f>+Données!AP147</f>
        <v>31.148753456916502</v>
      </c>
      <c r="E147" s="292">
        <f>VPI!Q147</f>
        <v>55</v>
      </c>
      <c r="F147" s="162">
        <f t="shared" si="8"/>
        <v>23.851246543083498</v>
      </c>
      <c r="G147" s="655">
        <f>Effort!I147+Aide!I147/Taux!C147+Effort!K147/Taux!C147</f>
        <v>32.181967915989809</v>
      </c>
      <c r="H147" s="80">
        <f t="shared" si="9"/>
        <v>56.033214459073307</v>
      </c>
      <c r="I147" s="149">
        <f t="shared" si="10"/>
        <v>0</v>
      </c>
      <c r="J147" s="658">
        <f t="shared" si="11"/>
        <v>0</v>
      </c>
      <c r="L147" s="9"/>
      <c r="M147" s="10"/>
      <c r="R147" s="10"/>
    </row>
    <row r="148" spans="1:18" x14ac:dyDescent="0.25">
      <c r="A148" s="37">
        <f>Données!A148</f>
        <v>5649</v>
      </c>
      <c r="B148" s="137" t="str">
        <f>Données!B148</f>
        <v>Tolochenaz</v>
      </c>
      <c r="C148" s="247">
        <f>VPI!R148</f>
        <v>431976.43718750001</v>
      </c>
      <c r="D148" s="367">
        <f>+Données!AP148</f>
        <v>46.61225223421669</v>
      </c>
      <c r="E148" s="292">
        <f>VPI!Q148</f>
        <v>64</v>
      </c>
      <c r="F148" s="162">
        <f t="shared" si="8"/>
        <v>17.38774776578331</v>
      </c>
      <c r="G148" s="655">
        <f>Effort!I148+Aide!I148/Taux!C148+Effort!K148/Taux!C148</f>
        <v>48</v>
      </c>
      <c r="H148" s="80">
        <f t="shared" si="9"/>
        <v>65.387747765783303</v>
      </c>
      <c r="I148" s="149">
        <f t="shared" si="10"/>
        <v>0</v>
      </c>
      <c r="J148" s="658">
        <f t="shared" si="11"/>
        <v>0</v>
      </c>
      <c r="L148" s="9"/>
      <c r="M148" s="10"/>
      <c r="R148" s="10"/>
    </row>
    <row r="149" spans="1:18" x14ac:dyDescent="0.25">
      <c r="A149" s="37">
        <f>Données!A149</f>
        <v>5650</v>
      </c>
      <c r="B149" s="137" t="str">
        <f>Données!B149</f>
        <v>Vaux-sur-Morges</v>
      </c>
      <c r="C149" s="247">
        <f>VPI!R149</f>
        <v>116547.05321428573</v>
      </c>
      <c r="D149" s="367">
        <f>+Données!AP149</f>
        <v>59.092240340432852</v>
      </c>
      <c r="E149" s="292">
        <f>VPI!Q149</f>
        <v>56</v>
      </c>
      <c r="F149" s="162">
        <f t="shared" si="8"/>
        <v>-3.092240340432852</v>
      </c>
      <c r="G149" s="655">
        <f>Effort!I149+Aide!I149/Taux!C149+Effort!K149/Taux!C149</f>
        <v>48</v>
      </c>
      <c r="H149" s="80">
        <f t="shared" si="9"/>
        <v>44.907759659567148</v>
      </c>
      <c r="I149" s="149">
        <f t="shared" si="10"/>
        <v>0</v>
      </c>
      <c r="J149" s="658">
        <f t="shared" si="11"/>
        <v>0</v>
      </c>
      <c r="L149" s="9"/>
      <c r="M149" s="10"/>
      <c r="R149" s="10"/>
    </row>
    <row r="150" spans="1:18" x14ac:dyDescent="0.25">
      <c r="A150" s="37">
        <f>Données!A150</f>
        <v>5651</v>
      </c>
      <c r="B150" s="137" t="str">
        <f>Données!B150</f>
        <v>Villars-Sainte-Croix</v>
      </c>
      <c r="C150" s="247">
        <f>VPI!R150</f>
        <v>62685.817685950416</v>
      </c>
      <c r="D150" s="367">
        <f>+Données!AP150</f>
        <v>31.549441592257047</v>
      </c>
      <c r="E150" s="292">
        <f>VPI!Q150</f>
        <v>60.5</v>
      </c>
      <c r="F150" s="162">
        <f t="shared" si="8"/>
        <v>28.950558407742953</v>
      </c>
      <c r="G150" s="655">
        <f>Effort!I150+Aide!I150/Taux!C150+Effort!K150/Taux!C150</f>
        <v>31.842760507142941</v>
      </c>
      <c r="H150" s="80">
        <f t="shared" si="9"/>
        <v>60.793318914885894</v>
      </c>
      <c r="I150" s="149">
        <f t="shared" si="10"/>
        <v>0</v>
      </c>
      <c r="J150" s="658">
        <f t="shared" si="11"/>
        <v>0</v>
      </c>
      <c r="L150" s="9"/>
      <c r="M150" s="10"/>
      <c r="R150" s="10"/>
    </row>
    <row r="151" spans="1:18" x14ac:dyDescent="0.25">
      <c r="A151" s="37">
        <f>Données!A151</f>
        <v>5652</v>
      </c>
      <c r="B151" s="137" t="str">
        <f>Données!B151</f>
        <v>Villars-sous-Yens</v>
      </c>
      <c r="C151" s="247">
        <f>VPI!R151</f>
        <v>27337.435990990991</v>
      </c>
      <c r="D151" s="367">
        <f>+Données!AP151</f>
        <v>27.297323095545721</v>
      </c>
      <c r="E151" s="292">
        <f>VPI!Q151</f>
        <v>74</v>
      </c>
      <c r="F151" s="162">
        <f t="shared" si="8"/>
        <v>46.702676904454279</v>
      </c>
      <c r="G151" s="655">
        <f>Effort!I151+Aide!I151/Taux!C151+Effort!K151/Taux!C151</f>
        <v>20.570948371202039</v>
      </c>
      <c r="H151" s="80">
        <f t="shared" si="9"/>
        <v>67.273625275656315</v>
      </c>
      <c r="I151" s="149">
        <f t="shared" si="10"/>
        <v>0</v>
      </c>
      <c r="J151" s="658">
        <f t="shared" si="11"/>
        <v>0</v>
      </c>
      <c r="L151" s="9"/>
      <c r="M151" s="10"/>
      <c r="R151" s="10"/>
    </row>
    <row r="152" spans="1:18" x14ac:dyDescent="0.25">
      <c r="A152" s="37">
        <f>Données!A152</f>
        <v>5653</v>
      </c>
      <c r="B152" s="137" t="str">
        <f>Données!B152</f>
        <v>Vufflens-le-Château</v>
      </c>
      <c r="C152" s="247">
        <f>VPI!R152</f>
        <v>76227.69876033059</v>
      </c>
      <c r="D152" s="367">
        <f>+Données!AP152</f>
        <v>34.841900819245524</v>
      </c>
      <c r="E152" s="292">
        <f>VPI!Q152</f>
        <v>60.5</v>
      </c>
      <c r="F152" s="162">
        <f t="shared" si="8"/>
        <v>25.658099180754476</v>
      </c>
      <c r="G152" s="655">
        <f>Effort!I152+Aide!I152/Taux!C152+Effort!K152/Taux!C152</f>
        <v>37.781885650568512</v>
      </c>
      <c r="H152" s="80">
        <f t="shared" si="9"/>
        <v>63.439984831322988</v>
      </c>
      <c r="I152" s="149">
        <f t="shared" si="10"/>
        <v>0</v>
      </c>
      <c r="J152" s="658">
        <f t="shared" si="11"/>
        <v>0</v>
      </c>
      <c r="L152" s="9"/>
      <c r="M152" s="10"/>
      <c r="R152" s="10"/>
    </row>
    <row r="153" spans="1:18" x14ac:dyDescent="0.25">
      <c r="A153" s="37">
        <f>Données!A153</f>
        <v>5654</v>
      </c>
      <c r="B153" s="137" t="str">
        <f>Données!B153</f>
        <v>Vullierens</v>
      </c>
      <c r="C153" s="247">
        <f>VPI!R153</f>
        <v>23074.815394736848</v>
      </c>
      <c r="D153" s="367">
        <f>+Données!AP153</f>
        <v>20.763848977217442</v>
      </c>
      <c r="E153" s="292">
        <f>VPI!Q153</f>
        <v>76</v>
      </c>
      <c r="F153" s="162">
        <f t="shared" si="8"/>
        <v>55.236151022782558</v>
      </c>
      <c r="G153" s="655">
        <f>Effort!I153+Aide!I153/Taux!C153+Effort!K153/Taux!C153</f>
        <v>15.335358713385713</v>
      </c>
      <c r="H153" s="80">
        <f t="shared" si="9"/>
        <v>70.571509736168267</v>
      </c>
      <c r="I153" s="149">
        <f t="shared" si="10"/>
        <v>0</v>
      </c>
      <c r="J153" s="658">
        <f t="shared" si="11"/>
        <v>0</v>
      </c>
      <c r="L153" s="9"/>
      <c r="M153" s="10"/>
      <c r="R153" s="10"/>
    </row>
    <row r="154" spans="1:18" x14ac:dyDescent="0.25">
      <c r="A154" s="37">
        <f>Données!A154</f>
        <v>5655</v>
      </c>
      <c r="B154" s="137" t="str">
        <f>Données!B154</f>
        <v>Yens</v>
      </c>
      <c r="C154" s="247">
        <f>VPI!R154</f>
        <v>99930.986000000004</v>
      </c>
      <c r="D154" s="367">
        <f>+Données!AP154</f>
        <v>28.470011514051194</v>
      </c>
      <c r="E154" s="292">
        <f>VPI!Q154</f>
        <v>70</v>
      </c>
      <c r="F154" s="162">
        <f t="shared" si="8"/>
        <v>41.529988485948806</v>
      </c>
      <c r="G154" s="655">
        <f>Effort!I154+Aide!I154/Taux!C154+Effort!K154/Taux!C154</f>
        <v>31.640012240294226</v>
      </c>
      <c r="H154" s="80">
        <f t="shared" si="9"/>
        <v>73.170000726243032</v>
      </c>
      <c r="I154" s="149">
        <f t="shared" si="10"/>
        <v>0</v>
      </c>
      <c r="J154" s="658">
        <f t="shared" si="11"/>
        <v>0</v>
      </c>
      <c r="L154" s="9"/>
      <c r="M154" s="10"/>
      <c r="R154" s="10"/>
    </row>
    <row r="155" spans="1:18" x14ac:dyDescent="0.25">
      <c r="A155" s="37">
        <f>Données!A155</f>
        <v>5656</v>
      </c>
      <c r="B155" s="137" t="str">
        <f>Données!B155</f>
        <v>Hautemorges</v>
      </c>
      <c r="C155" s="247">
        <f>VPI!R155</f>
        <v>173869.73802816903</v>
      </c>
      <c r="D155" s="367">
        <f>+Données!AP155</f>
        <v>15.808570133988869</v>
      </c>
      <c r="E155" s="292">
        <f>VPI!Q155</f>
        <v>71</v>
      </c>
      <c r="F155" s="162">
        <f t="shared" si="8"/>
        <v>55.191429866011134</v>
      </c>
      <c r="G155" s="655">
        <f>Effort!I155+Aide!I155/Taux!C155+Effort!K155/Taux!C155</f>
        <v>8.9137141038149821</v>
      </c>
      <c r="H155" s="80">
        <f t="shared" si="9"/>
        <v>64.105143969826116</v>
      </c>
      <c r="I155" s="149">
        <f t="shared" si="10"/>
        <v>0</v>
      </c>
      <c r="J155" s="658">
        <f t="shared" si="11"/>
        <v>0</v>
      </c>
      <c r="L155" s="9"/>
      <c r="M155" s="10"/>
      <c r="R155" s="10"/>
    </row>
    <row r="156" spans="1:18" x14ac:dyDescent="0.25">
      <c r="A156" s="37">
        <f>Données!A156</f>
        <v>5661</v>
      </c>
      <c r="B156" s="137" t="str">
        <f>Données!B156</f>
        <v>Boulens</v>
      </c>
      <c r="C156" s="247">
        <f>VPI!R156</f>
        <v>10070.839300699299</v>
      </c>
      <c r="D156" s="367">
        <f>+Données!AP156</f>
        <v>8.1283356219956389</v>
      </c>
      <c r="E156" s="292">
        <f>VPI!Q156</f>
        <v>71.5</v>
      </c>
      <c r="F156" s="162">
        <f t="shared" si="8"/>
        <v>63.371664378004361</v>
      </c>
      <c r="G156" s="655">
        <f>Effort!I156+Aide!I156/Taux!C156+Effort!K156/Taux!C156</f>
        <v>7.8404271652726294</v>
      </c>
      <c r="H156" s="80">
        <f t="shared" si="9"/>
        <v>71.212091543276983</v>
      </c>
      <c r="I156" s="149">
        <f t="shared" si="10"/>
        <v>0</v>
      </c>
      <c r="J156" s="658">
        <f t="shared" si="11"/>
        <v>0</v>
      </c>
      <c r="L156" s="9"/>
      <c r="M156" s="10"/>
      <c r="R156" s="10"/>
    </row>
    <row r="157" spans="1:18" x14ac:dyDescent="0.25">
      <c r="A157" s="37">
        <f>Données!A157</f>
        <v>5663</v>
      </c>
      <c r="B157" s="137" t="str">
        <f>Données!B157</f>
        <v>Bussy-sur-Moudon</v>
      </c>
      <c r="C157" s="247">
        <f>VPI!R157</f>
        <v>5846.5050955414026</v>
      </c>
      <c r="D157" s="367">
        <f>+Données!AP157</f>
        <v>7.8168776986001696</v>
      </c>
      <c r="E157" s="292">
        <f>VPI!Q157</f>
        <v>78.5</v>
      </c>
      <c r="F157" s="162">
        <f t="shared" si="8"/>
        <v>70.683122301399834</v>
      </c>
      <c r="G157" s="655">
        <f>Effort!I157+Aide!I157/Taux!C157+Effort!K157/Taux!C157</f>
        <v>-7.2206268991892877</v>
      </c>
      <c r="H157" s="80">
        <f t="shared" si="9"/>
        <v>63.46249540221055</v>
      </c>
      <c r="I157" s="149">
        <f t="shared" si="10"/>
        <v>0</v>
      </c>
      <c r="J157" s="658">
        <f t="shared" si="11"/>
        <v>0</v>
      </c>
      <c r="L157" s="9"/>
      <c r="M157" s="10"/>
      <c r="R157" s="10"/>
    </row>
    <row r="158" spans="1:18" x14ac:dyDescent="0.25">
      <c r="A158" s="37">
        <f>Données!A158</f>
        <v>5665</v>
      </c>
      <c r="B158" s="137" t="str">
        <f>Données!B158</f>
        <v>Chavannes-sur-Moudon</v>
      </c>
      <c r="C158" s="247">
        <f>VPI!R158</f>
        <v>6553.0082857142861</v>
      </c>
      <c r="D158" s="367">
        <f>+Données!AP158</f>
        <v>6.0621051606976728</v>
      </c>
      <c r="E158" s="292">
        <f>VPI!Q158</f>
        <v>70</v>
      </c>
      <c r="F158" s="162">
        <f t="shared" si="8"/>
        <v>63.937894839302331</v>
      </c>
      <c r="G158" s="655">
        <f>Effort!I158+Aide!I158/Taux!C158+Effort!K158/Taux!C158</f>
        <v>9.0543300237981583</v>
      </c>
      <c r="H158" s="80">
        <f t="shared" si="9"/>
        <v>72.992224863100489</v>
      </c>
      <c r="I158" s="149">
        <f t="shared" si="10"/>
        <v>0</v>
      </c>
      <c r="J158" s="658">
        <f t="shared" si="11"/>
        <v>0</v>
      </c>
      <c r="L158" s="9"/>
      <c r="M158" s="10"/>
      <c r="R158" s="10"/>
    </row>
    <row r="159" spans="1:18" x14ac:dyDescent="0.25">
      <c r="A159" s="37">
        <f>Données!A159</f>
        <v>5669</v>
      </c>
      <c r="B159" s="137" t="str">
        <f>Données!B159</f>
        <v>Curtilles</v>
      </c>
      <c r="C159" s="247">
        <f>VPI!R159</f>
        <v>9589.3382191780838</v>
      </c>
      <c r="D159" s="367">
        <f>+Données!AP159</f>
        <v>13.289165686654417</v>
      </c>
      <c r="E159" s="292">
        <f>VPI!Q159</f>
        <v>73</v>
      </c>
      <c r="F159" s="162">
        <f t="shared" si="8"/>
        <v>59.710834313345586</v>
      </c>
      <c r="G159" s="655">
        <f>Effort!I159+Aide!I159/Taux!C159+Effort!K159/Taux!C159</f>
        <v>12.165230968108151</v>
      </c>
      <c r="H159" s="80">
        <f t="shared" si="9"/>
        <v>71.876065281453734</v>
      </c>
      <c r="I159" s="149">
        <f t="shared" si="10"/>
        <v>0</v>
      </c>
      <c r="J159" s="658">
        <f t="shared" si="11"/>
        <v>0</v>
      </c>
      <c r="L159" s="9"/>
      <c r="M159" s="10"/>
      <c r="R159" s="10"/>
    </row>
    <row r="160" spans="1:18" x14ac:dyDescent="0.25">
      <c r="A160" s="37">
        <f>Données!A160</f>
        <v>5671</v>
      </c>
      <c r="B160" s="137" t="str">
        <f>Données!B160</f>
        <v>Dompierre</v>
      </c>
      <c r="C160" s="247">
        <f>VPI!R160</f>
        <v>6077.1303846153842</v>
      </c>
      <c r="D160" s="367">
        <f>+Données!AP160</f>
        <v>13.288358078975982</v>
      </c>
      <c r="E160" s="292">
        <f>VPI!Q160</f>
        <v>78</v>
      </c>
      <c r="F160" s="162">
        <f t="shared" si="8"/>
        <v>64.711641921024011</v>
      </c>
      <c r="G160" s="655">
        <f>Effort!I160+Aide!I160/Taux!C160+Effort!K160/Taux!C160</f>
        <v>-1.6012903138260199</v>
      </c>
      <c r="H160" s="80">
        <f t="shared" si="9"/>
        <v>63.110351607197991</v>
      </c>
      <c r="I160" s="149">
        <f t="shared" si="10"/>
        <v>0</v>
      </c>
      <c r="J160" s="658">
        <f t="shared" si="11"/>
        <v>0</v>
      </c>
      <c r="L160" s="9"/>
      <c r="M160" s="10"/>
      <c r="R160" s="10"/>
    </row>
    <row r="161" spans="1:18" x14ac:dyDescent="0.25">
      <c r="A161" s="37">
        <f>Données!A161</f>
        <v>5673</v>
      </c>
      <c r="B161" s="137" t="str">
        <f>Données!B161</f>
        <v>Hermenches</v>
      </c>
      <c r="C161" s="247">
        <f>VPI!R161</f>
        <v>10021.842448979593</v>
      </c>
      <c r="D161" s="367">
        <f>+Données!AP161</f>
        <v>11.458701268743154</v>
      </c>
      <c r="E161" s="292">
        <f>VPI!Q161</f>
        <v>73.5</v>
      </c>
      <c r="F161" s="162">
        <f t="shared" si="8"/>
        <v>62.041298731256845</v>
      </c>
      <c r="G161" s="655">
        <f>Effort!I161+Aide!I161/Taux!C161+Effort!K161/Taux!C161</f>
        <v>-55.698507709270757</v>
      </c>
      <c r="H161" s="80">
        <f t="shared" si="9"/>
        <v>6.3427910219860877</v>
      </c>
      <c r="I161" s="149">
        <f t="shared" si="10"/>
        <v>0</v>
      </c>
      <c r="J161" s="658">
        <f t="shared" si="11"/>
        <v>0</v>
      </c>
      <c r="L161" s="9"/>
      <c r="M161" s="10"/>
      <c r="R161" s="10"/>
    </row>
    <row r="162" spans="1:18" x14ac:dyDescent="0.25">
      <c r="A162" s="37">
        <f>Données!A162</f>
        <v>5674</v>
      </c>
      <c r="B162" s="137" t="str">
        <f>Données!B162</f>
        <v>Lovatens</v>
      </c>
      <c r="C162" s="247">
        <f>VPI!R162</f>
        <v>4190.698742857142</v>
      </c>
      <c r="D162" s="367">
        <f>+Données!AP162</f>
        <v>10.256044136518003</v>
      </c>
      <c r="E162" s="292">
        <f>VPI!Q162</f>
        <v>75</v>
      </c>
      <c r="F162" s="162">
        <f t="shared" si="8"/>
        <v>64.743955863482</v>
      </c>
      <c r="G162" s="655">
        <f>Effort!I162+Aide!I162/Taux!C162+Effort!K162/Taux!C162</f>
        <v>6.2128068063822024</v>
      </c>
      <c r="H162" s="80">
        <f t="shared" si="9"/>
        <v>70.956762669864204</v>
      </c>
      <c r="I162" s="149">
        <f t="shared" si="10"/>
        <v>0</v>
      </c>
      <c r="J162" s="658">
        <f t="shared" si="11"/>
        <v>0</v>
      </c>
      <c r="L162" s="9"/>
      <c r="M162" s="10"/>
      <c r="R162" s="10"/>
    </row>
    <row r="163" spans="1:18" x14ac:dyDescent="0.25">
      <c r="A163" s="37">
        <f>Données!A163</f>
        <v>5675</v>
      </c>
      <c r="B163" s="137" t="str">
        <f>Données!B163</f>
        <v>Lucens</v>
      </c>
      <c r="C163" s="247">
        <f>VPI!R163</f>
        <v>96219.295291039889</v>
      </c>
      <c r="D163" s="367">
        <f>+Données!AP163</f>
        <v>-12.157880386329715</v>
      </c>
      <c r="E163" s="292">
        <f>VPI!Q163</f>
        <v>69.5</v>
      </c>
      <c r="F163" s="162">
        <f t="shared" si="8"/>
        <v>81.657880386329708</v>
      </c>
      <c r="G163" s="655">
        <f>Effort!I163+Aide!I163/Taux!C163+Effort!K163/Taux!C163</f>
        <v>-22.120451419658504</v>
      </c>
      <c r="H163" s="80">
        <f t="shared" si="9"/>
        <v>59.5374289666712</v>
      </c>
      <c r="I163" s="149">
        <f t="shared" si="10"/>
        <v>0</v>
      </c>
      <c r="J163" s="658">
        <f t="shared" si="11"/>
        <v>0</v>
      </c>
      <c r="L163" s="9"/>
      <c r="M163" s="10"/>
      <c r="R163" s="10"/>
    </row>
    <row r="164" spans="1:18" x14ac:dyDescent="0.25">
      <c r="A164" s="37">
        <f>Données!A164</f>
        <v>5678</v>
      </c>
      <c r="B164" s="137" t="str">
        <f>Données!B164</f>
        <v>Moudon</v>
      </c>
      <c r="C164" s="247">
        <f>VPI!R164</f>
        <v>144507.28937931036</v>
      </c>
      <c r="D164" s="367">
        <f>+Données!AP164</f>
        <v>-18.495036556990321</v>
      </c>
      <c r="E164" s="292">
        <f>VPI!Q164</f>
        <v>72.5</v>
      </c>
      <c r="F164" s="162">
        <f t="shared" si="8"/>
        <v>90.995036556990328</v>
      </c>
      <c r="G164" s="655">
        <f>Effort!I164+Aide!I164/Taux!C164+Effort!K164/Taux!C164</f>
        <v>-23.742150017828955</v>
      </c>
      <c r="H164" s="80">
        <f t="shared" si="9"/>
        <v>67.252886539161381</v>
      </c>
      <c r="I164" s="149">
        <f t="shared" si="10"/>
        <v>0</v>
      </c>
      <c r="J164" s="658">
        <f t="shared" si="11"/>
        <v>0</v>
      </c>
      <c r="L164" s="9"/>
      <c r="M164" s="10"/>
      <c r="R164" s="10"/>
    </row>
    <row r="165" spans="1:18" x14ac:dyDescent="0.25">
      <c r="A165" s="37">
        <f>Données!A165</f>
        <v>5680</v>
      </c>
      <c r="B165" s="137" t="str">
        <f>Données!B165</f>
        <v>Ogens</v>
      </c>
      <c r="C165" s="247">
        <f>VPI!R165</f>
        <v>9088.9604700854707</v>
      </c>
      <c r="D165" s="367">
        <f>+Données!AP165</f>
        <v>-0.88037421231224489</v>
      </c>
      <c r="E165" s="292">
        <f>VPI!Q165</f>
        <v>78</v>
      </c>
      <c r="F165" s="162">
        <f t="shared" si="8"/>
        <v>78.880374212312248</v>
      </c>
      <c r="G165" s="655">
        <f>Effort!I165+Aide!I165/Taux!C165+Effort!K165/Taux!C165</f>
        <v>0.2612329305117953</v>
      </c>
      <c r="H165" s="80">
        <f t="shared" si="9"/>
        <v>79.141607142824043</v>
      </c>
      <c r="I165" s="149">
        <f t="shared" si="10"/>
        <v>0</v>
      </c>
      <c r="J165" s="658">
        <f t="shared" si="11"/>
        <v>0</v>
      </c>
      <c r="L165" s="9"/>
      <c r="M165" s="10"/>
      <c r="R165" s="10"/>
    </row>
    <row r="166" spans="1:18" x14ac:dyDescent="0.25">
      <c r="A166" s="37">
        <f>Données!A166</f>
        <v>5683</v>
      </c>
      <c r="B166" s="137" t="str">
        <f>Données!B166</f>
        <v>Prévonloup</v>
      </c>
      <c r="C166" s="247">
        <f>VPI!R166</f>
        <v>3390.948689655173</v>
      </c>
      <c r="D166" s="367">
        <f>+Données!AP166</f>
        <v>11.034601948835615</v>
      </c>
      <c r="E166" s="292">
        <f>VPI!Q166</f>
        <v>72.5</v>
      </c>
      <c r="F166" s="162">
        <f t="shared" si="8"/>
        <v>61.465398051164385</v>
      </c>
      <c r="G166" s="655">
        <f>Effort!I166+Aide!I166/Taux!C166+Effort!K166/Taux!C166</f>
        <v>-34.61813210491907</v>
      </c>
      <c r="H166" s="80">
        <f t="shared" si="9"/>
        <v>26.847265946245315</v>
      </c>
      <c r="I166" s="149">
        <f t="shared" si="10"/>
        <v>0</v>
      </c>
      <c r="J166" s="658">
        <f t="shared" si="11"/>
        <v>0</v>
      </c>
      <c r="L166" s="9"/>
      <c r="M166" s="10"/>
      <c r="R166" s="10"/>
    </row>
    <row r="167" spans="1:18" x14ac:dyDescent="0.25">
      <c r="A167" s="37">
        <f>Données!A167</f>
        <v>5684</v>
      </c>
      <c r="B167" s="137" t="str">
        <f>Données!B167</f>
        <v>Rossenges</v>
      </c>
      <c r="C167" s="247">
        <f>VPI!R167</f>
        <v>10097.406384615384</v>
      </c>
      <c r="D167" s="367">
        <f>+Données!AP167</f>
        <v>30.345066956028045</v>
      </c>
      <c r="E167" s="292">
        <f>VPI!Q167</f>
        <v>65</v>
      </c>
      <c r="F167" s="162">
        <f t="shared" si="8"/>
        <v>34.654933043971951</v>
      </c>
      <c r="G167" s="655">
        <f>Effort!I167+Aide!I167/Taux!C167+Effort!K167/Taux!C167</f>
        <v>42.582390861133447</v>
      </c>
      <c r="H167" s="80">
        <f t="shared" si="9"/>
        <v>77.237323905105399</v>
      </c>
      <c r="I167" s="149">
        <f t="shared" si="10"/>
        <v>0</v>
      </c>
      <c r="J167" s="658">
        <f t="shared" si="11"/>
        <v>0</v>
      </c>
      <c r="L167" s="9"/>
      <c r="M167" s="10"/>
      <c r="R167" s="10"/>
    </row>
    <row r="168" spans="1:18" x14ac:dyDescent="0.25">
      <c r="A168" s="37">
        <f>Données!A168</f>
        <v>5688</v>
      </c>
      <c r="B168" s="137" t="str">
        <f>Données!B168</f>
        <v>Syens</v>
      </c>
      <c r="C168" s="247">
        <f>VPI!R168</f>
        <v>5159.2410769230773</v>
      </c>
      <c r="D168" s="367">
        <f>+Données!AP168</f>
        <v>16.965925913454971</v>
      </c>
      <c r="E168" s="292">
        <f>VPI!Q168</f>
        <v>65</v>
      </c>
      <c r="F168" s="162">
        <f t="shared" si="8"/>
        <v>48.034074086545033</v>
      </c>
      <c r="G168" s="655">
        <f>Effort!I168+Aide!I168/Taux!C168+Effort!K168/Taux!C168</f>
        <v>14.896868993086404</v>
      </c>
      <c r="H168" s="80">
        <f t="shared" si="9"/>
        <v>62.930943079631433</v>
      </c>
      <c r="I168" s="149">
        <f t="shared" si="10"/>
        <v>0</v>
      </c>
      <c r="J168" s="658">
        <f t="shared" si="11"/>
        <v>0</v>
      </c>
      <c r="L168" s="9"/>
      <c r="M168" s="10"/>
      <c r="R168" s="10"/>
    </row>
    <row r="169" spans="1:18" x14ac:dyDescent="0.25">
      <c r="A169" s="37">
        <f>Données!A169</f>
        <v>5690</v>
      </c>
      <c r="B169" s="137" t="str">
        <f>Données!B169</f>
        <v>Villars-le-Comte</v>
      </c>
      <c r="C169" s="247">
        <f>VPI!R169</f>
        <v>4239.3419117647063</v>
      </c>
      <c r="D169" s="367">
        <f>+Données!AP169</f>
        <v>17.067869537970537</v>
      </c>
      <c r="E169" s="292">
        <f>VPI!Q169</f>
        <v>68</v>
      </c>
      <c r="F169" s="162">
        <f t="shared" si="8"/>
        <v>50.932130462029463</v>
      </c>
      <c r="G169" s="655">
        <f>Effort!I169+Aide!I169/Taux!C169+Effort!K169/Taux!C169</f>
        <v>16.249042037523541</v>
      </c>
      <c r="H169" s="80">
        <f t="shared" si="9"/>
        <v>67.181172499553</v>
      </c>
      <c r="I169" s="149">
        <f t="shared" si="10"/>
        <v>0</v>
      </c>
      <c r="J169" s="658">
        <f t="shared" si="11"/>
        <v>0</v>
      </c>
      <c r="L169" s="9"/>
      <c r="M169" s="10"/>
      <c r="R169" s="10"/>
    </row>
    <row r="170" spans="1:18" x14ac:dyDescent="0.25">
      <c r="A170" s="37">
        <f>Données!A170</f>
        <v>5692</v>
      </c>
      <c r="B170" s="137" t="str">
        <f>Données!B170</f>
        <v>Vucherens</v>
      </c>
      <c r="C170" s="247">
        <f>VPI!R170</f>
        <v>19521.023866666663</v>
      </c>
      <c r="D170" s="367">
        <f>+Données!AP170</f>
        <v>9.5268676201388001</v>
      </c>
      <c r="E170" s="292">
        <f>VPI!Q170</f>
        <v>75</v>
      </c>
      <c r="F170" s="162">
        <f t="shared" si="8"/>
        <v>65.473132379861198</v>
      </c>
      <c r="G170" s="655">
        <f>Effort!I170+Aide!I170/Taux!C170+Effort!K170/Taux!C170</f>
        <v>9.2990635550805738</v>
      </c>
      <c r="H170" s="80">
        <f t="shared" si="9"/>
        <v>74.772195934941777</v>
      </c>
      <c r="I170" s="149">
        <f t="shared" si="10"/>
        <v>0</v>
      </c>
      <c r="J170" s="658">
        <f t="shared" si="11"/>
        <v>0</v>
      </c>
      <c r="L170" s="9"/>
      <c r="M170" s="10"/>
      <c r="R170" s="10"/>
    </row>
    <row r="171" spans="1:18" x14ac:dyDescent="0.25">
      <c r="A171" s="37">
        <f>Données!A171</f>
        <v>5693</v>
      </c>
      <c r="B171" s="137" t="str">
        <f>Données!B171</f>
        <v>Montanaire</v>
      </c>
      <c r="C171" s="247">
        <f>VPI!R171</f>
        <v>77215.400857142857</v>
      </c>
      <c r="D171" s="367">
        <f>+Données!AP171</f>
        <v>2.7639470576309462</v>
      </c>
      <c r="E171" s="292">
        <f>VPI!Q171</f>
        <v>70</v>
      </c>
      <c r="F171" s="162">
        <f t="shared" si="8"/>
        <v>67.236052942369056</v>
      </c>
      <c r="G171" s="655">
        <f>Effort!I171+Aide!I171/Taux!C171+Effort!K171/Taux!C171</f>
        <v>-4.2436737187355433</v>
      </c>
      <c r="H171" s="80">
        <f t="shared" si="9"/>
        <v>62.992379223633513</v>
      </c>
      <c r="I171" s="149">
        <f t="shared" si="10"/>
        <v>0</v>
      </c>
      <c r="J171" s="658">
        <f t="shared" si="11"/>
        <v>0</v>
      </c>
      <c r="L171" s="9"/>
      <c r="M171" s="10"/>
      <c r="R171" s="10"/>
    </row>
    <row r="172" spans="1:18" x14ac:dyDescent="0.25">
      <c r="A172" s="37">
        <f>Données!A172</f>
        <v>5701</v>
      </c>
      <c r="B172" s="137" t="str">
        <f>Données!B172</f>
        <v>Arnex-sur-Nyon</v>
      </c>
      <c r="C172" s="247">
        <f>VPI!R172</f>
        <v>22528.026764705879</v>
      </c>
      <c r="D172" s="367">
        <f>+Données!AP172</f>
        <v>30.990462730189996</v>
      </c>
      <c r="E172" s="292">
        <f>VPI!Q172</f>
        <v>68</v>
      </c>
      <c r="F172" s="162">
        <f t="shared" si="8"/>
        <v>37.009537269810004</v>
      </c>
      <c r="G172" s="655">
        <f>Effort!I172+Aide!I172/Taux!C172+Effort!K172/Taux!C172</f>
        <v>37.360551431988306</v>
      </c>
      <c r="H172" s="80">
        <f t="shared" si="9"/>
        <v>74.370088701798309</v>
      </c>
      <c r="I172" s="149">
        <f t="shared" si="10"/>
        <v>0</v>
      </c>
      <c r="J172" s="658">
        <f t="shared" si="11"/>
        <v>0</v>
      </c>
      <c r="L172" s="9"/>
      <c r="M172" s="10"/>
      <c r="R172" s="10"/>
    </row>
    <row r="173" spans="1:18" x14ac:dyDescent="0.25">
      <c r="A173" s="37">
        <f>Données!A173</f>
        <v>5702</v>
      </c>
      <c r="B173" s="137" t="str">
        <f>Données!B173</f>
        <v>Arzier-Le Muids</v>
      </c>
      <c r="C173" s="247">
        <f>VPI!R173</f>
        <v>189129.79401041669</v>
      </c>
      <c r="D173" s="367">
        <f>+Données!AP173</f>
        <v>29.486590310692556</v>
      </c>
      <c r="E173" s="292">
        <f>VPI!Q173</f>
        <v>64</v>
      </c>
      <c r="F173" s="162">
        <f t="shared" si="8"/>
        <v>34.513409689307444</v>
      </c>
      <c r="G173" s="655">
        <f>Effort!I173+Aide!I173/Taux!C173+Effort!K173/Taux!C173</f>
        <v>27.268200628574416</v>
      </c>
      <c r="H173" s="80">
        <f t="shared" si="9"/>
        <v>61.781610317881857</v>
      </c>
      <c r="I173" s="149">
        <f t="shared" si="10"/>
        <v>0</v>
      </c>
      <c r="J173" s="658">
        <f t="shared" si="11"/>
        <v>0</v>
      </c>
      <c r="L173" s="9"/>
      <c r="M173" s="10"/>
      <c r="R173" s="10"/>
    </row>
    <row r="174" spans="1:18" x14ac:dyDescent="0.25">
      <c r="A174" s="37">
        <f>Données!A174</f>
        <v>5703</v>
      </c>
      <c r="B174" s="137" t="str">
        <f>Données!B174</f>
        <v>Bassins</v>
      </c>
      <c r="C174" s="247">
        <f>VPI!R174</f>
        <v>69884.65087684727</v>
      </c>
      <c r="D174" s="367">
        <f>+Données!AP174</f>
        <v>23.810855323623674</v>
      </c>
      <c r="E174" s="292">
        <f>VPI!Q174</f>
        <v>72.5</v>
      </c>
      <c r="F174" s="162">
        <f t="shared" si="8"/>
        <v>48.68914467637633</v>
      </c>
      <c r="G174" s="655">
        <f>Effort!I174+Aide!I174/Taux!C174+Effort!K174/Taux!C174</f>
        <v>24.900320904532983</v>
      </c>
      <c r="H174" s="80">
        <f t="shared" si="9"/>
        <v>73.589465580909319</v>
      </c>
      <c r="I174" s="149">
        <f t="shared" si="10"/>
        <v>0</v>
      </c>
      <c r="J174" s="658">
        <f t="shared" si="11"/>
        <v>0</v>
      </c>
      <c r="L174" s="9"/>
      <c r="M174" s="10"/>
      <c r="R174" s="10"/>
    </row>
    <row r="175" spans="1:18" x14ac:dyDescent="0.25">
      <c r="A175" s="37">
        <f>Données!A175</f>
        <v>5704</v>
      </c>
      <c r="B175" s="137" t="str">
        <f>Données!B175</f>
        <v>Begnins</v>
      </c>
      <c r="C175" s="247">
        <f>VPI!R175</f>
        <v>151723.65322666671</v>
      </c>
      <c r="D175" s="367">
        <f>+Données!AP175</f>
        <v>31.795956332329666</v>
      </c>
      <c r="E175" s="292">
        <f>VPI!Q175</f>
        <v>62.5</v>
      </c>
      <c r="F175" s="162">
        <f t="shared" si="8"/>
        <v>30.704043667670334</v>
      </c>
      <c r="G175" s="655">
        <f>Effort!I175+Aide!I175/Taux!C175+Effort!K175/Taux!C175</f>
        <v>32.539706149821974</v>
      </c>
      <c r="H175" s="80">
        <f t="shared" si="9"/>
        <v>63.243749817492308</v>
      </c>
      <c r="I175" s="149">
        <f t="shared" si="10"/>
        <v>0</v>
      </c>
      <c r="J175" s="658">
        <f t="shared" si="11"/>
        <v>0</v>
      </c>
      <c r="L175" s="9"/>
      <c r="M175" s="10"/>
      <c r="R175" s="10"/>
    </row>
    <row r="176" spans="1:18" x14ac:dyDescent="0.25">
      <c r="A176" s="37">
        <f>Données!A176</f>
        <v>5705</v>
      </c>
      <c r="B176" s="137" t="str">
        <f>Données!B176</f>
        <v>Bogis-Bossey</v>
      </c>
      <c r="C176" s="247">
        <f>VPI!R176</f>
        <v>60210.898873239443</v>
      </c>
      <c r="D176" s="367">
        <f>+Données!AP176</f>
        <v>30.31928041195092</v>
      </c>
      <c r="E176" s="292">
        <f>VPI!Q176</f>
        <v>71</v>
      </c>
      <c r="F176" s="162">
        <f t="shared" si="8"/>
        <v>40.68071958804908</v>
      </c>
      <c r="G176" s="655">
        <f>Effort!I176+Aide!I176/Taux!C176+Effort!K176/Taux!C176</f>
        <v>31.111212244731824</v>
      </c>
      <c r="H176" s="80">
        <f t="shared" si="9"/>
        <v>71.791931832780904</v>
      </c>
      <c r="I176" s="149">
        <f t="shared" si="10"/>
        <v>0</v>
      </c>
      <c r="J176" s="658">
        <f t="shared" si="11"/>
        <v>0</v>
      </c>
      <c r="L176" s="9"/>
      <c r="M176" s="10"/>
      <c r="R176" s="10"/>
    </row>
    <row r="177" spans="1:18" x14ac:dyDescent="0.25">
      <c r="A177" s="37">
        <f>Données!A177</f>
        <v>5706</v>
      </c>
      <c r="B177" s="137" t="str">
        <f>Données!B177</f>
        <v>Borex</v>
      </c>
      <c r="C177" s="247">
        <f>VPI!R177</f>
        <v>69165.019824561401</v>
      </c>
      <c r="D177" s="367">
        <f>+Données!AP177</f>
        <v>31.031672800138367</v>
      </c>
      <c r="E177" s="292">
        <f>VPI!Q177</f>
        <v>57</v>
      </c>
      <c r="F177" s="162">
        <f t="shared" si="8"/>
        <v>25.968327199861633</v>
      </c>
      <c r="G177" s="655">
        <f>Effort!I177+Aide!I177/Taux!C177+Effort!K177/Taux!C177</f>
        <v>29.991299970830966</v>
      </c>
      <c r="H177" s="80">
        <f t="shared" si="9"/>
        <v>55.959627170692599</v>
      </c>
      <c r="I177" s="149">
        <f t="shared" si="10"/>
        <v>0</v>
      </c>
      <c r="J177" s="658">
        <f t="shared" si="11"/>
        <v>0</v>
      </c>
      <c r="L177" s="9"/>
      <c r="M177" s="10"/>
      <c r="R177" s="10"/>
    </row>
    <row r="178" spans="1:18" x14ac:dyDescent="0.25">
      <c r="A178" s="37">
        <f>Données!A178</f>
        <v>5707</v>
      </c>
      <c r="B178" s="137" t="str">
        <f>Données!B178</f>
        <v>Chavannes-de-Bogis</v>
      </c>
      <c r="C178" s="247">
        <f>VPI!R178</f>
        <v>100327.22695402298</v>
      </c>
      <c r="D178" s="367">
        <f>+Données!AP178</f>
        <v>31.340552975335836</v>
      </c>
      <c r="E178" s="292">
        <f>VPI!Q178</f>
        <v>58</v>
      </c>
      <c r="F178" s="162">
        <f t="shared" si="8"/>
        <v>26.659447024664164</v>
      </c>
      <c r="G178" s="655">
        <f>Effort!I178+Aide!I178/Taux!C178+Effort!K178/Taux!C178</f>
        <v>32.468181824439213</v>
      </c>
      <c r="H178" s="80">
        <f t="shared" si="9"/>
        <v>59.127628849103374</v>
      </c>
      <c r="I178" s="149">
        <f t="shared" si="10"/>
        <v>0</v>
      </c>
      <c r="J178" s="658">
        <f t="shared" si="11"/>
        <v>0</v>
      </c>
      <c r="L178" s="9"/>
      <c r="M178" s="10"/>
      <c r="R178" s="10"/>
    </row>
    <row r="179" spans="1:18" x14ac:dyDescent="0.25">
      <c r="A179" s="37">
        <f>Données!A179</f>
        <v>5708</v>
      </c>
      <c r="B179" s="137" t="str">
        <f>Données!B179</f>
        <v>Chavannes-des-Bois</v>
      </c>
      <c r="C179" s="247">
        <f>VPI!R179</f>
        <v>70377.065294117638</v>
      </c>
      <c r="D179" s="367">
        <f>+Données!AP179</f>
        <v>35.841182951961443</v>
      </c>
      <c r="E179" s="292">
        <f>VPI!Q179</f>
        <v>68</v>
      </c>
      <c r="F179" s="162">
        <f t="shared" si="8"/>
        <v>32.158817048038557</v>
      </c>
      <c r="G179" s="655">
        <f>Effort!I179+Aide!I179/Taux!C179+Effort!K179/Taux!C179</f>
        <v>34.03664842183025</v>
      </c>
      <c r="H179" s="80">
        <f t="shared" si="9"/>
        <v>66.195465469868807</v>
      </c>
      <c r="I179" s="149">
        <f t="shared" si="10"/>
        <v>0</v>
      </c>
      <c r="J179" s="658">
        <f t="shared" si="11"/>
        <v>0</v>
      </c>
      <c r="L179" s="9"/>
      <c r="M179" s="10"/>
      <c r="R179" s="10"/>
    </row>
    <row r="180" spans="1:18" x14ac:dyDescent="0.25">
      <c r="A180" s="37">
        <f>Données!A180</f>
        <v>5709</v>
      </c>
      <c r="B180" s="137" t="str">
        <f>Données!B180</f>
        <v>Chéserex</v>
      </c>
      <c r="C180" s="247">
        <f>VPI!R180</f>
        <v>110900.39440677965</v>
      </c>
      <c r="D180" s="367">
        <f>+Données!AP180</f>
        <v>36.159504781201036</v>
      </c>
      <c r="E180" s="292">
        <f>VPI!Q180</f>
        <v>59</v>
      </c>
      <c r="F180" s="162">
        <f t="shared" si="8"/>
        <v>22.840495218798964</v>
      </c>
      <c r="G180" s="655">
        <f>Effort!I180+Aide!I180/Taux!C180+Effort!K180/Taux!C180</f>
        <v>36.179709100246505</v>
      </c>
      <c r="H180" s="80">
        <f t="shared" si="9"/>
        <v>59.020204319045469</v>
      </c>
      <c r="I180" s="149">
        <f t="shared" si="10"/>
        <v>0</v>
      </c>
      <c r="J180" s="658">
        <f t="shared" si="11"/>
        <v>0</v>
      </c>
      <c r="L180" s="9"/>
      <c r="M180" s="10"/>
      <c r="R180" s="10"/>
    </row>
    <row r="181" spans="1:18" x14ac:dyDescent="0.25">
      <c r="A181" s="37">
        <f>Données!A181</f>
        <v>5710</v>
      </c>
      <c r="B181" s="137" t="str">
        <f>Données!B181</f>
        <v>Coinsins</v>
      </c>
      <c r="C181" s="247">
        <f>VPI!R181</f>
        <v>25704.31551020408</v>
      </c>
      <c r="D181" s="367">
        <f>+Données!AP181</f>
        <v>30.486623486667384</v>
      </c>
      <c r="E181" s="292">
        <f>VPI!Q181</f>
        <v>49</v>
      </c>
      <c r="F181" s="162">
        <f t="shared" si="8"/>
        <v>18.513376513332616</v>
      </c>
      <c r="G181" s="655">
        <f>Effort!I181+Aide!I181/Taux!C181+Effort!K181/Taux!C181</f>
        <v>27.940935534383968</v>
      </c>
      <c r="H181" s="80">
        <f t="shared" si="9"/>
        <v>46.454312047716584</v>
      </c>
      <c r="I181" s="149">
        <f t="shared" si="10"/>
        <v>0</v>
      </c>
      <c r="J181" s="658">
        <f t="shared" si="11"/>
        <v>0</v>
      </c>
      <c r="L181" s="9"/>
      <c r="M181" s="10"/>
      <c r="R181" s="10"/>
    </row>
    <row r="182" spans="1:18" x14ac:dyDescent="0.25">
      <c r="A182" s="37">
        <f>Données!A182</f>
        <v>5711</v>
      </c>
      <c r="B182" s="137" t="str">
        <f>Données!B182</f>
        <v>Commugny</v>
      </c>
      <c r="C182" s="247">
        <f>VPI!R182</f>
        <v>294735.07522267208</v>
      </c>
      <c r="D182" s="367">
        <f>+Données!AP182</f>
        <v>35.294851334326779</v>
      </c>
      <c r="E182" s="292">
        <f>VPI!Q182</f>
        <v>57</v>
      </c>
      <c r="F182" s="162">
        <f t="shared" si="8"/>
        <v>21.705148665673221</v>
      </c>
      <c r="G182" s="655">
        <f>Effort!I182+Aide!I182/Taux!C182+Effort!K182/Taux!C182</f>
        <v>36.936256535163395</v>
      </c>
      <c r="H182" s="80">
        <f t="shared" si="9"/>
        <v>58.641405200836616</v>
      </c>
      <c r="I182" s="149">
        <f t="shared" si="10"/>
        <v>0</v>
      </c>
      <c r="J182" s="658">
        <f t="shared" si="11"/>
        <v>0</v>
      </c>
      <c r="L182" s="9"/>
      <c r="M182" s="10"/>
      <c r="R182" s="10"/>
    </row>
    <row r="183" spans="1:18" x14ac:dyDescent="0.25">
      <c r="A183" s="37">
        <f>Données!A183</f>
        <v>5712</v>
      </c>
      <c r="B183" s="137" t="str">
        <f>Données!B183</f>
        <v>Coppet</v>
      </c>
      <c r="C183" s="247">
        <f>VPI!R183</f>
        <v>457797.09461988311</v>
      </c>
      <c r="D183" s="367">
        <f>+Données!AP183</f>
        <v>40.562933442307241</v>
      </c>
      <c r="E183" s="292">
        <f>VPI!Q183</f>
        <v>57</v>
      </c>
      <c r="F183" s="162">
        <f t="shared" si="8"/>
        <v>16.437066557692759</v>
      </c>
      <c r="G183" s="655">
        <f>Effort!I183+Aide!I183/Taux!C183+Effort!K183/Taux!C183</f>
        <v>43.590132569988882</v>
      </c>
      <c r="H183" s="80">
        <f t="shared" si="9"/>
        <v>60.027199127681641</v>
      </c>
      <c r="I183" s="149">
        <f t="shared" si="10"/>
        <v>0</v>
      </c>
      <c r="J183" s="658">
        <f t="shared" si="11"/>
        <v>0</v>
      </c>
      <c r="L183" s="9"/>
      <c r="M183" s="10"/>
      <c r="R183" s="10"/>
    </row>
    <row r="184" spans="1:18" x14ac:dyDescent="0.25">
      <c r="A184" s="37">
        <f>Données!A184</f>
        <v>5713</v>
      </c>
      <c r="B184" s="137" t="str">
        <f>Données!B184</f>
        <v>Crans</v>
      </c>
      <c r="C184" s="247">
        <f>VPI!R184</f>
        <v>285226.41440677963</v>
      </c>
      <c r="D184" s="367">
        <f>+Données!AP184</f>
        <v>42.486171816704839</v>
      </c>
      <c r="E184" s="292">
        <f>VPI!Q184</f>
        <v>59</v>
      </c>
      <c r="F184" s="162">
        <f t="shared" si="8"/>
        <v>16.513828183295161</v>
      </c>
      <c r="G184" s="655">
        <f>Effort!I184+Aide!I184/Taux!C184+Effort!K184/Taux!C184</f>
        <v>40.797211724112174</v>
      </c>
      <c r="H184" s="80">
        <f t="shared" si="9"/>
        <v>57.311039907407334</v>
      </c>
      <c r="I184" s="149">
        <f t="shared" si="10"/>
        <v>0</v>
      </c>
      <c r="J184" s="658">
        <f t="shared" si="11"/>
        <v>0</v>
      </c>
      <c r="L184" s="9"/>
      <c r="M184" s="10"/>
      <c r="R184" s="10"/>
    </row>
    <row r="185" spans="1:18" x14ac:dyDescent="0.25">
      <c r="A185" s="37">
        <f>Données!A185</f>
        <v>5714</v>
      </c>
      <c r="B185" s="137" t="str">
        <f>Données!B185</f>
        <v>Crassier</v>
      </c>
      <c r="C185" s="247">
        <f>VPI!R185</f>
        <v>67017.221203007502</v>
      </c>
      <c r="D185" s="367">
        <f>+Données!AP185</f>
        <v>27.907475776369839</v>
      </c>
      <c r="E185" s="292">
        <f>VPI!Q185</f>
        <v>66.5</v>
      </c>
      <c r="F185" s="162">
        <f t="shared" si="8"/>
        <v>38.592524223630164</v>
      </c>
      <c r="G185" s="655">
        <f>Effort!I185+Aide!I185/Taux!C185+Effort!K185/Taux!C185</f>
        <v>27.824168829543403</v>
      </c>
      <c r="H185" s="80">
        <f t="shared" si="9"/>
        <v>66.41669305317356</v>
      </c>
      <c r="I185" s="149">
        <f t="shared" si="10"/>
        <v>0</v>
      </c>
      <c r="J185" s="658">
        <f t="shared" si="11"/>
        <v>0</v>
      </c>
      <c r="L185" s="9"/>
      <c r="M185" s="10"/>
      <c r="R185" s="10"/>
    </row>
    <row r="186" spans="1:18" x14ac:dyDescent="0.25">
      <c r="A186" s="37">
        <f>Données!A186</f>
        <v>5715</v>
      </c>
      <c r="B186" s="137" t="str">
        <f>Données!B186</f>
        <v>Duillier</v>
      </c>
      <c r="C186" s="247">
        <f>VPI!R186</f>
        <v>58499.436969696966</v>
      </c>
      <c r="D186" s="367">
        <f>+Données!AP186</f>
        <v>29.454392732997228</v>
      </c>
      <c r="E186" s="292">
        <f>VPI!Q186</f>
        <v>66</v>
      </c>
      <c r="F186" s="162">
        <f t="shared" si="8"/>
        <v>36.545607267002772</v>
      </c>
      <c r="G186" s="655">
        <f>Effort!I186+Aide!I186/Taux!C186+Effort!K186/Taux!C186</f>
        <v>27.79359974696024</v>
      </c>
      <c r="H186" s="80">
        <f t="shared" si="9"/>
        <v>64.339207013963005</v>
      </c>
      <c r="I186" s="149">
        <f t="shared" si="10"/>
        <v>0</v>
      </c>
      <c r="J186" s="658">
        <f t="shared" si="11"/>
        <v>0</v>
      </c>
      <c r="L186" s="9"/>
      <c r="M186" s="10"/>
      <c r="R186" s="10"/>
    </row>
    <row r="187" spans="1:18" x14ac:dyDescent="0.25">
      <c r="A187" s="37">
        <f>Données!A187</f>
        <v>5716</v>
      </c>
      <c r="B187" s="137" t="str">
        <f>Données!B187</f>
        <v>Eysins</v>
      </c>
      <c r="C187" s="247">
        <f>VPI!R187</f>
        <v>387894.76554621849</v>
      </c>
      <c r="D187" s="367">
        <f>+Données!AP187</f>
        <v>46.170509627348487</v>
      </c>
      <c r="E187" s="292">
        <f>VPI!Q187</f>
        <v>59.5</v>
      </c>
      <c r="F187" s="162">
        <f t="shared" si="8"/>
        <v>13.329490372651513</v>
      </c>
      <c r="G187" s="655">
        <f>Effort!I187+Aide!I187/Taux!C187+Effort!K187/Taux!C187</f>
        <v>48</v>
      </c>
      <c r="H187" s="80">
        <f t="shared" si="9"/>
        <v>61.329490372651513</v>
      </c>
      <c r="I187" s="149">
        <f t="shared" si="10"/>
        <v>0</v>
      </c>
      <c r="J187" s="658">
        <f t="shared" si="11"/>
        <v>0</v>
      </c>
      <c r="L187" s="9"/>
      <c r="M187" s="10"/>
      <c r="R187" s="10"/>
    </row>
    <row r="188" spans="1:18" x14ac:dyDescent="0.25">
      <c r="A188" s="37">
        <f>Données!A188</f>
        <v>5717</v>
      </c>
      <c r="B188" s="137" t="str">
        <f>Données!B188</f>
        <v>Founex</v>
      </c>
      <c r="C188" s="247">
        <f>VPI!R188</f>
        <v>389506.02859649126</v>
      </c>
      <c r="D188" s="367">
        <f>+Données!AP188</f>
        <v>37.686387815661945</v>
      </c>
      <c r="E188" s="292">
        <f>VPI!Q188</f>
        <v>57</v>
      </c>
      <c r="F188" s="162">
        <f t="shared" si="8"/>
        <v>19.313612184338055</v>
      </c>
      <c r="G188" s="655">
        <f>Effort!I188+Aide!I188/Taux!C188+Effort!K188/Taux!C188</f>
        <v>37.527471746966299</v>
      </c>
      <c r="H188" s="80">
        <f t="shared" si="9"/>
        <v>56.841083931304354</v>
      </c>
      <c r="I188" s="149">
        <f t="shared" si="10"/>
        <v>0</v>
      </c>
      <c r="J188" s="658">
        <f t="shared" si="11"/>
        <v>0</v>
      </c>
      <c r="L188" s="9"/>
      <c r="M188" s="10"/>
      <c r="R188" s="10"/>
    </row>
    <row r="189" spans="1:18" x14ac:dyDescent="0.25">
      <c r="A189" s="37">
        <f>Données!A189</f>
        <v>5718</v>
      </c>
      <c r="B189" s="137" t="str">
        <f>Données!B189</f>
        <v>Genolier</v>
      </c>
      <c r="C189" s="247">
        <f>VPI!R189</f>
        <v>239613.31826923083</v>
      </c>
      <c r="D189" s="367">
        <f>+Données!AP189</f>
        <v>36.66369980233415</v>
      </c>
      <c r="E189" s="292">
        <f>VPI!Q189</f>
        <v>52</v>
      </c>
      <c r="F189" s="162">
        <f t="shared" si="8"/>
        <v>15.33630019766585</v>
      </c>
      <c r="G189" s="655">
        <f>Effort!I189+Aide!I189/Taux!C189+Effort!K189/Taux!C189</f>
        <v>39.918321150258407</v>
      </c>
      <c r="H189" s="80">
        <f t="shared" si="9"/>
        <v>55.254621347924257</v>
      </c>
      <c r="I189" s="149">
        <f t="shared" si="10"/>
        <v>0</v>
      </c>
      <c r="J189" s="658">
        <f t="shared" si="11"/>
        <v>0</v>
      </c>
      <c r="L189" s="9"/>
      <c r="M189" s="10"/>
      <c r="R189" s="10"/>
    </row>
    <row r="190" spans="1:18" x14ac:dyDescent="0.25">
      <c r="A190" s="37">
        <f>Données!A190</f>
        <v>5719</v>
      </c>
      <c r="B190" s="137" t="str">
        <f>Données!B190</f>
        <v>Gingins</v>
      </c>
      <c r="C190" s="247">
        <f>VPI!R190</f>
        <v>173273.6891111111</v>
      </c>
      <c r="D190" s="367">
        <f>+Données!AP190</f>
        <v>41.77129877402389</v>
      </c>
      <c r="E190" s="292">
        <f>VPI!Q190</f>
        <v>60</v>
      </c>
      <c r="F190" s="162">
        <f t="shared" si="8"/>
        <v>18.22870122597611</v>
      </c>
      <c r="G190" s="655">
        <f>Effort!I190+Aide!I190/Taux!C190+Effort!K190/Taux!C190</f>
        <v>44.826695307429226</v>
      </c>
      <c r="H190" s="80">
        <f t="shared" si="9"/>
        <v>63.055396533405336</v>
      </c>
      <c r="I190" s="149">
        <f t="shared" si="10"/>
        <v>0</v>
      </c>
      <c r="J190" s="658">
        <f t="shared" si="11"/>
        <v>0</v>
      </c>
      <c r="L190" s="9"/>
      <c r="M190" s="10"/>
      <c r="R190" s="10"/>
    </row>
    <row r="191" spans="1:18" x14ac:dyDescent="0.25">
      <c r="A191" s="37">
        <f>Données!A191</f>
        <v>5720</v>
      </c>
      <c r="B191" s="137" t="str">
        <f>Données!B191</f>
        <v>Givrins</v>
      </c>
      <c r="C191" s="247">
        <f>VPI!R191</f>
        <v>77350.1792703151</v>
      </c>
      <c r="D191" s="367">
        <f>+Données!AP191</f>
        <v>35.857445252050901</v>
      </c>
      <c r="E191" s="292">
        <f>VPI!Q191</f>
        <v>67</v>
      </c>
      <c r="F191" s="162">
        <f t="shared" si="8"/>
        <v>31.142554747949099</v>
      </c>
      <c r="G191" s="655">
        <f>Effort!I191+Aide!I191/Taux!C191+Effort!K191/Taux!C191</f>
        <v>33.528132671133719</v>
      </c>
      <c r="H191" s="80">
        <f t="shared" si="9"/>
        <v>64.67068741908281</v>
      </c>
      <c r="I191" s="149">
        <f t="shared" si="10"/>
        <v>0</v>
      </c>
      <c r="J191" s="658">
        <f t="shared" si="11"/>
        <v>0</v>
      </c>
      <c r="L191" s="9"/>
      <c r="M191" s="10"/>
      <c r="R191" s="10"/>
    </row>
    <row r="192" spans="1:18" x14ac:dyDescent="0.25">
      <c r="A192" s="37">
        <f>Données!A192</f>
        <v>5721</v>
      </c>
      <c r="B192" s="137" t="str">
        <f>Données!B192</f>
        <v>Gland</v>
      </c>
      <c r="C192" s="247">
        <f>VPI!R192</f>
        <v>727883.96163934411</v>
      </c>
      <c r="D192" s="367">
        <f>+Données!AP192</f>
        <v>18.838887009349286</v>
      </c>
      <c r="E192" s="292">
        <f>VPI!Q192</f>
        <v>61</v>
      </c>
      <c r="F192" s="162">
        <f t="shared" si="8"/>
        <v>42.161112990650714</v>
      </c>
      <c r="G192" s="655">
        <f>Effort!I192+Aide!I192/Taux!C192+Effort!K192/Taux!C192</f>
        <v>18.391631669220697</v>
      </c>
      <c r="H192" s="80">
        <f t="shared" si="9"/>
        <v>60.552744659871408</v>
      </c>
      <c r="I192" s="149">
        <f t="shared" si="10"/>
        <v>0</v>
      </c>
      <c r="J192" s="658">
        <f t="shared" si="11"/>
        <v>0</v>
      </c>
      <c r="L192" s="9"/>
      <c r="M192" s="10"/>
      <c r="R192" s="10"/>
    </row>
    <row r="193" spans="1:18" x14ac:dyDescent="0.25">
      <c r="A193" s="37">
        <f>Données!A193</f>
        <v>5722</v>
      </c>
      <c r="B193" s="137" t="str">
        <f>Données!B193</f>
        <v>Grens</v>
      </c>
      <c r="C193" s="247">
        <f>VPI!R193</f>
        <v>33694.831129032267</v>
      </c>
      <c r="D193" s="367">
        <f>+Données!AP193</f>
        <v>29.809746895314383</v>
      </c>
      <c r="E193" s="292">
        <f>VPI!Q193</f>
        <v>62</v>
      </c>
      <c r="F193" s="162">
        <f t="shared" si="8"/>
        <v>32.190253104685617</v>
      </c>
      <c r="G193" s="655">
        <f>Effort!I193+Aide!I193/Taux!C193+Effort!K193/Taux!C193</f>
        <v>36.882699845986636</v>
      </c>
      <c r="H193" s="80">
        <f t="shared" si="9"/>
        <v>69.07295295067226</v>
      </c>
      <c r="I193" s="149">
        <f t="shared" si="10"/>
        <v>0</v>
      </c>
      <c r="J193" s="658">
        <f t="shared" si="11"/>
        <v>0</v>
      </c>
      <c r="L193" s="9"/>
      <c r="M193" s="10"/>
      <c r="R193" s="10"/>
    </row>
    <row r="194" spans="1:18" x14ac:dyDescent="0.25">
      <c r="A194" s="37">
        <f>Données!A194</f>
        <v>5723</v>
      </c>
      <c r="B194" s="137" t="str">
        <f>Données!B194</f>
        <v>Mies</v>
      </c>
      <c r="C194" s="247">
        <f>VPI!R194</f>
        <v>272663.2930188679</v>
      </c>
      <c r="D194" s="367">
        <f>+Données!AP194</f>
        <v>39.780675906408739</v>
      </c>
      <c r="E194" s="292">
        <f>VPI!Q194</f>
        <v>53</v>
      </c>
      <c r="F194" s="162">
        <f t="shared" si="8"/>
        <v>13.219324093591261</v>
      </c>
      <c r="G194" s="655">
        <f>Effort!I194+Aide!I194/Taux!C194+Effort!K194/Taux!C194</f>
        <v>41.012145396735889</v>
      </c>
      <c r="H194" s="80">
        <f t="shared" si="9"/>
        <v>54.23146949032715</v>
      </c>
      <c r="I194" s="149">
        <f t="shared" si="10"/>
        <v>0</v>
      </c>
      <c r="J194" s="658">
        <f t="shared" si="11"/>
        <v>0</v>
      </c>
      <c r="L194" s="9"/>
      <c r="M194" s="10"/>
      <c r="R194" s="10"/>
    </row>
    <row r="195" spans="1:18" x14ac:dyDescent="0.25">
      <c r="A195" s="37">
        <f>Données!A195</f>
        <v>5724</v>
      </c>
      <c r="B195" s="137" t="str">
        <f>Données!B195</f>
        <v>Nyon</v>
      </c>
      <c r="C195" s="247">
        <f>VPI!R195</f>
        <v>1639938.8194535521</v>
      </c>
      <c r="D195" s="367">
        <f>+Données!AP195</f>
        <v>24.280362466509768</v>
      </c>
      <c r="E195" s="292">
        <f>VPI!Q195</f>
        <v>61</v>
      </c>
      <c r="F195" s="162">
        <f t="shared" si="8"/>
        <v>36.719637533490229</v>
      </c>
      <c r="G195" s="655">
        <f>Effort!I195+Aide!I195/Taux!C195+Effort!K195/Taux!C195</f>
        <v>22.480704336479342</v>
      </c>
      <c r="H195" s="80">
        <f t="shared" si="9"/>
        <v>59.20034186996957</v>
      </c>
      <c r="I195" s="149">
        <f t="shared" si="10"/>
        <v>0</v>
      </c>
      <c r="J195" s="658">
        <f t="shared" si="11"/>
        <v>0</v>
      </c>
      <c r="L195" s="9"/>
      <c r="M195" s="10"/>
      <c r="R195" s="10"/>
    </row>
    <row r="196" spans="1:18" x14ac:dyDescent="0.25">
      <c r="A196" s="37">
        <f>Données!A196</f>
        <v>5725</v>
      </c>
      <c r="B196" s="137" t="str">
        <f>Données!B196</f>
        <v>Prangins</v>
      </c>
      <c r="C196" s="247">
        <f>VPI!R196</f>
        <v>367942.11179220775</v>
      </c>
      <c r="D196" s="367">
        <f>+Données!AP196</f>
        <v>32.236406146207656</v>
      </c>
      <c r="E196" s="292">
        <f>VPI!Q196</f>
        <v>55</v>
      </c>
      <c r="F196" s="162">
        <f t="shared" si="8"/>
        <v>22.763593853792344</v>
      </c>
      <c r="G196" s="655">
        <f>Effort!I196+Aide!I196/Taux!C196+Effort!K196/Taux!C196</f>
        <v>33.403917175356185</v>
      </c>
      <c r="H196" s="80">
        <f t="shared" si="9"/>
        <v>56.167511029148528</v>
      </c>
      <c r="I196" s="149">
        <f t="shared" si="10"/>
        <v>0</v>
      </c>
      <c r="J196" s="658">
        <f t="shared" si="11"/>
        <v>0</v>
      </c>
      <c r="L196" s="9"/>
      <c r="M196" s="10"/>
      <c r="R196" s="10"/>
    </row>
    <row r="197" spans="1:18" x14ac:dyDescent="0.25">
      <c r="A197" s="37">
        <f>Données!A197</f>
        <v>5726</v>
      </c>
      <c r="B197" s="137" t="str">
        <f>Données!B197</f>
        <v>La Rippe</v>
      </c>
      <c r="C197" s="247">
        <f>VPI!R197</f>
        <v>73377.861102362207</v>
      </c>
      <c r="D197" s="367">
        <f>+Données!AP197</f>
        <v>29.914664465710771</v>
      </c>
      <c r="E197" s="292">
        <f>VPI!Q197</f>
        <v>63.5</v>
      </c>
      <c r="F197" s="162">
        <f t="shared" si="8"/>
        <v>33.585335534289229</v>
      </c>
      <c r="G197" s="655">
        <f>Effort!I197+Aide!I197/Taux!C197+Effort!K197/Taux!C197</f>
        <v>30.395849278817877</v>
      </c>
      <c r="H197" s="80">
        <f t="shared" si="9"/>
        <v>63.981184813107106</v>
      </c>
      <c r="I197" s="149">
        <f t="shared" si="10"/>
        <v>0</v>
      </c>
      <c r="J197" s="658">
        <f t="shared" si="11"/>
        <v>0</v>
      </c>
      <c r="L197" s="9"/>
      <c r="M197" s="10"/>
      <c r="R197" s="10"/>
    </row>
    <row r="198" spans="1:18" x14ac:dyDescent="0.25">
      <c r="A198" s="37">
        <f>Données!A198</f>
        <v>5727</v>
      </c>
      <c r="B198" s="137" t="str">
        <f>Données!B198</f>
        <v>Saint-Cergue</v>
      </c>
      <c r="C198" s="247">
        <f>VPI!R198</f>
        <v>111772.64025252526</v>
      </c>
      <c r="D198" s="367">
        <f>+Données!AP198</f>
        <v>17.425364500786124</v>
      </c>
      <c r="E198" s="292">
        <f>VPI!Q198</f>
        <v>66</v>
      </c>
      <c r="F198" s="162">
        <f t="shared" si="8"/>
        <v>48.574635499213876</v>
      </c>
      <c r="G198" s="655">
        <f>Effort!I198+Aide!I198/Taux!C198+Effort!K198/Taux!C198</f>
        <v>12.596721436003131</v>
      </c>
      <c r="H198" s="80">
        <f t="shared" si="9"/>
        <v>61.171356935217005</v>
      </c>
      <c r="I198" s="149">
        <f t="shared" si="10"/>
        <v>0</v>
      </c>
      <c r="J198" s="658">
        <f t="shared" si="11"/>
        <v>0</v>
      </c>
      <c r="L198" s="9"/>
      <c r="M198" s="10"/>
      <c r="R198" s="10"/>
    </row>
    <row r="199" spans="1:18" x14ac:dyDescent="0.25">
      <c r="A199" s="37">
        <f>Données!A199</f>
        <v>5728</v>
      </c>
      <c r="B199" s="137" t="str">
        <f>Données!B199</f>
        <v>Signy-Avenex</v>
      </c>
      <c r="C199" s="247">
        <f>VPI!R199</f>
        <v>44453.550862068965</v>
      </c>
      <c r="D199" s="367">
        <f>+Données!AP199</f>
        <v>37.652254883603405</v>
      </c>
      <c r="E199" s="292">
        <f>VPI!Q199</f>
        <v>58</v>
      </c>
      <c r="F199" s="162">
        <f t="shared" ref="F199:F262" si="12">E199-D199</f>
        <v>20.347745116396595</v>
      </c>
      <c r="G199" s="655">
        <f>Effort!I199+Aide!I199/Taux!C199+Effort!K199/Taux!C199</f>
        <v>33.632066842665566</v>
      </c>
      <c r="H199" s="80">
        <f t="shared" ref="H199:H262" si="13">F199+G199</f>
        <v>53.979811959062161</v>
      </c>
      <c r="I199" s="149">
        <f t="shared" ref="I199:I262" si="14">IF(H199&gt;$I$5,H199-$I$5,0)</f>
        <v>0</v>
      </c>
      <c r="J199" s="658">
        <f t="shared" ref="J199:J262" si="15">-I199*C199</f>
        <v>0</v>
      </c>
      <c r="L199" s="9"/>
      <c r="M199" s="10"/>
      <c r="R199" s="10"/>
    </row>
    <row r="200" spans="1:18" x14ac:dyDescent="0.25">
      <c r="A200" s="37">
        <f>Données!A200</f>
        <v>5729</v>
      </c>
      <c r="B200" s="137" t="str">
        <f>Données!B200</f>
        <v>Tannay</v>
      </c>
      <c r="C200" s="247">
        <f>VPI!R200</f>
        <v>189691.13223140492</v>
      </c>
      <c r="D200" s="367">
        <f>+Données!AP200</f>
        <v>41.935956906841284</v>
      </c>
      <c r="E200" s="292">
        <f>VPI!Q200</f>
        <v>60.5</v>
      </c>
      <c r="F200" s="162">
        <f t="shared" si="12"/>
        <v>18.564043093158716</v>
      </c>
      <c r="G200" s="655">
        <f>Effort!I200+Aide!I200/Taux!C200+Effort!K200/Taux!C200</f>
        <v>40.333075208819125</v>
      </c>
      <c r="H200" s="80">
        <f t="shared" si="13"/>
        <v>58.897118301977841</v>
      </c>
      <c r="I200" s="149">
        <f t="shared" si="14"/>
        <v>0</v>
      </c>
      <c r="J200" s="658">
        <f t="shared" si="15"/>
        <v>0</v>
      </c>
      <c r="L200" s="9"/>
      <c r="M200" s="10"/>
      <c r="R200" s="10"/>
    </row>
    <row r="201" spans="1:18" x14ac:dyDescent="0.25">
      <c r="A201" s="37">
        <f>Données!A201</f>
        <v>5730</v>
      </c>
      <c r="B201" s="137" t="str">
        <f>Données!B201</f>
        <v>Trélex</v>
      </c>
      <c r="C201" s="247">
        <f>VPI!R201</f>
        <v>170256.05113113116</v>
      </c>
      <c r="D201" s="367">
        <f>+Données!AP201</f>
        <v>38.33558671559048</v>
      </c>
      <c r="E201" s="292">
        <f>VPI!Q201</f>
        <v>55.5</v>
      </c>
      <c r="F201" s="162">
        <f t="shared" si="12"/>
        <v>17.16441328440952</v>
      </c>
      <c r="G201" s="655">
        <f>Effort!I201+Aide!I201/Taux!C201+Effort!K201/Taux!C201</f>
        <v>41.112415683227219</v>
      </c>
      <c r="H201" s="80">
        <f t="shared" si="13"/>
        <v>58.276828967636739</v>
      </c>
      <c r="I201" s="149">
        <f t="shared" si="14"/>
        <v>0</v>
      </c>
      <c r="J201" s="658">
        <f t="shared" si="15"/>
        <v>0</v>
      </c>
      <c r="L201" s="9"/>
      <c r="M201" s="10"/>
      <c r="R201" s="10"/>
    </row>
    <row r="202" spans="1:18" x14ac:dyDescent="0.25">
      <c r="A202" s="37">
        <f>Données!A202</f>
        <v>5731</v>
      </c>
      <c r="B202" s="137" t="str">
        <f>Données!B202</f>
        <v>Le Vaud</v>
      </c>
      <c r="C202" s="247">
        <f>VPI!R202</f>
        <v>75089.173286384976</v>
      </c>
      <c r="D202" s="367">
        <f>+Données!AP202</f>
        <v>26.991370775393289</v>
      </c>
      <c r="E202" s="292">
        <f>VPI!Q202</f>
        <v>71</v>
      </c>
      <c r="F202" s="162">
        <f t="shared" si="12"/>
        <v>44.008629224606707</v>
      </c>
      <c r="G202" s="655">
        <f>Effort!I202+Aide!I202/Taux!C202+Effort!K202/Taux!C202</f>
        <v>28.255468796178818</v>
      </c>
      <c r="H202" s="80">
        <f t="shared" si="13"/>
        <v>72.264098020785525</v>
      </c>
      <c r="I202" s="149">
        <f t="shared" si="14"/>
        <v>0</v>
      </c>
      <c r="J202" s="658">
        <f t="shared" si="15"/>
        <v>0</v>
      </c>
      <c r="L202" s="9"/>
      <c r="M202" s="10"/>
      <c r="R202" s="10"/>
    </row>
    <row r="203" spans="1:18" x14ac:dyDescent="0.25">
      <c r="A203" s="37">
        <f>Données!A203</f>
        <v>5732</v>
      </c>
      <c r="B203" s="137" t="str">
        <f>Données!B203</f>
        <v>Vich</v>
      </c>
      <c r="C203" s="247">
        <f>VPI!R203</f>
        <v>83929.487936507925</v>
      </c>
      <c r="D203" s="367">
        <f>+Données!AP203</f>
        <v>33.397461951628841</v>
      </c>
      <c r="E203" s="292">
        <f>VPI!Q203</f>
        <v>63</v>
      </c>
      <c r="F203" s="162">
        <f t="shared" si="12"/>
        <v>29.602538048371159</v>
      </c>
      <c r="G203" s="655">
        <f>Effort!I203+Aide!I203/Taux!C203+Effort!K203/Taux!C203</f>
        <v>33.034576620410654</v>
      </c>
      <c r="H203" s="80">
        <f t="shared" si="13"/>
        <v>62.637114668781813</v>
      </c>
      <c r="I203" s="149">
        <f t="shared" si="14"/>
        <v>0</v>
      </c>
      <c r="J203" s="658">
        <f t="shared" si="15"/>
        <v>0</v>
      </c>
      <c r="L203" s="9"/>
      <c r="M203" s="10"/>
      <c r="R203" s="10"/>
    </row>
    <row r="204" spans="1:18" x14ac:dyDescent="0.25">
      <c r="A204" s="37">
        <f>Données!A204</f>
        <v>5741</v>
      </c>
      <c r="B204" s="137" t="str">
        <f>Données!B204</f>
        <v>L'Abergement</v>
      </c>
      <c r="C204" s="247">
        <f>VPI!R204</f>
        <v>8081.107937499999</v>
      </c>
      <c r="D204" s="367">
        <f>+Données!AP204</f>
        <v>11.144785941185866</v>
      </c>
      <c r="E204" s="292">
        <f>VPI!Q204</f>
        <v>80</v>
      </c>
      <c r="F204" s="162">
        <f t="shared" si="12"/>
        <v>68.855214058814141</v>
      </c>
      <c r="G204" s="655">
        <f>Effort!I204+Aide!I204/Taux!C204+Effort!K204/Taux!C204</f>
        <v>-2.7126842130705064</v>
      </c>
      <c r="H204" s="80">
        <f t="shared" si="13"/>
        <v>66.142529845743638</v>
      </c>
      <c r="I204" s="149">
        <f t="shared" si="14"/>
        <v>0</v>
      </c>
      <c r="J204" s="658">
        <f t="shared" si="15"/>
        <v>0</v>
      </c>
      <c r="L204" s="9"/>
      <c r="M204" s="10"/>
      <c r="R204" s="10"/>
    </row>
    <row r="205" spans="1:18" x14ac:dyDescent="0.25">
      <c r="A205" s="37">
        <f>Données!A205</f>
        <v>5742</v>
      </c>
      <c r="B205" s="137" t="str">
        <f>Données!B205</f>
        <v>Agiez</v>
      </c>
      <c r="C205" s="247">
        <f>VPI!R205</f>
        <v>9603.6136842105243</v>
      </c>
      <c r="D205" s="367">
        <f>+Données!AP205</f>
        <v>0.93106328588591136</v>
      </c>
      <c r="E205" s="292">
        <f>VPI!Q205</f>
        <v>76</v>
      </c>
      <c r="F205" s="162">
        <f t="shared" si="12"/>
        <v>75.068936714114088</v>
      </c>
      <c r="G205" s="655">
        <f>Effort!I205+Aide!I205/Taux!C205+Effort!K205/Taux!C205</f>
        <v>2.5994362915330527E-2</v>
      </c>
      <c r="H205" s="80">
        <f t="shared" si="13"/>
        <v>75.094931077029415</v>
      </c>
      <c r="I205" s="149">
        <f t="shared" si="14"/>
        <v>0</v>
      </c>
      <c r="J205" s="658">
        <f t="shared" si="15"/>
        <v>0</v>
      </c>
      <c r="L205" s="9"/>
      <c r="M205" s="10"/>
      <c r="R205" s="10"/>
    </row>
    <row r="206" spans="1:18" x14ac:dyDescent="0.25">
      <c r="A206" s="37">
        <f>Données!A206</f>
        <v>5743</v>
      </c>
      <c r="B206" s="137" t="str">
        <f>Données!B206</f>
        <v>Arnex-sur-Orbe</v>
      </c>
      <c r="C206" s="247">
        <f>VPI!R206</f>
        <v>19616.934718309862</v>
      </c>
      <c r="D206" s="367">
        <f>+Données!AP206</f>
        <v>11.949822479990317</v>
      </c>
      <c r="E206" s="292">
        <f>VPI!Q206</f>
        <v>71</v>
      </c>
      <c r="F206" s="162">
        <f t="shared" si="12"/>
        <v>59.050177520009683</v>
      </c>
      <c r="G206" s="655">
        <f>Effort!I206+Aide!I206/Taux!C206+Effort!K206/Taux!C206</f>
        <v>5.962307458481817</v>
      </c>
      <c r="H206" s="80">
        <f t="shared" si="13"/>
        <v>65.0124849784915</v>
      </c>
      <c r="I206" s="149">
        <f t="shared" si="14"/>
        <v>0</v>
      </c>
      <c r="J206" s="658">
        <f t="shared" si="15"/>
        <v>0</v>
      </c>
      <c r="L206" s="9"/>
      <c r="M206" s="10"/>
      <c r="R206" s="10"/>
    </row>
    <row r="207" spans="1:18" x14ac:dyDescent="0.25">
      <c r="A207" s="37">
        <f>Données!A207</f>
        <v>5744</v>
      </c>
      <c r="B207" s="137" t="str">
        <f>Données!B207</f>
        <v>Ballaigues</v>
      </c>
      <c r="C207" s="247">
        <f>VPI!R207</f>
        <v>81085.11846153847</v>
      </c>
      <c r="D207" s="367">
        <f>+Données!AP207</f>
        <v>27.884681870610216</v>
      </c>
      <c r="E207" s="292">
        <f>VPI!Q207</f>
        <v>65</v>
      </c>
      <c r="F207" s="162">
        <f t="shared" si="12"/>
        <v>37.115318129389784</v>
      </c>
      <c r="G207" s="655">
        <f>Effort!I207+Aide!I207/Taux!C207+Effort!K207/Taux!C207</f>
        <v>29.690242428474509</v>
      </c>
      <c r="H207" s="80">
        <f t="shared" si="13"/>
        <v>66.805560557864297</v>
      </c>
      <c r="I207" s="149">
        <f t="shared" si="14"/>
        <v>0</v>
      </c>
      <c r="J207" s="658">
        <f t="shared" si="15"/>
        <v>0</v>
      </c>
      <c r="L207" s="9"/>
      <c r="M207" s="10"/>
      <c r="R207" s="10"/>
    </row>
    <row r="208" spans="1:18" x14ac:dyDescent="0.25">
      <c r="A208" s="37">
        <f>Données!A208</f>
        <v>5745</v>
      </c>
      <c r="B208" s="137" t="str">
        <f>Données!B208</f>
        <v>Baulmes</v>
      </c>
      <c r="C208" s="247">
        <f>VPI!R208</f>
        <v>29568.283921568625</v>
      </c>
      <c r="D208" s="367">
        <f>+Données!AP208</f>
        <v>2.3546478839558418</v>
      </c>
      <c r="E208" s="292">
        <f>VPI!Q208</f>
        <v>76.5</v>
      </c>
      <c r="F208" s="162">
        <f t="shared" si="12"/>
        <v>74.145352116044165</v>
      </c>
      <c r="G208" s="655">
        <f>Effort!I208+Aide!I208/Taux!C208+Effort!K208/Taux!C208</f>
        <v>-11.172782865977194</v>
      </c>
      <c r="H208" s="80">
        <f t="shared" si="13"/>
        <v>62.972569250066968</v>
      </c>
      <c r="I208" s="149">
        <f t="shared" si="14"/>
        <v>0</v>
      </c>
      <c r="J208" s="658">
        <f t="shared" si="15"/>
        <v>0</v>
      </c>
      <c r="L208" s="9"/>
      <c r="M208" s="10"/>
      <c r="R208" s="10"/>
    </row>
    <row r="209" spans="1:18" x14ac:dyDescent="0.25">
      <c r="A209" s="37">
        <f>Données!A209</f>
        <v>5746</v>
      </c>
      <c r="B209" s="137" t="str">
        <f>Données!B209</f>
        <v>Bavois</v>
      </c>
      <c r="C209" s="247">
        <f>VPI!R209</f>
        <v>37130.012939814806</v>
      </c>
      <c r="D209" s="367">
        <f>+Données!AP209</f>
        <v>15.830982017604111</v>
      </c>
      <c r="E209" s="292">
        <f>VPI!Q209</f>
        <v>72</v>
      </c>
      <c r="F209" s="162">
        <f t="shared" si="12"/>
        <v>56.169017982395886</v>
      </c>
      <c r="G209" s="655">
        <f>Effort!I209+Aide!I209/Taux!C209+Effort!K209/Taux!C209</f>
        <v>13.028687522028596</v>
      </c>
      <c r="H209" s="80">
        <f t="shared" si="13"/>
        <v>69.197705504424476</v>
      </c>
      <c r="I209" s="149">
        <f t="shared" si="14"/>
        <v>0</v>
      </c>
      <c r="J209" s="658">
        <f t="shared" si="15"/>
        <v>0</v>
      </c>
      <c r="L209" s="9"/>
      <c r="M209" s="10"/>
      <c r="R209" s="10"/>
    </row>
    <row r="210" spans="1:18" x14ac:dyDescent="0.25">
      <c r="A210" s="37">
        <f>Données!A210</f>
        <v>5747</v>
      </c>
      <c r="B210" s="137" t="str">
        <f>Données!B210</f>
        <v>Bofflens</v>
      </c>
      <c r="C210" s="247">
        <f>VPI!R210</f>
        <v>7511.2471014492739</v>
      </c>
      <c r="D210" s="367">
        <f>+Données!AP210</f>
        <v>20.363037261588701</v>
      </c>
      <c r="E210" s="292">
        <f>VPI!Q210</f>
        <v>69</v>
      </c>
      <c r="F210" s="162">
        <f t="shared" si="12"/>
        <v>48.636962738411299</v>
      </c>
      <c r="G210" s="655">
        <f>Effort!I210+Aide!I210/Taux!C210+Effort!K210/Taux!C210</f>
        <v>16.83544161784182</v>
      </c>
      <c r="H210" s="80">
        <f t="shared" si="13"/>
        <v>65.472404356253122</v>
      </c>
      <c r="I210" s="149">
        <f t="shared" si="14"/>
        <v>0</v>
      </c>
      <c r="J210" s="658">
        <f t="shared" si="15"/>
        <v>0</v>
      </c>
      <c r="L210" s="9"/>
      <c r="M210" s="10"/>
      <c r="R210" s="10"/>
    </row>
    <row r="211" spans="1:18" x14ac:dyDescent="0.25">
      <c r="A211" s="37">
        <f>Données!A211</f>
        <v>5748</v>
      </c>
      <c r="B211" s="137" t="str">
        <f>Données!B211</f>
        <v>Bretonnières</v>
      </c>
      <c r="C211" s="247">
        <f>VPI!R211</f>
        <v>6883.0895035460999</v>
      </c>
      <c r="D211" s="367">
        <f>+Données!AP211</f>
        <v>8.6326092021257281</v>
      </c>
      <c r="E211" s="292">
        <f>VPI!Q211</f>
        <v>70.5</v>
      </c>
      <c r="F211" s="162">
        <f t="shared" si="12"/>
        <v>61.867390797874272</v>
      </c>
      <c r="G211" s="655">
        <f>Effort!I211+Aide!I211/Taux!C211+Effort!K211/Taux!C211</f>
        <v>-3.9336106359128848</v>
      </c>
      <c r="H211" s="80">
        <f t="shared" si="13"/>
        <v>57.933780161961387</v>
      </c>
      <c r="I211" s="149">
        <f t="shared" si="14"/>
        <v>0</v>
      </c>
      <c r="J211" s="658">
        <f t="shared" si="15"/>
        <v>0</v>
      </c>
      <c r="L211" s="9"/>
      <c r="M211" s="10"/>
      <c r="R211" s="10"/>
    </row>
    <row r="212" spans="1:18" x14ac:dyDescent="0.25">
      <c r="A212" s="37">
        <f>Données!A212</f>
        <v>5749</v>
      </c>
      <c r="B212" s="137" t="str">
        <f>Données!B212</f>
        <v>Chavornay</v>
      </c>
      <c r="C212" s="247">
        <f>VPI!R212</f>
        <v>155929.24482269504</v>
      </c>
      <c r="D212" s="367">
        <f>+Données!AP212</f>
        <v>0.4447903901240764</v>
      </c>
      <c r="E212" s="292">
        <f>VPI!Q212</f>
        <v>70.5</v>
      </c>
      <c r="F212" s="162">
        <f t="shared" si="12"/>
        <v>70.055209609875931</v>
      </c>
      <c r="G212" s="655">
        <f>Effort!I212+Aide!I212/Taux!C212+Effort!K212/Taux!C212</f>
        <v>-3.6473289677005418</v>
      </c>
      <c r="H212" s="80">
        <f t="shared" si="13"/>
        <v>66.407880642175385</v>
      </c>
      <c r="I212" s="149">
        <f t="shared" si="14"/>
        <v>0</v>
      </c>
      <c r="J212" s="658">
        <f t="shared" si="15"/>
        <v>0</v>
      </c>
      <c r="L212" s="9"/>
      <c r="M212" s="10"/>
      <c r="R212" s="10"/>
    </row>
    <row r="213" spans="1:18" x14ac:dyDescent="0.25">
      <c r="A213" s="37">
        <f>Données!A213</f>
        <v>5750</v>
      </c>
      <c r="B213" s="137" t="str">
        <f>Données!B213</f>
        <v>Les Clées</v>
      </c>
      <c r="C213" s="247">
        <f>VPI!R213</f>
        <v>6153.1082500000002</v>
      </c>
      <c r="D213" s="367">
        <f>+Données!AP213</f>
        <v>5.977955541708015</v>
      </c>
      <c r="E213" s="292">
        <f>VPI!Q213</f>
        <v>80</v>
      </c>
      <c r="F213" s="162">
        <f t="shared" si="12"/>
        <v>74.022044458291987</v>
      </c>
      <c r="G213" s="655">
        <f>Effort!I213+Aide!I213/Taux!C213+Effort!K213/Taux!C213</f>
        <v>-0.64588898683308571</v>
      </c>
      <c r="H213" s="80">
        <f t="shared" si="13"/>
        <v>73.376155471458901</v>
      </c>
      <c r="I213" s="149">
        <f t="shared" si="14"/>
        <v>0</v>
      </c>
      <c r="J213" s="658">
        <f t="shared" si="15"/>
        <v>0</v>
      </c>
      <c r="L213" s="9"/>
      <c r="M213" s="10"/>
      <c r="R213" s="10"/>
    </row>
    <row r="214" spans="1:18" x14ac:dyDescent="0.25">
      <c r="A214" s="37">
        <f>Données!A214</f>
        <v>5752</v>
      </c>
      <c r="B214" s="137" t="str">
        <f>Données!B214</f>
        <v>Croy</v>
      </c>
      <c r="C214" s="247">
        <f>VPI!R214</f>
        <v>10564.904768339768</v>
      </c>
      <c r="D214" s="367">
        <f>+Données!AP214</f>
        <v>3.7998058700538877</v>
      </c>
      <c r="E214" s="292">
        <f>VPI!Q214</f>
        <v>74</v>
      </c>
      <c r="F214" s="162">
        <f t="shared" si="12"/>
        <v>70.200194129946112</v>
      </c>
      <c r="G214" s="655">
        <f>Effort!I214+Aide!I214/Taux!C214+Effort!K214/Taux!C214</f>
        <v>1.4688292911128329</v>
      </c>
      <c r="H214" s="80">
        <f t="shared" si="13"/>
        <v>71.669023421058938</v>
      </c>
      <c r="I214" s="149">
        <f t="shared" si="14"/>
        <v>0</v>
      </c>
      <c r="J214" s="658">
        <f t="shared" si="15"/>
        <v>0</v>
      </c>
      <c r="L214" s="9"/>
      <c r="M214" s="10"/>
      <c r="R214" s="10"/>
    </row>
    <row r="215" spans="1:18" x14ac:dyDescent="0.25">
      <c r="A215" s="37">
        <f>Données!A215</f>
        <v>5754</v>
      </c>
      <c r="B215" s="137" t="str">
        <f>Données!B215</f>
        <v>Juriens</v>
      </c>
      <c r="C215" s="247">
        <f>VPI!R215</f>
        <v>8959.0606329113925</v>
      </c>
      <c r="D215" s="367">
        <f>+Données!AP215</f>
        <v>1.3689655871395034</v>
      </c>
      <c r="E215" s="292">
        <f>VPI!Q215</f>
        <v>79</v>
      </c>
      <c r="F215" s="162">
        <f t="shared" si="12"/>
        <v>77.631034412860501</v>
      </c>
      <c r="G215" s="655">
        <f>Effort!I215+Aide!I215/Taux!C215+Effort!K215/Taux!C215</f>
        <v>-6.3402642832205096</v>
      </c>
      <c r="H215" s="80">
        <f t="shared" si="13"/>
        <v>71.290770129639995</v>
      </c>
      <c r="I215" s="149">
        <f t="shared" si="14"/>
        <v>0</v>
      </c>
      <c r="J215" s="658">
        <f t="shared" si="15"/>
        <v>0</v>
      </c>
      <c r="L215" s="9"/>
      <c r="M215" s="10"/>
      <c r="R215" s="10"/>
    </row>
    <row r="216" spans="1:18" x14ac:dyDescent="0.25">
      <c r="A216" s="37">
        <f>Données!A216</f>
        <v>5755</v>
      </c>
      <c r="B216" s="137" t="str">
        <f>Données!B216</f>
        <v>Lignerolle</v>
      </c>
      <c r="C216" s="247">
        <f>VPI!R216</f>
        <v>10387.208371246586</v>
      </c>
      <c r="D216" s="367">
        <f>+Données!AP216</f>
        <v>-0.6567434367075542</v>
      </c>
      <c r="E216" s="292">
        <f>VPI!Q216</f>
        <v>78.5</v>
      </c>
      <c r="F216" s="162">
        <f t="shared" si="12"/>
        <v>79.156743436707558</v>
      </c>
      <c r="G216" s="655">
        <f>Effort!I216+Aide!I216/Taux!C216+Effort!K216/Taux!C216</f>
        <v>-61.857379296241405</v>
      </c>
      <c r="H216" s="80">
        <f t="shared" si="13"/>
        <v>17.299364140466153</v>
      </c>
      <c r="I216" s="149">
        <f t="shared" si="14"/>
        <v>0</v>
      </c>
      <c r="J216" s="658">
        <f t="shared" si="15"/>
        <v>0</v>
      </c>
      <c r="L216" s="9"/>
      <c r="M216" s="10"/>
      <c r="R216" s="10"/>
    </row>
    <row r="217" spans="1:18" x14ac:dyDescent="0.25">
      <c r="A217" s="37">
        <f>Données!A217</f>
        <v>5756</v>
      </c>
      <c r="B217" s="137" t="str">
        <f>Données!B217</f>
        <v>Montcherand</v>
      </c>
      <c r="C217" s="247">
        <f>VPI!R217</f>
        <v>21540.691249999996</v>
      </c>
      <c r="D217" s="367">
        <f>+Données!AP217</f>
        <v>24.226270561290775</v>
      </c>
      <c r="E217" s="292">
        <f>VPI!Q217</f>
        <v>72</v>
      </c>
      <c r="F217" s="162">
        <f t="shared" si="12"/>
        <v>47.773729438709225</v>
      </c>
      <c r="G217" s="655">
        <f>Effort!I217+Aide!I217/Taux!C217+Effort!K217/Taux!C217</f>
        <v>24.017267820646719</v>
      </c>
      <c r="H217" s="80">
        <f t="shared" si="13"/>
        <v>71.790997259355947</v>
      </c>
      <c r="I217" s="149">
        <f t="shared" si="14"/>
        <v>0</v>
      </c>
      <c r="J217" s="658">
        <f t="shared" si="15"/>
        <v>0</v>
      </c>
      <c r="L217" s="9"/>
      <c r="M217" s="10"/>
      <c r="R217" s="10"/>
    </row>
    <row r="218" spans="1:18" x14ac:dyDescent="0.25">
      <c r="A218" s="37">
        <f>Données!A218</f>
        <v>5757</v>
      </c>
      <c r="B218" s="137" t="str">
        <f>Données!B218</f>
        <v>Orbe</v>
      </c>
      <c r="C218" s="247">
        <f>VPI!R218</f>
        <v>256549.05814569537</v>
      </c>
      <c r="D218" s="367">
        <f>+Données!AP218</f>
        <v>-1.7557879913659846</v>
      </c>
      <c r="E218" s="292">
        <f>VPI!Q218</f>
        <v>75.5</v>
      </c>
      <c r="F218" s="162">
        <f t="shared" si="12"/>
        <v>77.255787991365992</v>
      </c>
      <c r="G218" s="655">
        <f>Effort!I218+Aide!I218/Taux!C218+Effort!K218/Taux!C218</f>
        <v>-6.877008725090306</v>
      </c>
      <c r="H218" s="80">
        <f t="shared" si="13"/>
        <v>70.378779266275686</v>
      </c>
      <c r="I218" s="149">
        <f t="shared" si="14"/>
        <v>0</v>
      </c>
      <c r="J218" s="658">
        <f t="shared" si="15"/>
        <v>0</v>
      </c>
      <c r="L218" s="9"/>
      <c r="M218" s="10"/>
      <c r="R218" s="10"/>
    </row>
    <row r="219" spans="1:18" x14ac:dyDescent="0.25">
      <c r="A219" s="37">
        <f>Données!A219</f>
        <v>5758</v>
      </c>
      <c r="B219" s="137" t="str">
        <f>Données!B219</f>
        <v>La Praz</v>
      </c>
      <c r="C219" s="247">
        <f>VPI!R219</f>
        <v>5899.0938554216882</v>
      </c>
      <c r="D219" s="367">
        <f>+Données!AP219</f>
        <v>-3.2182222329683592</v>
      </c>
      <c r="E219" s="292">
        <f>VPI!Q219</f>
        <v>83</v>
      </c>
      <c r="F219" s="162">
        <f t="shared" si="12"/>
        <v>86.218222232968358</v>
      </c>
      <c r="G219" s="655">
        <f>Effort!I219+Aide!I219/Taux!C219+Effort!K219/Taux!C219</f>
        <v>-37.372112006161032</v>
      </c>
      <c r="H219" s="80">
        <f t="shared" si="13"/>
        <v>48.846110226807326</v>
      </c>
      <c r="I219" s="149">
        <f t="shared" si="14"/>
        <v>0</v>
      </c>
      <c r="J219" s="658">
        <f t="shared" si="15"/>
        <v>0</v>
      </c>
      <c r="L219" s="9"/>
      <c r="M219" s="10"/>
      <c r="R219" s="10"/>
    </row>
    <row r="220" spans="1:18" x14ac:dyDescent="0.25">
      <c r="A220" s="37">
        <f>Données!A220</f>
        <v>5759</v>
      </c>
      <c r="B220" s="137" t="str">
        <f>Données!B220</f>
        <v>Premier</v>
      </c>
      <c r="C220" s="247">
        <f>VPI!R220</f>
        <v>5179.7449056603764</v>
      </c>
      <c r="D220" s="367">
        <f>+Données!AP220</f>
        <v>-4.0522058574731865</v>
      </c>
      <c r="E220" s="292">
        <f>VPI!Q220</f>
        <v>79.5</v>
      </c>
      <c r="F220" s="162">
        <f t="shared" si="12"/>
        <v>83.552205857473183</v>
      </c>
      <c r="G220" s="655">
        <f>Effort!I220+Aide!I220/Taux!C220+Effort!K220/Taux!C220</f>
        <v>-23.577354593478329</v>
      </c>
      <c r="H220" s="80">
        <f t="shared" si="13"/>
        <v>59.97485126399485</v>
      </c>
      <c r="I220" s="149">
        <f t="shared" si="14"/>
        <v>0</v>
      </c>
      <c r="J220" s="658">
        <f t="shared" si="15"/>
        <v>0</v>
      </c>
      <c r="L220" s="9"/>
      <c r="M220" s="10"/>
      <c r="R220" s="10"/>
    </row>
    <row r="221" spans="1:18" x14ac:dyDescent="0.25">
      <c r="A221" s="37">
        <f>Données!A221</f>
        <v>5760</v>
      </c>
      <c r="B221" s="137" t="str">
        <f>Données!B221</f>
        <v>Rances</v>
      </c>
      <c r="C221" s="247">
        <f>VPI!R221</f>
        <v>13863.335032679737</v>
      </c>
      <c r="D221" s="367">
        <f>+Données!AP221</f>
        <v>12.881840026752343</v>
      </c>
      <c r="E221" s="292">
        <f>VPI!Q221</f>
        <v>76.5</v>
      </c>
      <c r="F221" s="162">
        <f t="shared" si="12"/>
        <v>63.618159973247657</v>
      </c>
      <c r="G221" s="655">
        <f>Effort!I221+Aide!I221/Taux!C221+Effort!K221/Taux!C221</f>
        <v>-4.9294598653920048</v>
      </c>
      <c r="H221" s="80">
        <f t="shared" si="13"/>
        <v>58.688700107855652</v>
      </c>
      <c r="I221" s="149">
        <f t="shared" si="14"/>
        <v>0</v>
      </c>
      <c r="J221" s="658">
        <f t="shared" si="15"/>
        <v>0</v>
      </c>
      <c r="L221" s="9"/>
      <c r="M221" s="10"/>
      <c r="R221" s="10"/>
    </row>
    <row r="222" spans="1:18" x14ac:dyDescent="0.25">
      <c r="A222" s="37">
        <f>Données!A222</f>
        <v>5761</v>
      </c>
      <c r="B222" s="137" t="str">
        <f>Données!B222</f>
        <v>Romainmôtier-Envy</v>
      </c>
      <c r="C222" s="247">
        <f>VPI!R222</f>
        <v>14116.093355780025</v>
      </c>
      <c r="D222" s="367">
        <f>+Données!AP222</f>
        <v>-3.9391891637083081</v>
      </c>
      <c r="E222" s="292">
        <f>VPI!Q222</f>
        <v>81</v>
      </c>
      <c r="F222" s="162">
        <f t="shared" si="12"/>
        <v>84.939189163708306</v>
      </c>
      <c r="G222" s="655">
        <f>Effort!I222+Aide!I222/Taux!C222+Effort!K222/Taux!C222</f>
        <v>-12.293284519627782</v>
      </c>
      <c r="H222" s="80">
        <f t="shared" si="13"/>
        <v>72.645904644080531</v>
      </c>
      <c r="I222" s="149">
        <f t="shared" si="14"/>
        <v>0</v>
      </c>
      <c r="J222" s="658">
        <f t="shared" si="15"/>
        <v>0</v>
      </c>
      <c r="L222" s="9"/>
      <c r="M222" s="10"/>
      <c r="R222" s="10"/>
    </row>
    <row r="223" spans="1:18" x14ac:dyDescent="0.25">
      <c r="A223" s="37">
        <f>Données!A223</f>
        <v>5762</v>
      </c>
      <c r="B223" s="137" t="str">
        <f>Données!B223</f>
        <v>Sergey</v>
      </c>
      <c r="C223" s="247">
        <f>VPI!R223</f>
        <v>3517.4810526315791</v>
      </c>
      <c r="D223" s="367">
        <f>+Données!AP223</f>
        <v>3.8348191102391951</v>
      </c>
      <c r="E223" s="292">
        <f>VPI!Q223</f>
        <v>76</v>
      </c>
      <c r="F223" s="162">
        <f t="shared" si="12"/>
        <v>72.165180889760805</v>
      </c>
      <c r="G223" s="655">
        <f>Effort!I223+Aide!I223/Taux!C223+Effort!K223/Taux!C223</f>
        <v>-8.3324113342869168</v>
      </c>
      <c r="H223" s="80">
        <f t="shared" si="13"/>
        <v>63.832769555473888</v>
      </c>
      <c r="I223" s="149">
        <f t="shared" si="14"/>
        <v>0</v>
      </c>
      <c r="J223" s="658">
        <f t="shared" si="15"/>
        <v>0</v>
      </c>
      <c r="L223" s="9"/>
      <c r="M223" s="10"/>
      <c r="R223" s="10"/>
    </row>
    <row r="224" spans="1:18" x14ac:dyDescent="0.25">
      <c r="A224" s="37">
        <f>Données!A224</f>
        <v>5763</v>
      </c>
      <c r="B224" s="137" t="str">
        <f>Données!B224</f>
        <v>Valeyres-sous-Rances</v>
      </c>
      <c r="C224" s="247">
        <f>VPI!R224</f>
        <v>22039.299577464786</v>
      </c>
      <c r="D224" s="367">
        <f>+Données!AP224</f>
        <v>20.029612012372596</v>
      </c>
      <c r="E224" s="292">
        <f>VPI!Q224</f>
        <v>71</v>
      </c>
      <c r="F224" s="162">
        <f t="shared" si="12"/>
        <v>50.970387987627404</v>
      </c>
      <c r="G224" s="655">
        <f>Effort!I224+Aide!I224/Taux!C224+Effort!K224/Taux!C224</f>
        <v>16.330654179207727</v>
      </c>
      <c r="H224" s="80">
        <f t="shared" si="13"/>
        <v>67.301042166835131</v>
      </c>
      <c r="I224" s="149">
        <f t="shared" si="14"/>
        <v>0</v>
      </c>
      <c r="J224" s="658">
        <f t="shared" si="15"/>
        <v>0</v>
      </c>
      <c r="L224" s="9"/>
      <c r="M224" s="10"/>
      <c r="R224" s="10"/>
    </row>
    <row r="225" spans="1:18" x14ac:dyDescent="0.25">
      <c r="A225" s="37">
        <f>Données!A225</f>
        <v>5764</v>
      </c>
      <c r="B225" s="137" t="str">
        <f>Données!B225</f>
        <v>Vallorbe</v>
      </c>
      <c r="C225" s="247">
        <f>VPI!R225</f>
        <v>94918.330489510496</v>
      </c>
      <c r="D225" s="367">
        <f>+Données!AP225</f>
        <v>-8.2842732120065818</v>
      </c>
      <c r="E225" s="292">
        <f>VPI!Q225</f>
        <v>71.5</v>
      </c>
      <c r="F225" s="162">
        <f t="shared" si="12"/>
        <v>79.784273212006582</v>
      </c>
      <c r="G225" s="655">
        <f>Effort!I225+Aide!I225/Taux!C225+Effort!K225/Taux!C225</f>
        <v>-37.886669927559595</v>
      </c>
      <c r="H225" s="80">
        <f t="shared" si="13"/>
        <v>41.897603284446987</v>
      </c>
      <c r="I225" s="149">
        <f t="shared" si="14"/>
        <v>0</v>
      </c>
      <c r="J225" s="658">
        <f t="shared" si="15"/>
        <v>0</v>
      </c>
      <c r="L225" s="9"/>
      <c r="M225" s="10"/>
      <c r="R225" s="10"/>
    </row>
    <row r="226" spans="1:18" x14ac:dyDescent="0.25">
      <c r="A226" s="37">
        <f>Données!A226</f>
        <v>5765</v>
      </c>
      <c r="B226" s="137" t="str">
        <f>Données!B226</f>
        <v>Vaulion</v>
      </c>
      <c r="C226" s="247">
        <f>VPI!R226</f>
        <v>10165.546419753087</v>
      </c>
      <c r="D226" s="367">
        <f>+Données!AP226</f>
        <v>-3.0307081142640531</v>
      </c>
      <c r="E226" s="292">
        <f>VPI!Q226</f>
        <v>81</v>
      </c>
      <c r="F226" s="162">
        <f t="shared" si="12"/>
        <v>84.030708114264058</v>
      </c>
      <c r="G226" s="655">
        <f>Effort!I226+Aide!I226/Taux!C226+Effort!K226/Taux!C226</f>
        <v>-29.967592992453017</v>
      </c>
      <c r="H226" s="80">
        <f t="shared" si="13"/>
        <v>54.063115121811038</v>
      </c>
      <c r="I226" s="149">
        <f t="shared" si="14"/>
        <v>0</v>
      </c>
      <c r="J226" s="658">
        <f t="shared" si="15"/>
        <v>0</v>
      </c>
      <c r="L226" s="9"/>
      <c r="M226" s="10"/>
      <c r="R226" s="10"/>
    </row>
    <row r="227" spans="1:18" x14ac:dyDescent="0.25">
      <c r="A227" s="37">
        <f>Données!A227</f>
        <v>5766</v>
      </c>
      <c r="B227" s="137" t="str">
        <f>Données!B227</f>
        <v>Vuiteboeuf</v>
      </c>
      <c r="C227" s="247">
        <f>VPI!R227</f>
        <v>15485.667942857142</v>
      </c>
      <c r="D227" s="367">
        <f>+Données!AP227</f>
        <v>3.4475461187944711</v>
      </c>
      <c r="E227" s="292">
        <f>VPI!Q227</f>
        <v>75</v>
      </c>
      <c r="F227" s="162">
        <f t="shared" si="12"/>
        <v>71.552453881205523</v>
      </c>
      <c r="G227" s="655">
        <f>Effort!I227+Aide!I227/Taux!C227+Effort!K227/Taux!C227</f>
        <v>-3.9292778334204108</v>
      </c>
      <c r="H227" s="80">
        <f t="shared" si="13"/>
        <v>67.623176047785108</v>
      </c>
      <c r="I227" s="149">
        <f t="shared" si="14"/>
        <v>0</v>
      </c>
      <c r="J227" s="658">
        <f t="shared" si="15"/>
        <v>0</v>
      </c>
      <c r="L227" s="9"/>
      <c r="M227" s="10"/>
      <c r="R227" s="10"/>
    </row>
    <row r="228" spans="1:18" x14ac:dyDescent="0.25">
      <c r="A228" s="37">
        <f>Données!A228</f>
        <v>5785</v>
      </c>
      <c r="B228" s="137" t="str">
        <f>Données!B228</f>
        <v>Corcelles-le-Jorat</v>
      </c>
      <c r="C228" s="247">
        <f>VPI!R228</f>
        <v>15190.065466666669</v>
      </c>
      <c r="D228" s="367">
        <f>+Données!AP228</f>
        <v>18.66759882941863</v>
      </c>
      <c r="E228" s="292">
        <f>VPI!Q228</f>
        <v>75</v>
      </c>
      <c r="F228" s="162">
        <f t="shared" si="12"/>
        <v>56.33240117058137</v>
      </c>
      <c r="G228" s="655">
        <f>Effort!I228+Aide!I228/Taux!C228+Effort!K228/Taux!C228</f>
        <v>8.4529703982438722</v>
      </c>
      <c r="H228" s="80">
        <f t="shared" si="13"/>
        <v>64.785371568825241</v>
      </c>
      <c r="I228" s="149">
        <f t="shared" si="14"/>
        <v>0</v>
      </c>
      <c r="J228" s="658">
        <f t="shared" si="15"/>
        <v>0</v>
      </c>
      <c r="L228" s="9"/>
      <c r="M228" s="10"/>
      <c r="R228" s="10"/>
    </row>
    <row r="229" spans="1:18" x14ac:dyDescent="0.25">
      <c r="A229" s="37">
        <f>Données!A229</f>
        <v>5790</v>
      </c>
      <c r="B229" s="137" t="str">
        <f>Données!B229</f>
        <v>Maracon</v>
      </c>
      <c r="C229" s="247">
        <f>VPI!R229</f>
        <v>16291.788187919459</v>
      </c>
      <c r="D229" s="367">
        <f>+Données!AP229</f>
        <v>13.294730510180772</v>
      </c>
      <c r="E229" s="292">
        <f>VPI!Q229</f>
        <v>74.5</v>
      </c>
      <c r="F229" s="162">
        <f t="shared" si="12"/>
        <v>61.20526948981923</v>
      </c>
      <c r="G229" s="655">
        <f>Effort!I229+Aide!I229/Taux!C229+Effort!K229/Taux!C229</f>
        <v>5.0902950555050488</v>
      </c>
      <c r="H229" s="80">
        <f t="shared" si="13"/>
        <v>66.295564545324282</v>
      </c>
      <c r="I229" s="149">
        <f t="shared" si="14"/>
        <v>0</v>
      </c>
      <c r="J229" s="658">
        <f t="shared" si="15"/>
        <v>0</v>
      </c>
      <c r="L229" s="9"/>
      <c r="M229" s="10"/>
      <c r="R229" s="10"/>
    </row>
    <row r="230" spans="1:18" x14ac:dyDescent="0.25">
      <c r="A230" s="37">
        <f>Données!A230</f>
        <v>5792</v>
      </c>
      <c r="B230" s="137" t="str">
        <f>Données!B230</f>
        <v>Montpreveyres</v>
      </c>
      <c r="C230" s="247">
        <f>VPI!R230</f>
        <v>20010.357852348992</v>
      </c>
      <c r="D230" s="367">
        <f>+Données!AP230</f>
        <v>12.980828507685963</v>
      </c>
      <c r="E230" s="292">
        <f>VPI!Q230</f>
        <v>74.5</v>
      </c>
      <c r="F230" s="162">
        <f t="shared" si="12"/>
        <v>61.519171492314037</v>
      </c>
      <c r="G230" s="655">
        <f>Effort!I230+Aide!I230/Taux!C230+Effort!K230/Taux!C230</f>
        <v>2.2827796996864507</v>
      </c>
      <c r="H230" s="80">
        <f t="shared" si="13"/>
        <v>63.801951192000487</v>
      </c>
      <c r="I230" s="149">
        <f t="shared" si="14"/>
        <v>0</v>
      </c>
      <c r="J230" s="658">
        <f t="shared" si="15"/>
        <v>0</v>
      </c>
      <c r="L230" s="9"/>
      <c r="M230" s="10"/>
      <c r="R230" s="10"/>
    </row>
    <row r="231" spans="1:18" x14ac:dyDescent="0.25">
      <c r="A231" s="37">
        <f>Données!A231</f>
        <v>5798</v>
      </c>
      <c r="B231" s="137" t="str">
        <f>Données!B231</f>
        <v>Ropraz</v>
      </c>
      <c r="C231" s="247">
        <f>VPI!R231</f>
        <v>15645.960516129035</v>
      </c>
      <c r="D231" s="367">
        <f>+Données!AP231</f>
        <v>10.967875645002124</v>
      </c>
      <c r="E231" s="292">
        <f>VPI!Q231</f>
        <v>77.5</v>
      </c>
      <c r="F231" s="162">
        <f t="shared" si="12"/>
        <v>66.532124354997876</v>
      </c>
      <c r="G231" s="655">
        <f>Effort!I231+Aide!I231/Taux!C231+Effort!K231/Taux!C231</f>
        <v>7.1514914524292195</v>
      </c>
      <c r="H231" s="80">
        <f t="shared" si="13"/>
        <v>73.683615807427088</v>
      </c>
      <c r="I231" s="149">
        <f t="shared" si="14"/>
        <v>0</v>
      </c>
      <c r="J231" s="658">
        <f t="shared" si="15"/>
        <v>0</v>
      </c>
      <c r="L231" s="9"/>
      <c r="M231" s="10"/>
      <c r="R231" s="10"/>
    </row>
    <row r="232" spans="1:18" x14ac:dyDescent="0.25">
      <c r="A232" s="37">
        <f>Données!A232</f>
        <v>5799</v>
      </c>
      <c r="B232" s="137" t="str">
        <f>Données!B232</f>
        <v>Servion</v>
      </c>
      <c r="C232" s="247">
        <f>VPI!R232</f>
        <v>79870.61985507248</v>
      </c>
      <c r="D232" s="367">
        <f>+Données!AP232</f>
        <v>16.570478375142319</v>
      </c>
      <c r="E232" s="292">
        <f>VPI!Q232</f>
        <v>69</v>
      </c>
      <c r="F232" s="162">
        <f t="shared" si="12"/>
        <v>52.429521624857685</v>
      </c>
      <c r="G232" s="655">
        <f>Effort!I232+Aide!I232/Taux!C232+Effort!K232/Taux!C232</f>
        <v>12.970051846694508</v>
      </c>
      <c r="H232" s="80">
        <f t="shared" si="13"/>
        <v>65.399573471552188</v>
      </c>
      <c r="I232" s="149">
        <f t="shared" si="14"/>
        <v>0</v>
      </c>
      <c r="J232" s="658">
        <f t="shared" si="15"/>
        <v>0</v>
      </c>
      <c r="L232" s="9"/>
      <c r="M232" s="10"/>
      <c r="R232" s="10"/>
    </row>
    <row r="233" spans="1:18" x14ac:dyDescent="0.25">
      <c r="A233" s="37">
        <f>Données!A233</f>
        <v>5803</v>
      </c>
      <c r="B233" s="137" t="str">
        <f>Données!B233</f>
        <v>Vulliens</v>
      </c>
      <c r="C233" s="247">
        <f>VPI!R233</f>
        <v>18493.730135135131</v>
      </c>
      <c r="D233" s="367">
        <f>+Données!AP233</f>
        <v>10.301614942003207</v>
      </c>
      <c r="E233" s="292">
        <f>VPI!Q233</f>
        <v>74</v>
      </c>
      <c r="F233" s="162">
        <f t="shared" si="12"/>
        <v>63.698385057996795</v>
      </c>
      <c r="G233" s="655">
        <f>Effort!I233+Aide!I233/Taux!C233+Effort!K233/Taux!C233</f>
        <v>-16.962671067520713</v>
      </c>
      <c r="H233" s="80">
        <f t="shared" si="13"/>
        <v>46.735713990476086</v>
      </c>
      <c r="I233" s="149">
        <f t="shared" si="14"/>
        <v>0</v>
      </c>
      <c r="J233" s="658">
        <f t="shared" si="15"/>
        <v>0</v>
      </c>
      <c r="L233" s="9"/>
      <c r="M233" s="10"/>
      <c r="R233" s="10"/>
    </row>
    <row r="234" spans="1:18" x14ac:dyDescent="0.25">
      <c r="A234" s="37">
        <f>Données!A234</f>
        <v>5804</v>
      </c>
      <c r="B234" s="137" t="str">
        <f>Données!B234</f>
        <v>Jorat-Menthue</v>
      </c>
      <c r="C234" s="247">
        <f>VPI!R234</f>
        <v>48159.833333333336</v>
      </c>
      <c r="D234" s="367">
        <f>+Données!AP234</f>
        <v>12.580404989581655</v>
      </c>
      <c r="E234" s="292">
        <f>VPI!Q234</f>
        <v>70.5</v>
      </c>
      <c r="F234" s="162">
        <f t="shared" si="12"/>
        <v>57.919595010418348</v>
      </c>
      <c r="G234" s="655">
        <f>Effort!I234+Aide!I234/Taux!C234+Effort!K234/Taux!C234</f>
        <v>0.56021441946866801</v>
      </c>
      <c r="H234" s="80">
        <f t="shared" si="13"/>
        <v>58.479809429887013</v>
      </c>
      <c r="I234" s="149">
        <f t="shared" si="14"/>
        <v>0</v>
      </c>
      <c r="J234" s="658">
        <f t="shared" si="15"/>
        <v>0</v>
      </c>
      <c r="L234" s="9"/>
      <c r="M234" s="10"/>
      <c r="R234" s="10"/>
    </row>
    <row r="235" spans="1:18" x14ac:dyDescent="0.25">
      <c r="A235" s="37">
        <f>Données!A235</f>
        <v>5805</v>
      </c>
      <c r="B235" s="137" t="str">
        <f>Données!B235</f>
        <v>Oron</v>
      </c>
      <c r="C235" s="247">
        <f>VPI!R235</f>
        <v>189171.20249011857</v>
      </c>
      <c r="D235" s="367">
        <f>+Données!AP235</f>
        <v>2.0869631590494606</v>
      </c>
      <c r="E235" s="292">
        <f>VPI!Q235</f>
        <v>69</v>
      </c>
      <c r="F235" s="162">
        <f t="shared" si="12"/>
        <v>66.913036840950539</v>
      </c>
      <c r="G235" s="655">
        <f>Effort!I235+Aide!I235/Taux!C235+Effort!K235/Taux!C235</f>
        <v>-2.348776662225788</v>
      </c>
      <c r="H235" s="80">
        <f t="shared" si="13"/>
        <v>64.564260178724751</v>
      </c>
      <c r="I235" s="149">
        <f t="shared" si="14"/>
        <v>0</v>
      </c>
      <c r="J235" s="658">
        <f t="shared" si="15"/>
        <v>0</v>
      </c>
      <c r="L235" s="9"/>
      <c r="M235" s="10"/>
      <c r="R235" s="10"/>
    </row>
    <row r="236" spans="1:18" x14ac:dyDescent="0.25">
      <c r="A236" s="37">
        <f>Données!A236</f>
        <v>5806</v>
      </c>
      <c r="B236" s="137" t="str">
        <f>Données!B236</f>
        <v>Jorat-Mézières</v>
      </c>
      <c r="C236" s="247">
        <f>VPI!R236</f>
        <v>101965.39633802818</v>
      </c>
      <c r="D236" s="367">
        <f>+Données!AP236</f>
        <v>8.3808726298712379</v>
      </c>
      <c r="E236" s="292">
        <f>VPI!Q236</f>
        <v>71</v>
      </c>
      <c r="F236" s="162">
        <f t="shared" si="12"/>
        <v>62.619127370128766</v>
      </c>
      <c r="G236" s="655">
        <f>Effort!I236+Aide!I236/Taux!C236+Effort!K236/Taux!C236</f>
        <v>6.1441975890917053</v>
      </c>
      <c r="H236" s="80">
        <f t="shared" si="13"/>
        <v>68.763324959220469</v>
      </c>
      <c r="I236" s="149">
        <f t="shared" si="14"/>
        <v>0</v>
      </c>
      <c r="J236" s="658">
        <f t="shared" si="15"/>
        <v>0</v>
      </c>
      <c r="L236" s="9"/>
      <c r="M236" s="10"/>
      <c r="R236" s="10"/>
    </row>
    <row r="237" spans="1:18" x14ac:dyDescent="0.25">
      <c r="A237" s="37">
        <f>Données!A237</f>
        <v>5812</v>
      </c>
      <c r="B237" s="137" t="str">
        <f>Données!B237</f>
        <v>Champtauroz</v>
      </c>
      <c r="C237" s="247">
        <f>VPI!R237</f>
        <v>3968.7312987012979</v>
      </c>
      <c r="D237" s="367">
        <f>+Données!AP237</f>
        <v>-14.334172809513619</v>
      </c>
      <c r="E237" s="292">
        <f>VPI!Q237</f>
        <v>77</v>
      </c>
      <c r="F237" s="162">
        <f t="shared" si="12"/>
        <v>91.334172809513618</v>
      </c>
      <c r="G237" s="655">
        <f>Effort!I237+Aide!I237/Taux!C237+Effort!K237/Taux!C237</f>
        <v>-13.075558719726136</v>
      </c>
      <c r="H237" s="80">
        <f t="shared" si="13"/>
        <v>78.258614089787486</v>
      </c>
      <c r="I237" s="149">
        <f t="shared" si="14"/>
        <v>0</v>
      </c>
      <c r="J237" s="658">
        <f t="shared" si="15"/>
        <v>0</v>
      </c>
      <c r="L237" s="9"/>
      <c r="M237" s="10"/>
      <c r="R237" s="10"/>
    </row>
    <row r="238" spans="1:18" x14ac:dyDescent="0.25">
      <c r="A238" s="37">
        <f>Données!A238</f>
        <v>5813</v>
      </c>
      <c r="B238" s="137" t="str">
        <f>Données!B238</f>
        <v>Chevroux</v>
      </c>
      <c r="C238" s="247">
        <f>VPI!R238</f>
        <v>19281.459294403892</v>
      </c>
      <c r="D238" s="367">
        <f>+Données!AP238</f>
        <v>20.663287908334233</v>
      </c>
      <c r="E238" s="292">
        <f>VPI!Q238</f>
        <v>68.5</v>
      </c>
      <c r="F238" s="162">
        <f t="shared" si="12"/>
        <v>47.836712091665767</v>
      </c>
      <c r="G238" s="655">
        <f>Effort!I238+Aide!I238/Taux!C238+Effort!K238/Taux!C238</f>
        <v>13.981225256267514</v>
      </c>
      <c r="H238" s="80">
        <f t="shared" si="13"/>
        <v>61.817937347933281</v>
      </c>
      <c r="I238" s="149">
        <f t="shared" si="14"/>
        <v>0</v>
      </c>
      <c r="J238" s="658">
        <f t="shared" si="15"/>
        <v>0</v>
      </c>
      <c r="L238" s="9"/>
      <c r="M238" s="10"/>
      <c r="R238" s="10"/>
    </row>
    <row r="239" spans="1:18" x14ac:dyDescent="0.25">
      <c r="A239" s="37">
        <f>Données!A239</f>
        <v>5816</v>
      </c>
      <c r="B239" s="137" t="str">
        <f>Données!B239</f>
        <v>Corcelles-près-Payerne</v>
      </c>
      <c r="C239" s="247">
        <f>VPI!R239</f>
        <v>73731.873296703299</v>
      </c>
      <c r="D239" s="367">
        <f>+Données!AP239</f>
        <v>1.2114414051574718</v>
      </c>
      <c r="E239" s="292">
        <f>VPI!Q239</f>
        <v>65</v>
      </c>
      <c r="F239" s="162">
        <f t="shared" si="12"/>
        <v>63.788558594842527</v>
      </c>
      <c r="G239" s="655">
        <f>Effort!I239+Aide!I239/Taux!C239+Effort!K239/Taux!C239</f>
        <v>-4.2220685664809849</v>
      </c>
      <c r="H239" s="80">
        <f t="shared" si="13"/>
        <v>59.566490028361542</v>
      </c>
      <c r="I239" s="149">
        <f t="shared" si="14"/>
        <v>0</v>
      </c>
      <c r="J239" s="658">
        <f t="shared" si="15"/>
        <v>0</v>
      </c>
      <c r="L239" s="9"/>
      <c r="M239" s="10"/>
      <c r="R239" s="10"/>
    </row>
    <row r="240" spans="1:18" x14ac:dyDescent="0.25">
      <c r="A240" s="37">
        <f>Données!A240</f>
        <v>5817</v>
      </c>
      <c r="B240" s="137" t="str">
        <f>Données!B240</f>
        <v>Grandcour</v>
      </c>
      <c r="C240" s="247">
        <f>VPI!R240</f>
        <v>27223.795694444449</v>
      </c>
      <c r="D240" s="367">
        <f>+Données!AP240</f>
        <v>4.1422236293458141</v>
      </c>
      <c r="E240" s="292">
        <f>VPI!Q240</f>
        <v>72</v>
      </c>
      <c r="F240" s="162">
        <f t="shared" si="12"/>
        <v>67.857776370654193</v>
      </c>
      <c r="G240" s="655">
        <f>Effort!I240+Aide!I240/Taux!C240+Effort!K240/Taux!C240</f>
        <v>3.0070829004594977</v>
      </c>
      <c r="H240" s="80">
        <f t="shared" si="13"/>
        <v>70.864859271113687</v>
      </c>
      <c r="I240" s="149">
        <f t="shared" si="14"/>
        <v>0</v>
      </c>
      <c r="J240" s="658">
        <f t="shared" si="15"/>
        <v>0</v>
      </c>
      <c r="L240" s="9"/>
      <c r="M240" s="10"/>
      <c r="R240" s="10"/>
    </row>
    <row r="241" spans="1:18" x14ac:dyDescent="0.25">
      <c r="A241" s="37">
        <f>Données!A241</f>
        <v>5819</v>
      </c>
      <c r="B241" s="137" t="str">
        <f>Données!B241</f>
        <v>Henniez</v>
      </c>
      <c r="C241" s="247">
        <f>VPI!R241</f>
        <v>14881.811884057974</v>
      </c>
      <c r="D241" s="367">
        <f>+Données!AP241</f>
        <v>22.563513141044268</v>
      </c>
      <c r="E241" s="292">
        <f>VPI!Q241</f>
        <v>69</v>
      </c>
      <c r="F241" s="162">
        <f t="shared" si="12"/>
        <v>46.436486858955732</v>
      </c>
      <c r="G241" s="655">
        <f>Effort!I241+Aide!I241/Taux!C241+Effort!K241/Taux!C241</f>
        <v>10.999975841741207</v>
      </c>
      <c r="H241" s="80">
        <f t="shared" si="13"/>
        <v>57.436462700696936</v>
      </c>
      <c r="I241" s="149">
        <f t="shared" si="14"/>
        <v>0</v>
      </c>
      <c r="J241" s="658">
        <f t="shared" si="15"/>
        <v>0</v>
      </c>
      <c r="L241" s="9"/>
      <c r="M241" s="10"/>
      <c r="R241" s="10"/>
    </row>
    <row r="242" spans="1:18" x14ac:dyDescent="0.25">
      <c r="A242" s="37">
        <f>Données!A242</f>
        <v>5821</v>
      </c>
      <c r="B242" s="137" t="str">
        <f>Données!B242</f>
        <v>Missy</v>
      </c>
      <c r="C242" s="247">
        <f>VPI!R242</f>
        <v>10384.069710144928</v>
      </c>
      <c r="D242" s="367">
        <f>+Données!AP242</f>
        <v>1.3620765884031929</v>
      </c>
      <c r="E242" s="292">
        <f>VPI!Q242</f>
        <v>69</v>
      </c>
      <c r="F242" s="162">
        <f t="shared" si="12"/>
        <v>67.637923411596802</v>
      </c>
      <c r="G242" s="655">
        <f>Effort!I242+Aide!I242/Taux!C242+Effort!K242/Taux!C242</f>
        <v>9.6111023690710748</v>
      </c>
      <c r="H242" s="80">
        <f t="shared" si="13"/>
        <v>77.249025780667878</v>
      </c>
      <c r="I242" s="149">
        <f t="shared" si="14"/>
        <v>0</v>
      </c>
      <c r="J242" s="658">
        <f t="shared" si="15"/>
        <v>0</v>
      </c>
      <c r="L242" s="9"/>
      <c r="M242" s="10"/>
      <c r="R242" s="10"/>
    </row>
    <row r="243" spans="1:18" x14ac:dyDescent="0.25">
      <c r="A243" s="37">
        <f>Données!A243</f>
        <v>5822</v>
      </c>
      <c r="B243" s="137" t="str">
        <f>Données!B243</f>
        <v>Payerne</v>
      </c>
      <c r="C243" s="247">
        <f>VPI!R243</f>
        <v>250662.19871428571</v>
      </c>
      <c r="D243" s="367">
        <f>+Données!AP243</f>
        <v>-10.535366835254152</v>
      </c>
      <c r="E243" s="292">
        <f>VPI!Q243</f>
        <v>70</v>
      </c>
      <c r="F243" s="162">
        <f t="shared" si="12"/>
        <v>80.535366835254152</v>
      </c>
      <c r="G243" s="655">
        <f>Effort!I243+Aide!I243/Taux!C243+Effort!K243/Taux!C243</f>
        <v>-20.980530786009187</v>
      </c>
      <c r="H243" s="80">
        <f t="shared" si="13"/>
        <v>59.554836049244969</v>
      </c>
      <c r="I243" s="149">
        <f t="shared" si="14"/>
        <v>0</v>
      </c>
      <c r="J243" s="658">
        <f t="shared" si="15"/>
        <v>0</v>
      </c>
      <c r="L243" s="9"/>
      <c r="M243" s="10"/>
      <c r="R243" s="10"/>
    </row>
    <row r="244" spans="1:18" x14ac:dyDescent="0.25">
      <c r="A244" s="37">
        <f>Données!A244</f>
        <v>5827</v>
      </c>
      <c r="B244" s="137" t="str">
        <f>Données!B244</f>
        <v>Trey</v>
      </c>
      <c r="C244" s="247">
        <f>VPI!R244</f>
        <v>8694.454487179486</v>
      </c>
      <c r="D244" s="367">
        <f>+Données!AP244</f>
        <v>0.35301939888776301</v>
      </c>
      <c r="E244" s="292">
        <f>VPI!Q244</f>
        <v>78</v>
      </c>
      <c r="F244" s="162">
        <f t="shared" si="12"/>
        <v>77.646980601112233</v>
      </c>
      <c r="G244" s="655">
        <f>Effort!I244+Aide!I244/Taux!C244+Effort!K244/Taux!C244</f>
        <v>1.8154870834402672</v>
      </c>
      <c r="H244" s="80">
        <f t="shared" si="13"/>
        <v>79.462467684552507</v>
      </c>
      <c r="I244" s="149">
        <f t="shared" si="14"/>
        <v>0</v>
      </c>
      <c r="J244" s="658">
        <f t="shared" si="15"/>
        <v>0</v>
      </c>
      <c r="L244" s="9"/>
      <c r="M244" s="10"/>
      <c r="R244" s="10"/>
    </row>
    <row r="245" spans="1:18" x14ac:dyDescent="0.25">
      <c r="A245" s="37">
        <f>Données!A245</f>
        <v>5828</v>
      </c>
      <c r="B245" s="137" t="str">
        <f>Données!B245</f>
        <v>Treytorrens (Payerne)</v>
      </c>
      <c r="C245" s="247">
        <f>VPI!R245</f>
        <v>2843.8202453987728</v>
      </c>
      <c r="D245" s="367">
        <f>+Données!AP245</f>
        <v>-0.43705460635987947</v>
      </c>
      <c r="E245" s="292">
        <f>VPI!Q245</f>
        <v>81.5</v>
      </c>
      <c r="F245" s="162">
        <f t="shared" si="12"/>
        <v>81.937054606359879</v>
      </c>
      <c r="G245" s="655">
        <f>Effort!I245+Aide!I245/Taux!C245+Effort!K245/Taux!C245</f>
        <v>-10.28123546044144</v>
      </c>
      <c r="H245" s="80">
        <f t="shared" si="13"/>
        <v>71.655819145918443</v>
      </c>
      <c r="I245" s="149">
        <f t="shared" si="14"/>
        <v>0</v>
      </c>
      <c r="J245" s="658">
        <f t="shared" si="15"/>
        <v>0</v>
      </c>
      <c r="L245" s="9"/>
      <c r="M245" s="10"/>
      <c r="R245" s="10"/>
    </row>
    <row r="246" spans="1:18" x14ac:dyDescent="0.25">
      <c r="A246" s="37">
        <f>Données!A246</f>
        <v>5830</v>
      </c>
      <c r="B246" s="137" t="str">
        <f>Données!B246</f>
        <v>Villarzel</v>
      </c>
      <c r="C246" s="247">
        <f>VPI!R246</f>
        <v>15008.365333333331</v>
      </c>
      <c r="D246" s="367">
        <f>+Données!AP246</f>
        <v>1.8194189330857302</v>
      </c>
      <c r="E246" s="292">
        <f>VPI!Q246</f>
        <v>75</v>
      </c>
      <c r="F246" s="162">
        <f t="shared" si="12"/>
        <v>73.180581066914272</v>
      </c>
      <c r="G246" s="655">
        <f>Effort!I246+Aide!I246/Taux!C246+Effort!K246/Taux!C246</f>
        <v>4.2457353648066061</v>
      </c>
      <c r="H246" s="80">
        <f t="shared" si="13"/>
        <v>77.426316431720878</v>
      </c>
      <c r="I246" s="149">
        <f t="shared" si="14"/>
        <v>0</v>
      </c>
      <c r="J246" s="658">
        <f t="shared" si="15"/>
        <v>0</v>
      </c>
      <c r="L246" s="9"/>
      <c r="M246" s="10"/>
      <c r="R246" s="10"/>
    </row>
    <row r="247" spans="1:18" x14ac:dyDescent="0.25">
      <c r="A247" s="37">
        <f>Données!A247</f>
        <v>5831</v>
      </c>
      <c r="B247" s="137" t="str">
        <f>Données!B247</f>
        <v>Valbroye</v>
      </c>
      <c r="C247" s="247">
        <f>VPI!R247</f>
        <v>87116.396643026019</v>
      </c>
      <c r="D247" s="367">
        <f>+Données!AP247</f>
        <v>2.0204597159306825</v>
      </c>
      <c r="E247" s="292">
        <f>VPI!Q247</f>
        <v>70.5</v>
      </c>
      <c r="F247" s="162">
        <f t="shared" si="12"/>
        <v>68.479540284069316</v>
      </c>
      <c r="G247" s="655">
        <f>Effort!I247+Aide!I247/Taux!C247+Effort!K247/Taux!C247</f>
        <v>-9.8749179310519359</v>
      </c>
      <c r="H247" s="80">
        <f t="shared" si="13"/>
        <v>58.604622353017376</v>
      </c>
      <c r="I247" s="149">
        <f t="shared" si="14"/>
        <v>0</v>
      </c>
      <c r="J247" s="658">
        <f t="shared" si="15"/>
        <v>0</v>
      </c>
      <c r="L247" s="9"/>
      <c r="M247" s="10"/>
      <c r="R247" s="10"/>
    </row>
    <row r="248" spans="1:18" x14ac:dyDescent="0.25">
      <c r="A248" s="37">
        <f>Données!A248</f>
        <v>5841</v>
      </c>
      <c r="B248" s="137" t="str">
        <f>Données!B248</f>
        <v>Château-d'Oex</v>
      </c>
      <c r="C248" s="247">
        <f>VPI!R248</f>
        <v>123941.3219631902</v>
      </c>
      <c r="D248" s="367">
        <f>+Données!AP248</f>
        <v>12.176220589880684</v>
      </c>
      <c r="E248" s="292">
        <f>VPI!Q248</f>
        <v>81.5</v>
      </c>
      <c r="F248" s="162">
        <f t="shared" si="12"/>
        <v>69.323779410119315</v>
      </c>
      <c r="G248" s="655">
        <f>Effort!I248+Aide!I248/Taux!C248+Effort!K248/Taux!C248</f>
        <v>-11.172128480563117</v>
      </c>
      <c r="H248" s="80">
        <f t="shared" si="13"/>
        <v>58.151650929556197</v>
      </c>
      <c r="I248" s="149">
        <f t="shared" si="14"/>
        <v>0</v>
      </c>
      <c r="J248" s="658">
        <f t="shared" si="15"/>
        <v>0</v>
      </c>
      <c r="L248" s="9"/>
      <c r="M248" s="10"/>
      <c r="R248" s="10"/>
    </row>
    <row r="249" spans="1:18" x14ac:dyDescent="0.25">
      <c r="A249" s="37">
        <f>Données!A249</f>
        <v>5842</v>
      </c>
      <c r="B249" s="137" t="str">
        <f>Données!B249</f>
        <v>Rossinière</v>
      </c>
      <c r="C249" s="247">
        <f>VPI!R249</f>
        <v>15883.310411522634</v>
      </c>
      <c r="D249" s="367">
        <f>+Données!AP249</f>
        <v>18.68963073946497</v>
      </c>
      <c r="E249" s="292">
        <f>VPI!Q249</f>
        <v>81</v>
      </c>
      <c r="F249" s="162">
        <f t="shared" si="12"/>
        <v>62.310369260535026</v>
      </c>
      <c r="G249" s="655">
        <f>Effort!I249+Aide!I249/Taux!C249+Effort!K249/Taux!C249</f>
        <v>-16.805863752245084</v>
      </c>
      <c r="H249" s="80">
        <f t="shared" si="13"/>
        <v>45.504505508289938</v>
      </c>
      <c r="I249" s="149">
        <f t="shared" si="14"/>
        <v>0</v>
      </c>
      <c r="J249" s="658">
        <f t="shared" si="15"/>
        <v>0</v>
      </c>
      <c r="L249" s="9"/>
      <c r="M249" s="10"/>
      <c r="R249" s="10"/>
    </row>
    <row r="250" spans="1:18" x14ac:dyDescent="0.25">
      <c r="A250" s="37">
        <f>Données!A250</f>
        <v>5843</v>
      </c>
      <c r="B250" s="137" t="str">
        <f>Données!B250</f>
        <v>Rougemont</v>
      </c>
      <c r="C250" s="247">
        <f>VPI!R250</f>
        <v>87174.419831223626</v>
      </c>
      <c r="D250" s="367">
        <f>+Données!AP250</f>
        <v>45.60986187899546</v>
      </c>
      <c r="E250" s="292">
        <f>VPI!Q250</f>
        <v>79</v>
      </c>
      <c r="F250" s="162">
        <f t="shared" si="12"/>
        <v>33.39013812100454</v>
      </c>
      <c r="G250" s="655">
        <f>Effort!I250+Aide!I250/Taux!C250+Effort!K250/Taux!C250</f>
        <v>41.64033279524547</v>
      </c>
      <c r="H250" s="80">
        <f t="shared" si="13"/>
        <v>75.03047091625001</v>
      </c>
      <c r="I250" s="149">
        <f t="shared" si="14"/>
        <v>0</v>
      </c>
      <c r="J250" s="658">
        <f t="shared" si="15"/>
        <v>0</v>
      </c>
      <c r="L250" s="9"/>
      <c r="M250" s="10"/>
      <c r="R250" s="10"/>
    </row>
    <row r="251" spans="1:18" x14ac:dyDescent="0.25">
      <c r="A251" s="37">
        <f>Données!A251</f>
        <v>5851</v>
      </c>
      <c r="B251" s="137" t="str">
        <f>Données!B251</f>
        <v>Allaman</v>
      </c>
      <c r="C251" s="247">
        <f>VPI!R251</f>
        <v>27728.701333333334</v>
      </c>
      <c r="D251" s="367">
        <f>+Données!AP251</f>
        <v>28.654198139255936</v>
      </c>
      <c r="E251" s="292">
        <f>VPI!Q251</f>
        <v>65</v>
      </c>
      <c r="F251" s="162">
        <f t="shared" si="12"/>
        <v>36.345801860744061</v>
      </c>
      <c r="G251" s="655">
        <f>Effort!I251+Aide!I251/Taux!C251+Effort!K251/Taux!C251</f>
        <v>31.984358327412735</v>
      </c>
      <c r="H251" s="80">
        <f t="shared" si="13"/>
        <v>68.330160188156796</v>
      </c>
      <c r="I251" s="149">
        <f t="shared" si="14"/>
        <v>0</v>
      </c>
      <c r="J251" s="658">
        <f t="shared" si="15"/>
        <v>0</v>
      </c>
      <c r="L251" s="9"/>
      <c r="M251" s="10"/>
      <c r="R251" s="10"/>
    </row>
    <row r="252" spans="1:18" x14ac:dyDescent="0.25">
      <c r="A252" s="37">
        <f>Données!A252</f>
        <v>5852</v>
      </c>
      <c r="B252" s="137" t="str">
        <f>Données!B252</f>
        <v>Bursinel</v>
      </c>
      <c r="C252" s="247">
        <f>VPI!R252</f>
        <v>42943.776182795707</v>
      </c>
      <c r="D252" s="367">
        <f>+Données!AP252</f>
        <v>33.514492584367609</v>
      </c>
      <c r="E252" s="292">
        <f>VPI!Q252</f>
        <v>62</v>
      </c>
      <c r="F252" s="162">
        <f t="shared" si="12"/>
        <v>28.485507415632391</v>
      </c>
      <c r="G252" s="655">
        <f>Effort!I252+Aide!I252/Taux!C252+Effort!K252/Taux!C252</f>
        <v>35.852239950251899</v>
      </c>
      <c r="H252" s="80">
        <f t="shared" si="13"/>
        <v>64.337747365884297</v>
      </c>
      <c r="I252" s="149">
        <f t="shared" si="14"/>
        <v>0</v>
      </c>
      <c r="J252" s="658">
        <f t="shared" si="15"/>
        <v>0</v>
      </c>
      <c r="L252" s="9"/>
      <c r="M252" s="10"/>
      <c r="R252" s="10"/>
    </row>
    <row r="253" spans="1:18" x14ac:dyDescent="0.25">
      <c r="A253" s="37">
        <f>Données!A253</f>
        <v>5853</v>
      </c>
      <c r="B253" s="137" t="str">
        <f>Données!B253</f>
        <v>Bursins</v>
      </c>
      <c r="C253" s="247">
        <f>VPI!R253</f>
        <v>44996.737042253524</v>
      </c>
      <c r="D253" s="367">
        <f>+Données!AP253</f>
        <v>29.793746885469741</v>
      </c>
      <c r="E253" s="292">
        <f>VPI!Q253</f>
        <v>71</v>
      </c>
      <c r="F253" s="162">
        <f t="shared" si="12"/>
        <v>41.206253114530256</v>
      </c>
      <c r="G253" s="655">
        <f>Effort!I253+Aide!I253/Taux!C253+Effort!K253/Taux!C253</f>
        <v>28.828972526763735</v>
      </c>
      <c r="H253" s="80">
        <f t="shared" si="13"/>
        <v>70.035225641293991</v>
      </c>
      <c r="I253" s="149">
        <f t="shared" si="14"/>
        <v>0</v>
      </c>
      <c r="J253" s="658">
        <f t="shared" si="15"/>
        <v>0</v>
      </c>
      <c r="L253" s="9"/>
      <c r="M253" s="10"/>
      <c r="R253" s="10"/>
    </row>
    <row r="254" spans="1:18" x14ac:dyDescent="0.25">
      <c r="A254" s="37">
        <f>Données!A254</f>
        <v>5854</v>
      </c>
      <c r="B254" s="137" t="str">
        <f>Données!B254</f>
        <v>Burtigny</v>
      </c>
      <c r="C254" s="247">
        <f>VPI!R254</f>
        <v>16635.489777777777</v>
      </c>
      <c r="D254" s="367">
        <f>+Données!AP254</f>
        <v>22.674597737051663</v>
      </c>
      <c r="E254" s="292">
        <f>VPI!Q254</f>
        <v>75</v>
      </c>
      <c r="F254" s="162">
        <f t="shared" si="12"/>
        <v>52.325402262948337</v>
      </c>
      <c r="G254" s="655">
        <f>Effort!I254+Aide!I254/Taux!C254+Effort!K254/Taux!C254</f>
        <v>22.599031460518368</v>
      </c>
      <c r="H254" s="80">
        <f t="shared" si="13"/>
        <v>74.924433723466706</v>
      </c>
      <c r="I254" s="149">
        <f t="shared" si="14"/>
        <v>0</v>
      </c>
      <c r="J254" s="658">
        <f t="shared" si="15"/>
        <v>0</v>
      </c>
      <c r="L254" s="9"/>
      <c r="M254" s="10"/>
      <c r="R254" s="10"/>
    </row>
    <row r="255" spans="1:18" x14ac:dyDescent="0.25">
      <c r="A255" s="37">
        <f>Données!A255</f>
        <v>5855</v>
      </c>
      <c r="B255" s="137" t="str">
        <f>Données!B255</f>
        <v>Dully</v>
      </c>
      <c r="C255" s="247">
        <f>VPI!R255</f>
        <v>98996.558301886791</v>
      </c>
      <c r="D255" s="367">
        <f>+Données!AP255</f>
        <v>42.479337309579648</v>
      </c>
      <c r="E255" s="292">
        <f>VPI!Q255</f>
        <v>53</v>
      </c>
      <c r="F255" s="162">
        <f t="shared" si="12"/>
        <v>10.520662690420352</v>
      </c>
      <c r="G255" s="655">
        <f>Effort!I255+Aide!I255/Taux!C255+Effort!K255/Taux!C255</f>
        <v>45.460330034390473</v>
      </c>
      <c r="H255" s="80">
        <f t="shared" si="13"/>
        <v>55.980992724810825</v>
      </c>
      <c r="I255" s="149">
        <f t="shared" si="14"/>
        <v>0</v>
      </c>
      <c r="J255" s="658">
        <f t="shared" si="15"/>
        <v>0</v>
      </c>
      <c r="L255" s="9"/>
      <c r="M255" s="10"/>
      <c r="R255" s="10"/>
    </row>
    <row r="256" spans="1:18" x14ac:dyDescent="0.25">
      <c r="A256" s="37">
        <f>Données!A256</f>
        <v>5856</v>
      </c>
      <c r="B256" s="137" t="str">
        <f>Données!B256</f>
        <v>Essertines-sur-Rolle</v>
      </c>
      <c r="C256" s="247">
        <f>VPI!R256</f>
        <v>36628.421873915555</v>
      </c>
      <c r="D256" s="367">
        <f>+Données!AP256</f>
        <v>28.94690425984232</v>
      </c>
      <c r="E256" s="292">
        <f>VPI!Q256</f>
        <v>66.5</v>
      </c>
      <c r="F256" s="162">
        <f t="shared" si="12"/>
        <v>37.55309574015768</v>
      </c>
      <c r="G256" s="655">
        <f>Effort!I256+Aide!I256/Taux!C256+Effort!K256/Taux!C256</f>
        <v>26.450168016354027</v>
      </c>
      <c r="H256" s="80">
        <f t="shared" si="13"/>
        <v>64.0032637565117</v>
      </c>
      <c r="I256" s="149">
        <f t="shared" si="14"/>
        <v>0</v>
      </c>
      <c r="J256" s="658">
        <f t="shared" si="15"/>
        <v>0</v>
      </c>
      <c r="L256" s="9"/>
      <c r="M256" s="10"/>
      <c r="R256" s="10"/>
    </row>
    <row r="257" spans="1:18" x14ac:dyDescent="0.25">
      <c r="A257" s="37">
        <f>Données!A257</f>
        <v>5857</v>
      </c>
      <c r="B257" s="137" t="str">
        <f>Données!B257</f>
        <v>Gilly</v>
      </c>
      <c r="C257" s="247">
        <f>VPI!R257</f>
        <v>96678.753643410862</v>
      </c>
      <c r="D257" s="367">
        <f>+Données!AP257</f>
        <v>30.63817110441822</v>
      </c>
      <c r="E257" s="292">
        <f>VPI!Q257</f>
        <v>64.5</v>
      </c>
      <c r="F257" s="162">
        <f t="shared" si="12"/>
        <v>33.86182889558178</v>
      </c>
      <c r="G257" s="655">
        <f>Effort!I257+Aide!I257/Taux!C257+Effort!K257/Taux!C257</f>
        <v>31.568223668616767</v>
      </c>
      <c r="H257" s="80">
        <f t="shared" si="13"/>
        <v>65.430052564198547</v>
      </c>
      <c r="I257" s="149">
        <f t="shared" si="14"/>
        <v>0</v>
      </c>
      <c r="J257" s="658">
        <f t="shared" si="15"/>
        <v>0</v>
      </c>
      <c r="L257" s="9"/>
      <c r="M257" s="10"/>
      <c r="R257" s="10"/>
    </row>
    <row r="258" spans="1:18" x14ac:dyDescent="0.25">
      <c r="A258" s="37">
        <f>Données!A258</f>
        <v>5858</v>
      </c>
      <c r="B258" s="137" t="str">
        <f>Données!B258</f>
        <v>Luins</v>
      </c>
      <c r="C258" s="247">
        <f>VPI!R258</f>
        <v>41203.097378917373</v>
      </c>
      <c r="D258" s="367">
        <f>+Données!AP258</f>
        <v>29.519886591965694</v>
      </c>
      <c r="E258" s="292">
        <f>VPI!Q258</f>
        <v>58.5</v>
      </c>
      <c r="F258" s="162">
        <f t="shared" si="12"/>
        <v>28.980113408034306</v>
      </c>
      <c r="G258" s="655">
        <f>Effort!I258+Aide!I258/Taux!C258+Effort!K258/Taux!C258</f>
        <v>31.696643603092387</v>
      </c>
      <c r="H258" s="80">
        <f t="shared" si="13"/>
        <v>60.676757011126696</v>
      </c>
      <c r="I258" s="149">
        <f t="shared" si="14"/>
        <v>0</v>
      </c>
      <c r="J258" s="658">
        <f t="shared" si="15"/>
        <v>0</v>
      </c>
      <c r="L258" s="9"/>
      <c r="M258" s="10"/>
      <c r="R258" s="10"/>
    </row>
    <row r="259" spans="1:18" x14ac:dyDescent="0.25">
      <c r="A259" s="37">
        <f>Données!A259</f>
        <v>5859</v>
      </c>
      <c r="B259" s="137" t="str">
        <f>Données!B259</f>
        <v>Mont-sur-Rolle</v>
      </c>
      <c r="C259" s="247">
        <f>VPI!R259</f>
        <v>175152.20519685047</v>
      </c>
      <c r="D259" s="367">
        <f>+Données!AP259</f>
        <v>30.343150037512693</v>
      </c>
      <c r="E259" s="292">
        <f>VPI!Q259</f>
        <v>63.5</v>
      </c>
      <c r="F259" s="162">
        <f t="shared" si="12"/>
        <v>33.156849962487307</v>
      </c>
      <c r="G259" s="655">
        <f>Effort!I259+Aide!I259/Taux!C259+Effort!K259/Taux!C259</f>
        <v>29.30180025740874</v>
      </c>
      <c r="H259" s="80">
        <f t="shared" si="13"/>
        <v>62.458650219896043</v>
      </c>
      <c r="I259" s="149">
        <f t="shared" si="14"/>
        <v>0</v>
      </c>
      <c r="J259" s="658">
        <f t="shared" si="15"/>
        <v>0</v>
      </c>
      <c r="L259" s="9"/>
      <c r="M259" s="10"/>
      <c r="R259" s="10"/>
    </row>
    <row r="260" spans="1:18" x14ac:dyDescent="0.25">
      <c r="A260" s="37">
        <f>Données!A260</f>
        <v>5860</v>
      </c>
      <c r="B260" s="137" t="str">
        <f>Données!B260</f>
        <v>Perroy</v>
      </c>
      <c r="C260" s="247">
        <f>VPI!R260</f>
        <v>114833.15061143985</v>
      </c>
      <c r="D260" s="367">
        <f>+Données!AP260</f>
        <v>32.385568958778187</v>
      </c>
      <c r="E260" s="292">
        <f>VPI!Q260</f>
        <v>58.5</v>
      </c>
      <c r="F260" s="162">
        <f t="shared" si="12"/>
        <v>26.114431041221813</v>
      </c>
      <c r="G260" s="655">
        <f>Effort!I260+Aide!I260/Taux!C260+Effort!K260/Taux!C260</f>
        <v>32.214133813757996</v>
      </c>
      <c r="H260" s="80">
        <f t="shared" si="13"/>
        <v>58.32856485497981</v>
      </c>
      <c r="I260" s="149">
        <f t="shared" si="14"/>
        <v>0</v>
      </c>
      <c r="J260" s="658">
        <f t="shared" si="15"/>
        <v>0</v>
      </c>
      <c r="L260" s="9"/>
      <c r="M260" s="10"/>
      <c r="R260" s="10"/>
    </row>
    <row r="261" spans="1:18" x14ac:dyDescent="0.25">
      <c r="A261" s="37">
        <f>Données!A261</f>
        <v>5861</v>
      </c>
      <c r="B261" s="137" t="str">
        <f>Données!B261</f>
        <v>Rolle</v>
      </c>
      <c r="C261" s="247">
        <f>VPI!R261</f>
        <v>1001631.7391596638</v>
      </c>
      <c r="D261" s="367">
        <f>+Données!AP261</f>
        <v>45.613755831086095</v>
      </c>
      <c r="E261" s="292">
        <f>VPI!Q261</f>
        <v>59.5</v>
      </c>
      <c r="F261" s="162">
        <f t="shared" si="12"/>
        <v>13.886244168913905</v>
      </c>
      <c r="G261" s="655">
        <f>Effort!I261+Aide!I261/Taux!C261+Effort!K261/Taux!C261</f>
        <v>44.625229340723287</v>
      </c>
      <c r="H261" s="80">
        <f t="shared" si="13"/>
        <v>58.511473509637192</v>
      </c>
      <c r="I261" s="149">
        <f t="shared" si="14"/>
        <v>0</v>
      </c>
      <c r="J261" s="658">
        <f t="shared" si="15"/>
        <v>0</v>
      </c>
      <c r="L261" s="9"/>
      <c r="M261" s="10"/>
      <c r="R261" s="10"/>
    </row>
    <row r="262" spans="1:18" x14ac:dyDescent="0.25">
      <c r="A262" s="37">
        <f>Données!A262</f>
        <v>5862</v>
      </c>
      <c r="B262" s="137" t="str">
        <f>Données!B262</f>
        <v>Tartegnin</v>
      </c>
      <c r="C262" s="247">
        <f>VPI!R262</f>
        <v>12378.270379746835</v>
      </c>
      <c r="D262" s="367">
        <f>+Données!AP262</f>
        <v>25.763741464949128</v>
      </c>
      <c r="E262" s="292">
        <f>VPI!Q262</f>
        <v>79</v>
      </c>
      <c r="F262" s="162">
        <f t="shared" si="12"/>
        <v>53.236258535050872</v>
      </c>
      <c r="G262" s="655">
        <f>Effort!I262+Aide!I262/Taux!C262+Effort!K262/Taux!C262</f>
        <v>28.727431079815315</v>
      </c>
      <c r="H262" s="80">
        <f t="shared" si="13"/>
        <v>81.963689614866183</v>
      </c>
      <c r="I262" s="149">
        <f t="shared" si="14"/>
        <v>0</v>
      </c>
      <c r="J262" s="658">
        <f t="shared" si="15"/>
        <v>0</v>
      </c>
      <c r="L262" s="9"/>
      <c r="M262" s="10"/>
      <c r="R262" s="10"/>
    </row>
    <row r="263" spans="1:18" x14ac:dyDescent="0.25">
      <c r="A263" s="37">
        <f>Données!A263</f>
        <v>5863</v>
      </c>
      <c r="B263" s="137" t="str">
        <f>Données!B263</f>
        <v>Vinzel</v>
      </c>
      <c r="C263" s="247">
        <f>VPI!R263</f>
        <v>20119.523999999998</v>
      </c>
      <c r="D263" s="367">
        <f>+Données!AP263</f>
        <v>30.718581988708877</v>
      </c>
      <c r="E263" s="292">
        <f>VPI!Q263</f>
        <v>65</v>
      </c>
      <c r="F263" s="162">
        <f t="shared" ref="F263:F305" si="16">E263-D263</f>
        <v>34.281418011291123</v>
      </c>
      <c r="G263" s="655">
        <f>Effort!I263+Aide!I263/Taux!C263+Effort!K263/Taux!C263</f>
        <v>28.611276433349627</v>
      </c>
      <c r="H263" s="80">
        <f t="shared" ref="H263:H305" si="17">F263+G263</f>
        <v>62.892694444640753</v>
      </c>
      <c r="I263" s="149">
        <f t="shared" ref="I263:I305" si="18">IF(H263&gt;$I$5,H263-$I$5,0)</f>
        <v>0</v>
      </c>
      <c r="J263" s="658">
        <f t="shared" ref="J263:J305" si="19">-I263*C263</f>
        <v>0</v>
      </c>
      <c r="L263" s="9"/>
      <c r="M263" s="10"/>
      <c r="R263" s="10"/>
    </row>
    <row r="264" spans="1:18" x14ac:dyDescent="0.25">
      <c r="A264" s="37">
        <f>Données!A264</f>
        <v>5871</v>
      </c>
      <c r="B264" s="137" t="str">
        <f>Données!B264</f>
        <v>L'Abbaye</v>
      </c>
      <c r="C264" s="247">
        <f>VPI!R264</f>
        <v>50137.027069032512</v>
      </c>
      <c r="D264" s="367">
        <f>+Données!AP264</f>
        <v>12.22533550511854</v>
      </c>
      <c r="E264" s="292">
        <f>VPI!Q264</f>
        <v>77.209999999999994</v>
      </c>
      <c r="F264" s="162">
        <f t="shared" si="16"/>
        <v>64.984664494881457</v>
      </c>
      <c r="G264" s="655">
        <f>Effort!I264+Aide!I264/Taux!C264+Effort!K264/Taux!C264</f>
        <v>6.3028089694607523</v>
      </c>
      <c r="H264" s="80">
        <f t="shared" si="17"/>
        <v>71.287473464342213</v>
      </c>
      <c r="I264" s="149">
        <f t="shared" si="18"/>
        <v>0</v>
      </c>
      <c r="J264" s="658">
        <f t="shared" si="19"/>
        <v>0</v>
      </c>
      <c r="L264" s="9"/>
      <c r="M264" s="10"/>
      <c r="R264" s="10"/>
    </row>
    <row r="265" spans="1:18" x14ac:dyDescent="0.25">
      <c r="A265" s="37">
        <f>Données!A265</f>
        <v>5872</v>
      </c>
      <c r="B265" s="137" t="str">
        <f>Données!B265</f>
        <v>Le Chenit</v>
      </c>
      <c r="C265" s="247">
        <f>VPI!R265</f>
        <v>359580.06573194644</v>
      </c>
      <c r="D265" s="367">
        <f>+Données!AP265</f>
        <v>29.574215192051643</v>
      </c>
      <c r="E265" s="292">
        <f>VPI!Q265</f>
        <v>66.33</v>
      </c>
      <c r="F265" s="162">
        <f t="shared" si="16"/>
        <v>36.755784807948359</v>
      </c>
      <c r="G265" s="655">
        <f>Effort!I265+Aide!I265/Taux!C265+Effort!K265/Taux!C265</f>
        <v>30.959546820769269</v>
      </c>
      <c r="H265" s="80">
        <f t="shared" si="17"/>
        <v>67.715331628717621</v>
      </c>
      <c r="I265" s="149">
        <f t="shared" si="18"/>
        <v>0</v>
      </c>
      <c r="J265" s="658">
        <f t="shared" si="19"/>
        <v>0</v>
      </c>
      <c r="L265" s="9"/>
      <c r="M265" s="10"/>
      <c r="R265" s="10"/>
    </row>
    <row r="266" spans="1:18" x14ac:dyDescent="0.25">
      <c r="A266" s="37">
        <f>Données!A266</f>
        <v>5873</v>
      </c>
      <c r="B266" s="137" t="str">
        <f>Données!B266</f>
        <v>Le Lieu</v>
      </c>
      <c r="C266" s="247">
        <f>VPI!R266</f>
        <v>31550.524000000001</v>
      </c>
      <c r="D266" s="367">
        <f>+Données!AP266</f>
        <v>19.149873301566057</v>
      </c>
      <c r="E266" s="292">
        <f>VPI!Q266</f>
        <v>70</v>
      </c>
      <c r="F266" s="162">
        <f t="shared" si="16"/>
        <v>50.85012669843394</v>
      </c>
      <c r="G266" s="655">
        <f>Effort!I266+Aide!I266/Taux!C266+Effort!K266/Taux!C266</f>
        <v>-31.864363716415351</v>
      </c>
      <c r="H266" s="80">
        <f t="shared" si="17"/>
        <v>18.985762982018588</v>
      </c>
      <c r="I266" s="149">
        <f t="shared" si="18"/>
        <v>0</v>
      </c>
      <c r="J266" s="658">
        <f t="shared" si="19"/>
        <v>0</v>
      </c>
      <c r="L266" s="9"/>
      <c r="M266" s="10"/>
      <c r="R266" s="10"/>
    </row>
    <row r="267" spans="1:18" x14ac:dyDescent="0.25">
      <c r="A267" s="37">
        <f>Données!A267</f>
        <v>5882</v>
      </c>
      <c r="B267" s="137" t="str">
        <f>Données!B267</f>
        <v>Chardonne</v>
      </c>
      <c r="C267" s="247">
        <f>VPI!R267</f>
        <v>202050.46544117649</v>
      </c>
      <c r="D267" s="367">
        <f>+Données!AP267</f>
        <v>27.760479864917293</v>
      </c>
      <c r="E267" s="292">
        <f>VPI!Q267</f>
        <v>68</v>
      </c>
      <c r="F267" s="162">
        <f t="shared" si="16"/>
        <v>40.239520135082707</v>
      </c>
      <c r="G267" s="655">
        <f>Effort!I267+Aide!I267/Taux!C267+Effort!K267/Taux!C267</f>
        <v>26.455387212616948</v>
      </c>
      <c r="H267" s="80">
        <f t="shared" si="17"/>
        <v>66.694907347699655</v>
      </c>
      <c r="I267" s="149">
        <f t="shared" si="18"/>
        <v>0</v>
      </c>
      <c r="J267" s="658">
        <f t="shared" si="19"/>
        <v>0</v>
      </c>
      <c r="L267" s="9"/>
      <c r="M267" s="10"/>
      <c r="R267" s="10"/>
    </row>
    <row r="268" spans="1:18" x14ac:dyDescent="0.25">
      <c r="A268" s="37">
        <f>Données!A268</f>
        <v>5883</v>
      </c>
      <c r="B268" s="137" t="str">
        <f>Données!B268</f>
        <v>Corseaux</v>
      </c>
      <c r="C268" s="247">
        <f>VPI!R268</f>
        <v>187748.47585185184</v>
      </c>
      <c r="D268" s="367">
        <f>+Données!AP268</f>
        <v>32.753627230521744</v>
      </c>
      <c r="E268" s="292">
        <f>VPI!Q268</f>
        <v>67.5</v>
      </c>
      <c r="F268" s="162">
        <f t="shared" si="16"/>
        <v>34.746372769478256</v>
      </c>
      <c r="G268" s="655">
        <f>Effort!I268+Aide!I268/Taux!C268+Effort!K268/Taux!C268</f>
        <v>34.728977607889178</v>
      </c>
      <c r="H268" s="80">
        <f t="shared" si="17"/>
        <v>69.475350377367434</v>
      </c>
      <c r="I268" s="149">
        <f t="shared" si="18"/>
        <v>0</v>
      </c>
      <c r="J268" s="658">
        <f t="shared" si="19"/>
        <v>0</v>
      </c>
      <c r="L268" s="9"/>
      <c r="M268" s="10"/>
      <c r="R268" s="10"/>
    </row>
    <row r="269" spans="1:18" x14ac:dyDescent="0.25">
      <c r="A269" s="37">
        <f>Données!A269</f>
        <v>5884</v>
      </c>
      <c r="B269" s="137" t="str">
        <f>Données!B269</f>
        <v>Corsier-sur-Vevey</v>
      </c>
      <c r="C269" s="247">
        <f>VPI!R269</f>
        <v>160309.28653746771</v>
      </c>
      <c r="D269" s="367">
        <f>+Données!AP269</f>
        <v>20.964497408022694</v>
      </c>
      <c r="E269" s="292">
        <f>VPI!Q269</f>
        <v>64.5</v>
      </c>
      <c r="F269" s="162">
        <f t="shared" si="16"/>
        <v>43.535502591977306</v>
      </c>
      <c r="G269" s="655">
        <f>Effort!I269+Aide!I269/Taux!C269+Effort!K269/Taux!C269</f>
        <v>14.697647439467101</v>
      </c>
      <c r="H269" s="80">
        <f t="shared" si="17"/>
        <v>58.23315003144441</v>
      </c>
      <c r="I269" s="149">
        <f t="shared" si="18"/>
        <v>0</v>
      </c>
      <c r="J269" s="658">
        <f t="shared" si="19"/>
        <v>0</v>
      </c>
      <c r="L269" s="9"/>
      <c r="M269" s="10"/>
      <c r="R269" s="10"/>
    </row>
    <row r="270" spans="1:18" x14ac:dyDescent="0.25">
      <c r="A270" s="37">
        <f>Données!A270</f>
        <v>5885</v>
      </c>
      <c r="B270" s="137" t="str">
        <f>Données!B270</f>
        <v>Jongny</v>
      </c>
      <c r="C270" s="247">
        <f>VPI!R270</f>
        <v>105153.24390887292</v>
      </c>
      <c r="D270" s="367">
        <f>+Données!AP270</f>
        <v>26.43390449317679</v>
      </c>
      <c r="E270" s="292">
        <f>VPI!Q270</f>
        <v>69.5</v>
      </c>
      <c r="F270" s="162">
        <f t="shared" si="16"/>
        <v>43.06609550682321</v>
      </c>
      <c r="G270" s="655">
        <f>Effort!I270+Aide!I270/Taux!C270+Effort!K270/Taux!C270</f>
        <v>26.06352022321181</v>
      </c>
      <c r="H270" s="80">
        <f t="shared" si="17"/>
        <v>69.129615730035027</v>
      </c>
      <c r="I270" s="149">
        <f t="shared" si="18"/>
        <v>0</v>
      </c>
      <c r="J270" s="658">
        <f t="shared" si="19"/>
        <v>0</v>
      </c>
      <c r="L270" s="9"/>
      <c r="M270" s="10"/>
      <c r="R270" s="10"/>
    </row>
    <row r="271" spans="1:18" x14ac:dyDescent="0.25">
      <c r="A271" s="37">
        <f>Données!A271</f>
        <v>5886</v>
      </c>
      <c r="B271" s="137" t="str">
        <f>Données!B271</f>
        <v>Montreux</v>
      </c>
      <c r="C271" s="247">
        <f>VPI!R271</f>
        <v>1120945.0450256411</v>
      </c>
      <c r="D271" s="367">
        <f>+Données!AP271</f>
        <v>8.5769829383223986</v>
      </c>
      <c r="E271" s="292">
        <f>VPI!Q271</f>
        <v>65</v>
      </c>
      <c r="F271" s="162">
        <f t="shared" si="16"/>
        <v>56.423017061677598</v>
      </c>
      <c r="G271" s="655">
        <f>Effort!I271+Aide!I271/Taux!C271+Effort!K271/Taux!C271</f>
        <v>0.11186436262189048</v>
      </c>
      <c r="H271" s="80">
        <f t="shared" si="17"/>
        <v>56.534881424299485</v>
      </c>
      <c r="I271" s="149">
        <f t="shared" si="18"/>
        <v>0</v>
      </c>
      <c r="J271" s="658">
        <f t="shared" si="19"/>
        <v>0</v>
      </c>
      <c r="L271" s="9"/>
      <c r="M271" s="10"/>
      <c r="R271" s="10"/>
    </row>
    <row r="272" spans="1:18" x14ac:dyDescent="0.25">
      <c r="A272" s="37">
        <f>Données!A272</f>
        <v>5889</v>
      </c>
      <c r="B272" s="137" t="str">
        <f>Données!B272</f>
        <v>La Tour-de-Peilz</v>
      </c>
      <c r="C272" s="247">
        <f>VPI!R272</f>
        <v>728841.71013020864</v>
      </c>
      <c r="D272" s="367">
        <f>+Données!AP272</f>
        <v>23.648070625190449</v>
      </c>
      <c r="E272" s="292">
        <f>VPI!Q272</f>
        <v>64</v>
      </c>
      <c r="F272" s="162">
        <f t="shared" si="16"/>
        <v>40.351929374809551</v>
      </c>
      <c r="G272" s="655">
        <f>Effort!I272+Aide!I272/Taux!C272+Effort!K272/Taux!C272</f>
        <v>19.792426182083531</v>
      </c>
      <c r="H272" s="80">
        <f t="shared" si="17"/>
        <v>60.144355556893082</v>
      </c>
      <c r="I272" s="149">
        <f t="shared" si="18"/>
        <v>0</v>
      </c>
      <c r="J272" s="658">
        <f t="shared" si="19"/>
        <v>0</v>
      </c>
      <c r="L272" s="9"/>
      <c r="M272" s="10"/>
      <c r="R272" s="10"/>
    </row>
    <row r="273" spans="1:18" x14ac:dyDescent="0.25">
      <c r="A273" s="37">
        <f>Données!A273</f>
        <v>5890</v>
      </c>
      <c r="B273" s="137" t="str">
        <f>Données!B273</f>
        <v>Vevey</v>
      </c>
      <c r="C273" s="247">
        <f>VPI!R273</f>
        <v>1064325.313736018</v>
      </c>
      <c r="D273" s="367">
        <f>+Données!AP273</f>
        <v>15.904281008549445</v>
      </c>
      <c r="E273" s="292">
        <f>VPI!Q273</f>
        <v>74.5</v>
      </c>
      <c r="F273" s="162">
        <f t="shared" si="16"/>
        <v>58.595718991450553</v>
      </c>
      <c r="G273" s="655">
        <f>Effort!I273+Aide!I273/Taux!C273+Effort!K273/Taux!C273</f>
        <v>13.496460222449899</v>
      </c>
      <c r="H273" s="80">
        <f t="shared" si="17"/>
        <v>72.092179213900451</v>
      </c>
      <c r="I273" s="149">
        <f t="shared" si="18"/>
        <v>0</v>
      </c>
      <c r="J273" s="658">
        <f t="shared" si="19"/>
        <v>0</v>
      </c>
      <c r="L273" s="9"/>
      <c r="M273" s="10"/>
      <c r="R273" s="10"/>
    </row>
    <row r="274" spans="1:18" x14ac:dyDescent="0.25">
      <c r="A274" s="37">
        <f>Données!A274</f>
        <v>5891</v>
      </c>
      <c r="B274" s="137" t="str">
        <f>Données!B274</f>
        <v>Veytaux</v>
      </c>
      <c r="C274" s="247">
        <f>VPI!R274</f>
        <v>41068.156987654322</v>
      </c>
      <c r="D274" s="367">
        <f>+Données!AP274</f>
        <v>26.446759806841911</v>
      </c>
      <c r="E274" s="292">
        <f>VPI!Q274</f>
        <v>67.5</v>
      </c>
      <c r="F274" s="162">
        <f t="shared" si="16"/>
        <v>41.053240193158089</v>
      </c>
      <c r="G274" s="655">
        <f>Effort!I274+Aide!I274/Taux!C274+Effort!K274/Taux!C274</f>
        <v>7.5559606946357647</v>
      </c>
      <c r="H274" s="80">
        <f t="shared" si="17"/>
        <v>48.609200887793854</v>
      </c>
      <c r="I274" s="149">
        <f t="shared" si="18"/>
        <v>0</v>
      </c>
      <c r="J274" s="658">
        <f t="shared" si="19"/>
        <v>0</v>
      </c>
      <c r="L274" s="9"/>
      <c r="M274" s="10"/>
      <c r="R274" s="10"/>
    </row>
    <row r="275" spans="1:18" x14ac:dyDescent="0.25">
      <c r="A275" s="37">
        <f>Données!A275</f>
        <v>5892</v>
      </c>
      <c r="B275" s="137" t="str">
        <f>Données!B275</f>
        <v>Blonay - Saint-Légier</v>
      </c>
      <c r="C275" s="247">
        <f>VPI!R275</f>
        <v>755904.99576642353</v>
      </c>
      <c r="D275" s="367">
        <f>+Données!AP275</f>
        <v>22.492459050607327</v>
      </c>
      <c r="E275" s="292">
        <f>VPI!Q275</f>
        <v>68.5</v>
      </c>
      <c r="F275" s="162">
        <f t="shared" si="16"/>
        <v>46.007540949392677</v>
      </c>
      <c r="G275" s="655">
        <f>Effort!I275+Aide!I275/Taux!C275+Effort!K275/Taux!C275</f>
        <v>19.663889990232995</v>
      </c>
      <c r="H275" s="80">
        <f t="shared" si="17"/>
        <v>65.671430939625679</v>
      </c>
      <c r="I275" s="149">
        <f t="shared" si="18"/>
        <v>0</v>
      </c>
      <c r="J275" s="658">
        <f t="shared" si="19"/>
        <v>0</v>
      </c>
      <c r="L275" s="9"/>
      <c r="M275" s="10"/>
      <c r="R275" s="10"/>
    </row>
    <row r="276" spans="1:18" x14ac:dyDescent="0.25">
      <c r="A276" s="37">
        <f>Données!A276</f>
        <v>5902</v>
      </c>
      <c r="B276" s="137" t="str">
        <f>Données!B276</f>
        <v>Belmont-sur-Yverdon</v>
      </c>
      <c r="C276" s="247">
        <f>VPI!R276</f>
        <v>12357.530428571426</v>
      </c>
      <c r="D276" s="367">
        <f>+Données!AP276</f>
        <v>14.084367038566677</v>
      </c>
      <c r="E276" s="292">
        <f>VPI!Q276</f>
        <v>70</v>
      </c>
      <c r="F276" s="162">
        <f t="shared" si="16"/>
        <v>55.915632961433325</v>
      </c>
      <c r="G276" s="655">
        <f>Effort!I276+Aide!I276/Taux!C276+Effort!K276/Taux!C276</f>
        <v>8.3445514450150071</v>
      </c>
      <c r="H276" s="80">
        <f t="shared" si="17"/>
        <v>64.260184406448332</v>
      </c>
      <c r="I276" s="149">
        <f t="shared" si="18"/>
        <v>0</v>
      </c>
      <c r="J276" s="658">
        <f t="shared" si="19"/>
        <v>0</v>
      </c>
      <c r="L276" s="9"/>
      <c r="M276" s="10"/>
      <c r="R276" s="10"/>
    </row>
    <row r="277" spans="1:18" x14ac:dyDescent="0.25">
      <c r="A277" s="37">
        <f>Données!A277</f>
        <v>5903</v>
      </c>
      <c r="B277" s="137" t="str">
        <f>Données!B277</f>
        <v>Bioley-Magnoux</v>
      </c>
      <c r="C277" s="247">
        <f>VPI!R277</f>
        <v>7020.1331746031747</v>
      </c>
      <c r="D277" s="367">
        <f>+Données!AP277</f>
        <v>4.9281153181064354</v>
      </c>
      <c r="E277" s="292">
        <f>VPI!Q277</f>
        <v>72</v>
      </c>
      <c r="F277" s="162">
        <f t="shared" si="16"/>
        <v>67.071884681893565</v>
      </c>
      <c r="G277" s="655">
        <f>Effort!I277+Aide!I277/Taux!C277+Effort!K277/Taux!C277</f>
        <v>-20.290197394910077</v>
      </c>
      <c r="H277" s="80">
        <f t="shared" si="17"/>
        <v>46.781687286983484</v>
      </c>
      <c r="I277" s="149">
        <f t="shared" si="18"/>
        <v>0</v>
      </c>
      <c r="J277" s="658">
        <f t="shared" si="19"/>
        <v>0</v>
      </c>
      <c r="L277" s="9"/>
      <c r="M277" s="10"/>
      <c r="R277" s="10"/>
    </row>
    <row r="278" spans="1:18" x14ac:dyDescent="0.25">
      <c r="A278" s="37">
        <f>Données!A278</f>
        <v>5904</v>
      </c>
      <c r="B278" s="137" t="str">
        <f>Données!B278</f>
        <v>Chamblon</v>
      </c>
      <c r="C278" s="247">
        <f>VPI!R278</f>
        <v>17094.436818181817</v>
      </c>
      <c r="D278" s="367">
        <f>+Données!AP278</f>
        <v>17.54369927115879</v>
      </c>
      <c r="E278" s="292">
        <f>VPI!Q278</f>
        <v>66</v>
      </c>
      <c r="F278" s="162">
        <f t="shared" si="16"/>
        <v>48.456300728841214</v>
      </c>
      <c r="G278" s="655">
        <f>Effort!I278+Aide!I278/Taux!C278+Effort!K278/Taux!C278</f>
        <v>15.269603757820313</v>
      </c>
      <c r="H278" s="80">
        <f t="shared" si="17"/>
        <v>63.725904486661527</v>
      </c>
      <c r="I278" s="149">
        <f t="shared" si="18"/>
        <v>0</v>
      </c>
      <c r="J278" s="658">
        <f t="shared" si="19"/>
        <v>0</v>
      </c>
      <c r="L278" s="9"/>
      <c r="M278" s="10"/>
      <c r="R278" s="10"/>
    </row>
    <row r="279" spans="1:18" x14ac:dyDescent="0.25">
      <c r="A279" s="37">
        <f>Données!A279</f>
        <v>5905</v>
      </c>
      <c r="B279" s="137" t="str">
        <f>Données!B279</f>
        <v>Champvent</v>
      </c>
      <c r="C279" s="247">
        <f>VPI!R279</f>
        <v>21074.306571428569</v>
      </c>
      <c r="D279" s="367">
        <f>+Données!AP279</f>
        <v>14.248284106392344</v>
      </c>
      <c r="E279" s="292">
        <f>VPI!Q279</f>
        <v>70</v>
      </c>
      <c r="F279" s="162">
        <f t="shared" si="16"/>
        <v>55.751715893607653</v>
      </c>
      <c r="G279" s="655">
        <f>Effort!I279+Aide!I279/Taux!C279+Effort!K279/Taux!C279</f>
        <v>6.5178232691081561</v>
      </c>
      <c r="H279" s="80">
        <f t="shared" si="17"/>
        <v>62.269539162715809</v>
      </c>
      <c r="I279" s="149">
        <f t="shared" si="18"/>
        <v>0</v>
      </c>
      <c r="J279" s="658">
        <f t="shared" si="19"/>
        <v>0</v>
      </c>
      <c r="L279" s="9"/>
      <c r="M279" s="10"/>
      <c r="R279" s="10"/>
    </row>
    <row r="280" spans="1:18" x14ac:dyDescent="0.25">
      <c r="A280" s="37">
        <f>Données!A280</f>
        <v>5907</v>
      </c>
      <c r="B280" s="137" t="str">
        <f>Données!B280</f>
        <v>Chavannes-le-Chêne</v>
      </c>
      <c r="C280" s="247">
        <f>VPI!R280</f>
        <v>7797.3521333333319</v>
      </c>
      <c r="D280" s="367">
        <f>+Données!AP280</f>
        <v>8.4760151850144574</v>
      </c>
      <c r="E280" s="292">
        <f>VPI!Q280</f>
        <v>75</v>
      </c>
      <c r="F280" s="162">
        <f t="shared" si="16"/>
        <v>66.523984814985539</v>
      </c>
      <c r="G280" s="655">
        <f>Effort!I280+Aide!I280/Taux!C280+Effort!K280/Taux!C280</f>
        <v>-7.6706171424165532</v>
      </c>
      <c r="H280" s="80">
        <f t="shared" si="17"/>
        <v>58.853367672568986</v>
      </c>
      <c r="I280" s="149">
        <f t="shared" si="18"/>
        <v>0</v>
      </c>
      <c r="J280" s="658">
        <f t="shared" si="19"/>
        <v>0</v>
      </c>
      <c r="L280" s="9"/>
      <c r="M280" s="10"/>
      <c r="R280" s="10"/>
    </row>
    <row r="281" spans="1:18" x14ac:dyDescent="0.25">
      <c r="A281" s="37">
        <f>Données!A281</f>
        <v>5908</v>
      </c>
      <c r="B281" s="137" t="str">
        <f>Données!B281</f>
        <v>Chêne-Pâquier</v>
      </c>
      <c r="C281" s="247">
        <f>VPI!R281</f>
        <v>5664.0389333333333</v>
      </c>
      <c r="D281" s="367">
        <f>+Données!AP281</f>
        <v>16.06666862710729</v>
      </c>
      <c r="E281" s="292">
        <f>VPI!Q281</f>
        <v>75</v>
      </c>
      <c r="F281" s="162">
        <f t="shared" si="16"/>
        <v>58.93333137289271</v>
      </c>
      <c r="G281" s="655">
        <f>Effort!I281+Aide!I281/Taux!C281+Effort!K281/Taux!C281</f>
        <v>10.174452081943187</v>
      </c>
      <c r="H281" s="80">
        <f t="shared" si="17"/>
        <v>69.107783454835896</v>
      </c>
      <c r="I281" s="149">
        <f t="shared" si="18"/>
        <v>0</v>
      </c>
      <c r="J281" s="658">
        <f t="shared" si="19"/>
        <v>0</v>
      </c>
      <c r="L281" s="9"/>
      <c r="M281" s="10"/>
      <c r="R281" s="10"/>
    </row>
    <row r="282" spans="1:18" x14ac:dyDescent="0.25">
      <c r="A282" s="37">
        <f>Données!A282</f>
        <v>5909</v>
      </c>
      <c r="B282" s="137" t="str">
        <f>Données!B282</f>
        <v>Cheseaux-Noréaz</v>
      </c>
      <c r="C282" s="247">
        <f>VPI!R282</f>
        <v>31504.478358208951</v>
      </c>
      <c r="D282" s="367">
        <f>+Données!AP282</f>
        <v>29.005234235917268</v>
      </c>
      <c r="E282" s="292">
        <f>VPI!Q282</f>
        <v>67</v>
      </c>
      <c r="F282" s="162">
        <f t="shared" si="16"/>
        <v>37.994765764082729</v>
      </c>
      <c r="G282" s="655">
        <f>Effort!I282+Aide!I282/Taux!C282+Effort!K282/Taux!C282</f>
        <v>21.534580960956418</v>
      </c>
      <c r="H282" s="80">
        <f t="shared" si="17"/>
        <v>59.529346725039147</v>
      </c>
      <c r="I282" s="149">
        <f t="shared" si="18"/>
        <v>0</v>
      </c>
      <c r="J282" s="658">
        <f t="shared" si="19"/>
        <v>0</v>
      </c>
      <c r="L282" s="9"/>
      <c r="M282" s="10"/>
      <c r="R282" s="10"/>
    </row>
    <row r="283" spans="1:18" x14ac:dyDescent="0.25">
      <c r="A283" s="37">
        <f>Données!A283</f>
        <v>5910</v>
      </c>
      <c r="B283" s="137" t="str">
        <f>Données!B283</f>
        <v>Cronay</v>
      </c>
      <c r="C283" s="247">
        <f>VPI!R283</f>
        <v>11511.156533333333</v>
      </c>
      <c r="D283" s="367">
        <f>+Données!AP283</f>
        <v>12.102056537982167</v>
      </c>
      <c r="E283" s="292">
        <f>VPI!Q283</f>
        <v>75</v>
      </c>
      <c r="F283" s="162">
        <f t="shared" si="16"/>
        <v>62.897943462017835</v>
      </c>
      <c r="G283" s="655">
        <f>Effort!I283+Aide!I283/Taux!C283+Effort!K283/Taux!C283</f>
        <v>-5.6066757206997586</v>
      </c>
      <c r="H283" s="80">
        <f t="shared" si="17"/>
        <v>57.29126774131808</v>
      </c>
      <c r="I283" s="149">
        <f t="shared" si="18"/>
        <v>0</v>
      </c>
      <c r="J283" s="658">
        <f t="shared" si="19"/>
        <v>0</v>
      </c>
      <c r="L283" s="9"/>
      <c r="M283" s="10"/>
      <c r="R283" s="10"/>
    </row>
    <row r="284" spans="1:18" x14ac:dyDescent="0.25">
      <c r="A284" s="37">
        <f>Données!A284</f>
        <v>5911</v>
      </c>
      <c r="B284" s="137" t="str">
        <f>Données!B284</f>
        <v>Cuarny</v>
      </c>
      <c r="C284" s="247">
        <f>VPI!R284</f>
        <v>7072.9457142857154</v>
      </c>
      <c r="D284" s="367">
        <f>+Données!AP284</f>
        <v>14.129386615615505</v>
      </c>
      <c r="E284" s="292">
        <f>VPI!Q284</f>
        <v>77</v>
      </c>
      <c r="F284" s="162">
        <f t="shared" si="16"/>
        <v>62.870613384384498</v>
      </c>
      <c r="G284" s="655">
        <f>Effort!I284+Aide!I284/Taux!C284+Effort!K284/Taux!C284</f>
        <v>-0.86935740933245498</v>
      </c>
      <c r="H284" s="80">
        <f t="shared" si="17"/>
        <v>62.001255975052047</v>
      </c>
      <c r="I284" s="149">
        <f t="shared" si="18"/>
        <v>0</v>
      </c>
      <c r="J284" s="658">
        <f t="shared" si="19"/>
        <v>0</v>
      </c>
      <c r="L284" s="9"/>
      <c r="M284" s="10"/>
      <c r="R284" s="10"/>
    </row>
    <row r="285" spans="1:18" s="146" customFormat="1" x14ac:dyDescent="0.25">
      <c r="A285" s="37">
        <f>Données!A285</f>
        <v>5912</v>
      </c>
      <c r="B285" s="137" t="str">
        <f>Données!B285</f>
        <v>Démoret</v>
      </c>
      <c r="C285" s="247">
        <f>VPI!R285</f>
        <v>4054.1132051282052</v>
      </c>
      <c r="D285" s="367">
        <f>+Données!AP285</f>
        <v>-0.89302206439303511</v>
      </c>
      <c r="E285" s="292">
        <f>VPI!Q285</f>
        <v>78</v>
      </c>
      <c r="F285" s="162">
        <f t="shared" si="16"/>
        <v>78.893022064393037</v>
      </c>
      <c r="G285" s="655">
        <f>Effort!I285+Aide!I285/Taux!C285+Effort!K285/Taux!C285</f>
        <v>-11.830890738745669</v>
      </c>
      <c r="H285" s="80">
        <f t="shared" si="17"/>
        <v>67.062131325647371</v>
      </c>
      <c r="I285" s="149">
        <f t="shared" si="18"/>
        <v>0</v>
      </c>
      <c r="J285" s="658">
        <f t="shared" si="19"/>
        <v>0</v>
      </c>
      <c r="K285" s="159"/>
      <c r="L285" s="9"/>
    </row>
    <row r="286" spans="1:18" s="146" customFormat="1" x14ac:dyDescent="0.25">
      <c r="A286" s="37">
        <f>Données!A286</f>
        <v>5913</v>
      </c>
      <c r="B286" s="137" t="str">
        <f>Données!B286</f>
        <v>Donneloye</v>
      </c>
      <c r="C286" s="247">
        <f>VPI!R286</f>
        <v>21866.794931506847</v>
      </c>
      <c r="D286" s="367">
        <f>+Données!AP286</f>
        <v>0.94899169010694306</v>
      </c>
      <c r="E286" s="292">
        <f>VPI!Q286</f>
        <v>73</v>
      </c>
      <c r="F286" s="162">
        <f t="shared" si="16"/>
        <v>72.051008309893064</v>
      </c>
      <c r="G286" s="655">
        <f>Effort!I286+Aide!I286/Taux!C286+Effort!K286/Taux!C286</f>
        <v>-2.1019294942710083</v>
      </c>
      <c r="H286" s="80">
        <f t="shared" si="17"/>
        <v>69.949078815622059</v>
      </c>
      <c r="I286" s="149">
        <f t="shared" si="18"/>
        <v>0</v>
      </c>
      <c r="J286" s="658">
        <f t="shared" si="19"/>
        <v>0</v>
      </c>
      <c r="K286" s="159"/>
      <c r="L286" s="9"/>
    </row>
    <row r="287" spans="1:18" s="146" customFormat="1" x14ac:dyDescent="0.25">
      <c r="A287" s="37">
        <f>Données!A287</f>
        <v>5914</v>
      </c>
      <c r="B287" s="137" t="str">
        <f>Données!B287</f>
        <v>Ependes</v>
      </c>
      <c r="C287" s="247">
        <f>VPI!R287</f>
        <v>10606.318639455782</v>
      </c>
      <c r="D287" s="367">
        <f>+Données!AP287</f>
        <v>11.164438738295495</v>
      </c>
      <c r="E287" s="292">
        <f>VPI!Q287</f>
        <v>73.5</v>
      </c>
      <c r="F287" s="162">
        <f t="shared" si="16"/>
        <v>62.335561261704505</v>
      </c>
      <c r="G287" s="655">
        <f>Effort!I287+Aide!I287/Taux!C287+Effort!K287/Taux!C287</f>
        <v>1.662000212075597</v>
      </c>
      <c r="H287" s="80">
        <f t="shared" si="17"/>
        <v>63.997561473780102</v>
      </c>
      <c r="I287" s="149">
        <f t="shared" si="18"/>
        <v>0</v>
      </c>
      <c r="J287" s="658">
        <f t="shared" si="19"/>
        <v>0</v>
      </c>
      <c r="K287" s="159"/>
      <c r="L287" s="9"/>
    </row>
    <row r="288" spans="1:18" s="146" customFormat="1" x14ac:dyDescent="0.25">
      <c r="A288" s="37">
        <f>Données!A288</f>
        <v>5919</v>
      </c>
      <c r="B288" s="137" t="str">
        <f>Données!B288</f>
        <v>Mathod</v>
      </c>
      <c r="C288" s="247">
        <f>VPI!R288</f>
        <v>21430.97550925926</v>
      </c>
      <c r="D288" s="367">
        <f>+Données!AP288</f>
        <v>11.323709420775081</v>
      </c>
      <c r="E288" s="292">
        <f>VPI!Q288</f>
        <v>72</v>
      </c>
      <c r="F288" s="162">
        <f t="shared" si="16"/>
        <v>60.676290579224919</v>
      </c>
      <c r="G288" s="655">
        <f>Effort!I288+Aide!I288/Taux!C288+Effort!K288/Taux!C288</f>
        <v>4.6611327866945267</v>
      </c>
      <c r="H288" s="80">
        <f t="shared" si="17"/>
        <v>65.337423365919449</v>
      </c>
      <c r="I288" s="149">
        <f t="shared" si="18"/>
        <v>0</v>
      </c>
      <c r="J288" s="658">
        <f t="shared" si="19"/>
        <v>0</v>
      </c>
      <c r="K288" s="159"/>
      <c r="L288" s="9"/>
    </row>
    <row r="289" spans="1:18" s="146" customFormat="1" x14ac:dyDescent="0.25">
      <c r="A289" s="37">
        <f>Données!A289</f>
        <v>5921</v>
      </c>
      <c r="B289" s="137" t="str">
        <f>Données!B289</f>
        <v>Molondin</v>
      </c>
      <c r="C289" s="247">
        <f>VPI!R289</f>
        <v>8425.9467901234584</v>
      </c>
      <c r="D289" s="367">
        <f>+Données!AP289</f>
        <v>-16.808520350993998</v>
      </c>
      <c r="E289" s="292">
        <f>VPI!Q289</f>
        <v>81</v>
      </c>
      <c r="F289" s="162">
        <f t="shared" si="16"/>
        <v>97.808520350994002</v>
      </c>
      <c r="G289" s="655">
        <f>Effort!I289+Aide!I289/Taux!C289+Effort!K289/Taux!C289</f>
        <v>8.5752816436606771</v>
      </c>
      <c r="H289" s="80">
        <v>92</v>
      </c>
      <c r="I289" s="149">
        <f t="shared" si="18"/>
        <v>0</v>
      </c>
      <c r="J289" s="658">
        <f t="shared" si="19"/>
        <v>0</v>
      </c>
      <c r="K289" s="159"/>
      <c r="L289" s="9"/>
    </row>
    <row r="290" spans="1:18" s="146" customFormat="1" x14ac:dyDescent="0.25">
      <c r="A290" s="37">
        <f>Données!A290</f>
        <v>5922</v>
      </c>
      <c r="B290" s="137" t="str">
        <f>Données!B290</f>
        <v>Montagny-près-Yverdon</v>
      </c>
      <c r="C290" s="247">
        <f>VPI!R290</f>
        <v>40785.058217054269</v>
      </c>
      <c r="D290" s="367">
        <f>+Données!AP290</f>
        <v>28.698507715921821</v>
      </c>
      <c r="E290" s="292">
        <f>VPI!Q290</f>
        <v>64.5</v>
      </c>
      <c r="F290" s="162">
        <f t="shared" si="16"/>
        <v>35.801492284078179</v>
      </c>
      <c r="G290" s="655">
        <f>Effort!I290+Aide!I290/Taux!C290+Effort!K290/Taux!C290</f>
        <v>24.319815391817833</v>
      </c>
      <c r="H290" s="80">
        <f t="shared" si="17"/>
        <v>60.121307675896013</v>
      </c>
      <c r="I290" s="149">
        <f t="shared" si="18"/>
        <v>0</v>
      </c>
      <c r="J290" s="658">
        <f t="shared" si="19"/>
        <v>0</v>
      </c>
      <c r="K290" s="159"/>
      <c r="L290" s="9"/>
    </row>
    <row r="291" spans="1:18" s="146" customFormat="1" x14ac:dyDescent="0.25">
      <c r="A291" s="37">
        <f>Données!A291</f>
        <v>5923</v>
      </c>
      <c r="B291" s="137" t="str">
        <f>Données!B291</f>
        <v>Oppens</v>
      </c>
      <c r="C291" s="247">
        <f>VPI!R291</f>
        <v>5683.6511392405064</v>
      </c>
      <c r="D291" s="367">
        <f>+Données!AP291</f>
        <v>9.9209187158558159</v>
      </c>
      <c r="E291" s="292">
        <f>VPI!Q291</f>
        <v>79</v>
      </c>
      <c r="F291" s="162">
        <f t="shared" si="16"/>
        <v>69.079081284144181</v>
      </c>
      <c r="G291" s="655">
        <f>Effort!I291+Aide!I291/Taux!C291+Effort!K291/Taux!C291</f>
        <v>-13.379073076352196</v>
      </c>
      <c r="H291" s="80">
        <f t="shared" si="17"/>
        <v>55.700008207791981</v>
      </c>
      <c r="I291" s="149">
        <f t="shared" si="18"/>
        <v>0</v>
      </c>
      <c r="J291" s="658">
        <f t="shared" si="19"/>
        <v>0</v>
      </c>
      <c r="K291" s="159"/>
      <c r="L291" s="9"/>
    </row>
    <row r="292" spans="1:18" s="146" customFormat="1" x14ac:dyDescent="0.25">
      <c r="A292" s="37">
        <f>Données!A292</f>
        <v>5924</v>
      </c>
      <c r="B292" s="137" t="str">
        <f>Données!B292</f>
        <v>Orges</v>
      </c>
      <c r="C292" s="247">
        <f>VPI!R292</f>
        <v>13265.35135135135</v>
      </c>
      <c r="D292" s="367">
        <f>+Données!AP292</f>
        <v>11.958854413671851</v>
      </c>
      <c r="E292" s="292">
        <f>VPI!Q292</f>
        <v>74</v>
      </c>
      <c r="F292" s="162">
        <f t="shared" si="16"/>
        <v>62.041145586328149</v>
      </c>
      <c r="G292" s="655">
        <f>Effort!I292+Aide!I292/Taux!C292+Effort!K292/Taux!C292</f>
        <v>6.4822225988213287</v>
      </c>
      <c r="H292" s="80">
        <f t="shared" si="17"/>
        <v>68.523368185149479</v>
      </c>
      <c r="I292" s="149">
        <f t="shared" si="18"/>
        <v>0</v>
      </c>
      <c r="J292" s="658">
        <f t="shared" si="19"/>
        <v>0</v>
      </c>
      <c r="K292" s="159"/>
      <c r="L292" s="9"/>
    </row>
    <row r="293" spans="1:18" x14ac:dyDescent="0.25">
      <c r="A293" s="37">
        <f>Données!A293</f>
        <v>5925</v>
      </c>
      <c r="B293" s="137" t="str">
        <f>Données!B293</f>
        <v>Orzens</v>
      </c>
      <c r="C293" s="247">
        <f>VPI!R293</f>
        <v>5055.3741772151898</v>
      </c>
      <c r="D293" s="367">
        <f>+Données!AP293</f>
        <v>5.8752787815273013</v>
      </c>
      <c r="E293" s="292">
        <f>VPI!Q293</f>
        <v>79</v>
      </c>
      <c r="F293" s="162">
        <f t="shared" si="16"/>
        <v>73.1247212184727</v>
      </c>
      <c r="G293" s="655">
        <f>Effort!I293+Aide!I293/Taux!C293+Effort!K293/Taux!C293</f>
        <v>-4.7001791358886358</v>
      </c>
      <c r="H293" s="80">
        <f t="shared" si="17"/>
        <v>68.424542082584068</v>
      </c>
      <c r="I293" s="149">
        <f t="shared" si="18"/>
        <v>0</v>
      </c>
      <c r="J293" s="658">
        <f t="shared" si="19"/>
        <v>0</v>
      </c>
      <c r="L293" s="9"/>
      <c r="M293" s="10"/>
      <c r="R293" s="10"/>
    </row>
    <row r="294" spans="1:18" x14ac:dyDescent="0.25">
      <c r="A294" s="37">
        <f>Données!A294</f>
        <v>5926</v>
      </c>
      <c r="B294" s="137" t="str">
        <f>Données!B294</f>
        <v>Pomy</v>
      </c>
      <c r="C294" s="247">
        <f>VPI!R294</f>
        <v>26646.407887323945</v>
      </c>
      <c r="D294" s="367">
        <f>+Données!AP294</f>
        <v>14.725147566951472</v>
      </c>
      <c r="E294" s="292">
        <f>VPI!Q294</f>
        <v>71</v>
      </c>
      <c r="F294" s="162">
        <f t="shared" si="16"/>
        <v>56.27485243304853</v>
      </c>
      <c r="G294" s="655">
        <f>Effort!I294+Aide!I294/Taux!C294+Effort!K294/Taux!C294</f>
        <v>9.5635212089345281</v>
      </c>
      <c r="H294" s="80">
        <f t="shared" si="17"/>
        <v>65.838373641983054</v>
      </c>
      <c r="I294" s="149">
        <f t="shared" si="18"/>
        <v>0</v>
      </c>
      <c r="J294" s="658">
        <f t="shared" si="19"/>
        <v>0</v>
      </c>
      <c r="L294" s="9"/>
      <c r="M294" s="10"/>
      <c r="R294" s="10"/>
    </row>
    <row r="295" spans="1:18" x14ac:dyDescent="0.25">
      <c r="A295" s="37">
        <f>Données!A295</f>
        <v>5928</v>
      </c>
      <c r="B295" s="137" t="str">
        <f>Données!B295</f>
        <v>Rovray</v>
      </c>
      <c r="C295" s="247">
        <f>VPI!R295</f>
        <v>5997.0809589041082</v>
      </c>
      <c r="D295" s="367">
        <f>+Données!AP295</f>
        <v>9.0435380378693928</v>
      </c>
      <c r="E295" s="292">
        <f>VPI!Q295</f>
        <v>73</v>
      </c>
      <c r="F295" s="162">
        <f t="shared" si="16"/>
        <v>63.956461962130604</v>
      </c>
      <c r="G295" s="655">
        <f>Effort!I295+Aide!I295/Taux!C295+Effort!K295/Taux!C295</f>
        <v>10.667154290556621</v>
      </c>
      <c r="H295" s="80">
        <f t="shared" si="17"/>
        <v>74.623616252687228</v>
      </c>
      <c r="I295" s="149">
        <f t="shared" si="18"/>
        <v>0</v>
      </c>
      <c r="J295" s="658">
        <f t="shared" si="19"/>
        <v>0</v>
      </c>
      <c r="L295" s="9"/>
      <c r="M295" s="10"/>
      <c r="R295" s="10"/>
    </row>
    <row r="296" spans="1:18" x14ac:dyDescent="0.25">
      <c r="A296" s="37">
        <f>Données!A296</f>
        <v>5929</v>
      </c>
      <c r="B296" s="137" t="str">
        <f>Données!B296</f>
        <v>Suchy</v>
      </c>
      <c r="C296" s="247">
        <f>VPI!R296</f>
        <v>22958.537249999998</v>
      </c>
      <c r="D296" s="367">
        <f>+Données!AP296</f>
        <v>17.468999488012145</v>
      </c>
      <c r="E296" s="292">
        <f>VPI!Q296</f>
        <v>70</v>
      </c>
      <c r="F296" s="162">
        <f t="shared" si="16"/>
        <v>52.531000511987855</v>
      </c>
      <c r="G296" s="655">
        <f>Effort!I296+Aide!I296/Taux!C296+Effort!K296/Taux!C296</f>
        <v>17.356787221978493</v>
      </c>
      <c r="H296" s="80">
        <f t="shared" si="17"/>
        <v>69.887787733966348</v>
      </c>
      <c r="I296" s="149">
        <f t="shared" si="18"/>
        <v>0</v>
      </c>
      <c r="J296" s="658">
        <f t="shared" si="19"/>
        <v>0</v>
      </c>
      <c r="L296" s="9"/>
      <c r="M296" s="10"/>
      <c r="R296" s="10"/>
    </row>
    <row r="297" spans="1:18" x14ac:dyDescent="0.25">
      <c r="A297" s="37">
        <f>Données!A297</f>
        <v>5930</v>
      </c>
      <c r="B297" s="137" t="str">
        <f>Données!B297</f>
        <v>Suscévaz</v>
      </c>
      <c r="C297" s="247">
        <f>VPI!R297</f>
        <v>5123.1661111111116</v>
      </c>
      <c r="D297" s="367">
        <f>+Données!AP297</f>
        <v>9.7785580569610389</v>
      </c>
      <c r="E297" s="292">
        <f>VPI!Q297</f>
        <v>72</v>
      </c>
      <c r="F297" s="162">
        <f t="shared" si="16"/>
        <v>62.221441943038961</v>
      </c>
      <c r="G297" s="655">
        <f>Effort!I297+Aide!I297/Taux!C297+Effort!K297/Taux!C297</f>
        <v>-10.299460177745722</v>
      </c>
      <c r="H297" s="80">
        <f t="shared" si="17"/>
        <v>51.921981765293239</v>
      </c>
      <c r="I297" s="149">
        <f t="shared" si="18"/>
        <v>0</v>
      </c>
      <c r="J297" s="658">
        <f t="shared" si="19"/>
        <v>0</v>
      </c>
      <c r="L297" s="9"/>
      <c r="M297" s="10"/>
      <c r="R297" s="10"/>
    </row>
    <row r="298" spans="1:18" x14ac:dyDescent="0.25">
      <c r="A298" s="37">
        <f>Données!A298</f>
        <v>5931</v>
      </c>
      <c r="B298" s="137" t="str">
        <f>Données!B298</f>
        <v>Treycovagnes</v>
      </c>
      <c r="C298" s="247">
        <f>VPI!R298</f>
        <v>16489.594109589041</v>
      </c>
      <c r="D298" s="367">
        <f>+Données!AP298</f>
        <v>13.847093259489547</v>
      </c>
      <c r="E298" s="292">
        <f>VPI!Q298</f>
        <v>73</v>
      </c>
      <c r="F298" s="162">
        <f t="shared" si="16"/>
        <v>59.152906740510453</v>
      </c>
      <c r="G298" s="655">
        <f>Effort!I298+Aide!I298/Taux!C298+Effort!K298/Taux!C298</f>
        <v>11.989173286938378</v>
      </c>
      <c r="H298" s="80">
        <f t="shared" si="17"/>
        <v>71.142080027448827</v>
      </c>
      <c r="I298" s="149">
        <f t="shared" si="18"/>
        <v>0</v>
      </c>
      <c r="J298" s="658">
        <f t="shared" si="19"/>
        <v>0</v>
      </c>
      <c r="L298" s="9"/>
      <c r="M298" s="10"/>
      <c r="R298" s="10"/>
    </row>
    <row r="299" spans="1:18" x14ac:dyDescent="0.25">
      <c r="A299" s="37">
        <f>Données!A299</f>
        <v>5932</v>
      </c>
      <c r="B299" s="137" t="str">
        <f>Données!B299</f>
        <v>Ursins</v>
      </c>
      <c r="C299" s="247">
        <f>VPI!R299</f>
        <v>9309.2870666666695</v>
      </c>
      <c r="D299" s="367">
        <f>+Données!AP299</f>
        <v>19.743799483935494</v>
      </c>
      <c r="E299" s="292">
        <f>VPI!Q299</f>
        <v>75</v>
      </c>
      <c r="F299" s="162">
        <f t="shared" si="16"/>
        <v>55.25620051606451</v>
      </c>
      <c r="G299" s="655">
        <f>Effort!I299+Aide!I299/Taux!C299+Effort!K299/Taux!C299</f>
        <v>19.987109342752319</v>
      </c>
      <c r="H299" s="80">
        <f t="shared" si="17"/>
        <v>75.243309858816829</v>
      </c>
      <c r="I299" s="149">
        <f t="shared" si="18"/>
        <v>0</v>
      </c>
      <c r="J299" s="658">
        <f t="shared" si="19"/>
        <v>0</v>
      </c>
      <c r="L299" s="9"/>
      <c r="M299" s="10"/>
      <c r="R299" s="10"/>
    </row>
    <row r="300" spans="1:18" x14ac:dyDescent="0.25">
      <c r="A300" s="37">
        <f>Données!A300</f>
        <v>5933</v>
      </c>
      <c r="B300" s="137" t="str">
        <f>Données!B300</f>
        <v>Valeyres-sous-Montagny</v>
      </c>
      <c r="C300" s="247">
        <f>VPI!R300</f>
        <v>23289.682127659577</v>
      </c>
      <c r="D300" s="367">
        <f>+Données!AP300</f>
        <v>16.250458635756154</v>
      </c>
      <c r="E300" s="292">
        <f>VPI!Q300</f>
        <v>70.5</v>
      </c>
      <c r="F300" s="162">
        <f t="shared" si="16"/>
        <v>54.249541364243846</v>
      </c>
      <c r="G300" s="655">
        <f>Effort!I300+Aide!I300/Taux!C300+Effort!K300/Taux!C300</f>
        <v>-9.0787952648321451</v>
      </c>
      <c r="H300" s="80">
        <f t="shared" si="17"/>
        <v>45.170746099411701</v>
      </c>
      <c r="I300" s="149">
        <f t="shared" si="18"/>
        <v>0</v>
      </c>
      <c r="J300" s="658">
        <f t="shared" si="19"/>
        <v>0</v>
      </c>
      <c r="L300" s="9"/>
      <c r="M300" s="10"/>
      <c r="R300" s="10"/>
    </row>
    <row r="301" spans="1:18" x14ac:dyDescent="0.25">
      <c r="A301" s="37">
        <f>Données!A301</f>
        <v>5934</v>
      </c>
      <c r="B301" s="137" t="str">
        <f>Données!B301</f>
        <v>Valeyres-sous-Ursins</v>
      </c>
      <c r="C301" s="247">
        <f>VPI!R301</f>
        <v>8590.653896103895</v>
      </c>
      <c r="D301" s="367">
        <f>+Données!AP301</f>
        <v>13.204124186116193</v>
      </c>
      <c r="E301" s="292">
        <f>VPI!Q301</f>
        <v>77</v>
      </c>
      <c r="F301" s="162">
        <f t="shared" si="16"/>
        <v>63.795875813883811</v>
      </c>
      <c r="G301" s="655">
        <f>Effort!I301+Aide!I301/Taux!C301+Effort!K301/Taux!C301</f>
        <v>16.21545139835257</v>
      </c>
      <c r="H301" s="80">
        <f t="shared" si="17"/>
        <v>80.011327212236381</v>
      </c>
      <c r="I301" s="149">
        <f t="shared" si="18"/>
        <v>0</v>
      </c>
      <c r="J301" s="658">
        <f t="shared" si="19"/>
        <v>0</v>
      </c>
      <c r="L301" s="9"/>
      <c r="M301" s="10"/>
      <c r="R301" s="10"/>
    </row>
    <row r="302" spans="1:18" x14ac:dyDescent="0.25">
      <c r="A302" s="37">
        <f>Données!A302</f>
        <v>5935</v>
      </c>
      <c r="B302" s="137" t="str">
        <f>Données!B302</f>
        <v>Villars-Epeney</v>
      </c>
      <c r="C302" s="247">
        <f>VPI!R302</f>
        <v>10030.652647058823</v>
      </c>
      <c r="D302" s="367">
        <f>+Données!AP302</f>
        <v>23.45391175282732</v>
      </c>
      <c r="E302" s="292">
        <f>VPI!Q302</f>
        <v>68</v>
      </c>
      <c r="F302" s="162">
        <f t="shared" si="16"/>
        <v>44.546088247172676</v>
      </c>
      <c r="G302" s="655">
        <f>Effort!I302+Aide!I302/Taux!C302+Effort!K302/Taux!C302</f>
        <v>39.237243263574243</v>
      </c>
      <c r="H302" s="80">
        <f t="shared" si="17"/>
        <v>83.783331510746919</v>
      </c>
      <c r="I302" s="149">
        <f t="shared" si="18"/>
        <v>0</v>
      </c>
      <c r="J302" s="658">
        <f t="shared" si="19"/>
        <v>0</v>
      </c>
      <c r="L302" s="9"/>
      <c r="M302" s="10"/>
      <c r="R302" s="10"/>
    </row>
    <row r="303" spans="1:18" x14ac:dyDescent="0.25">
      <c r="A303" s="37">
        <f>Données!A303</f>
        <v>5937</v>
      </c>
      <c r="B303" s="137" t="str">
        <f>Données!B303</f>
        <v>Vugelles-La Mothe</v>
      </c>
      <c r="C303" s="247">
        <f>VPI!R303</f>
        <v>4424.7368571428569</v>
      </c>
      <c r="D303" s="367">
        <f>+Données!AP303</f>
        <v>6.5988410264983743</v>
      </c>
      <c r="E303" s="292">
        <f>VPI!Q303</f>
        <v>70</v>
      </c>
      <c r="F303" s="162">
        <f t="shared" si="16"/>
        <v>63.401158973501623</v>
      </c>
      <c r="G303" s="655">
        <f>Effort!I303+Aide!I303/Taux!C303+Effort!K303/Taux!C303</f>
        <v>10.783374468926988</v>
      </c>
      <c r="H303" s="80">
        <f t="shared" si="17"/>
        <v>74.184533442428616</v>
      </c>
      <c r="I303" s="149">
        <f t="shared" si="18"/>
        <v>0</v>
      </c>
      <c r="J303" s="658">
        <f t="shared" si="19"/>
        <v>0</v>
      </c>
      <c r="L303" s="9"/>
      <c r="M303" s="10"/>
      <c r="R303" s="10"/>
    </row>
    <row r="304" spans="1:18" x14ac:dyDescent="0.25">
      <c r="A304" s="37">
        <f>Données!A304</f>
        <v>5938</v>
      </c>
      <c r="B304" s="137" t="str">
        <f>Données!B304</f>
        <v>Yverdon-les-Bains</v>
      </c>
      <c r="C304" s="247">
        <f>VPI!R304</f>
        <v>801823.39555555547</v>
      </c>
      <c r="D304" s="367">
        <f>+Données!AP304</f>
        <v>-23.123538981295269</v>
      </c>
      <c r="E304" s="292">
        <f>VPI!Q304</f>
        <v>75</v>
      </c>
      <c r="F304" s="162">
        <f t="shared" si="16"/>
        <v>98.123538981295269</v>
      </c>
      <c r="G304" s="655">
        <f>Effort!I304+Aide!I304/Taux!C304+Effort!K304/Taux!C304</f>
        <v>-29.225874769276501</v>
      </c>
      <c r="H304" s="80">
        <f t="shared" si="17"/>
        <v>68.897664212018768</v>
      </c>
      <c r="I304" s="149">
        <f t="shared" si="18"/>
        <v>0</v>
      </c>
      <c r="J304" s="658">
        <f t="shared" si="19"/>
        <v>0</v>
      </c>
      <c r="L304" s="9"/>
      <c r="M304" s="10"/>
      <c r="R304" s="10"/>
    </row>
    <row r="305" spans="1:18" x14ac:dyDescent="0.25">
      <c r="A305" s="38">
        <f>Données!A305</f>
        <v>5939</v>
      </c>
      <c r="B305" s="138" t="str">
        <f>Données!B305</f>
        <v>Yvonand</v>
      </c>
      <c r="C305" s="290">
        <f>VPI!R305</f>
        <v>95983.007692307685</v>
      </c>
      <c r="D305" s="368">
        <f>+Données!AP305</f>
        <v>2.1914669165719625</v>
      </c>
      <c r="E305" s="293">
        <f>VPI!Q305</f>
        <v>71.5</v>
      </c>
      <c r="F305" s="164">
        <f t="shared" si="16"/>
        <v>69.308533083428031</v>
      </c>
      <c r="G305" s="656">
        <f>Effort!I305+Aide!I305/Taux!C305+Effort!K305/Taux!C305</f>
        <v>-4.3825751600465495</v>
      </c>
      <c r="H305" s="81">
        <f t="shared" si="17"/>
        <v>64.925957923381475</v>
      </c>
      <c r="I305" s="149">
        <f t="shared" si="18"/>
        <v>0</v>
      </c>
      <c r="J305" s="659">
        <f t="shared" si="19"/>
        <v>0</v>
      </c>
      <c r="L305" s="9"/>
      <c r="M305" s="10"/>
      <c r="R305" s="10"/>
    </row>
    <row r="306" spans="1:18" x14ac:dyDescent="0.25">
      <c r="A306" s="24"/>
      <c r="B306" s="71">
        <f>COUNTA(B6:B305)</f>
        <v>300</v>
      </c>
      <c r="C306" s="290">
        <f>SUM(C6:C305)</f>
        <v>42757870.01587484</v>
      </c>
      <c r="D306" s="368"/>
      <c r="E306" s="294">
        <f>VPI!Q306</f>
        <v>67.533896385427909</v>
      </c>
      <c r="F306" s="164">
        <f>E306-D306</f>
        <v>67.533896385427909</v>
      </c>
      <c r="G306" s="656">
        <f>Effort!I306+Aide!I306/Taux!C306+Effort!K306/Taux!C306</f>
        <v>14.613240294196538</v>
      </c>
      <c r="H306" s="81">
        <f>F306+G306</f>
        <v>82.147136679624452</v>
      </c>
      <c r="I306" s="248"/>
      <c r="J306" s="62">
        <f>SUM(J6:J305)</f>
        <v>0</v>
      </c>
      <c r="L306" s="10"/>
      <c r="M306" s="10"/>
      <c r="R306" s="10"/>
    </row>
    <row r="307" spans="1:18" x14ac:dyDescent="0.25">
      <c r="Q307" s="17"/>
    </row>
    <row r="308" spans="1:18" s="4" customFormat="1" x14ac:dyDescent="0.25">
      <c r="K308" s="159"/>
      <c r="M308" s="12"/>
    </row>
    <row r="311" spans="1:18" s="4" customFormat="1" x14ac:dyDescent="0.25">
      <c r="K311" s="159"/>
      <c r="L311" s="122"/>
      <c r="M311" s="12"/>
      <c r="N311" s="122"/>
      <c r="O311" s="122"/>
    </row>
  </sheetData>
  <sheetProtection sheet="1" objects="1" scenarios="1"/>
  <mergeCells count="7">
    <mergeCell ref="J4:J5"/>
    <mergeCell ref="B4:B5"/>
    <mergeCell ref="A4:A5"/>
    <mergeCell ref="C4:C5"/>
    <mergeCell ref="H4:H5"/>
    <mergeCell ref="F4:F5"/>
    <mergeCell ref="E4:E5"/>
  </mergeCells>
  <phoneticPr fontId="0" type="noConversion"/>
  <conditionalFormatting sqref="J6:J305">
    <cfRule type="expression" dxfId="4" priority="1">
      <formula>"&lt;&gt;J6"</formula>
    </cfRule>
    <cfRule type="cellIs" dxfId="3" priority="2" operator="notEqual">
      <formula>#REF!</formula>
    </cfRule>
  </conditionalFormatting>
  <hyperlinks>
    <hyperlink ref="C1" location="Aide!A1" display="← Précédent" xr:uid="{00D85FBE-C9A1-4DAD-8388-6665A16184A7}"/>
    <hyperlink ref="E1" location="Police!A1" display="Suivant →" xr:uid="{1A29BF59-48EA-4027-B528-0BD68DA04860}"/>
    <hyperlink ref="D1" location="'Table des matières'!A1" display="Table des             matières" xr:uid="{BAADEC0A-8BF6-4BD9-A62A-9F972EA7EC07}"/>
  </hyperlinks>
  <printOptions horizontalCentered="1"/>
  <pageMargins left="0" right="0" top="0" bottom="0" header="0.51181102362204722" footer="0.51181102362204722"/>
  <pageSetup paperSize="9" scale="63" orientation="landscape" horizontalDpi="4294967292" verticalDpi="4294967292"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6">
    <tabColor theme="7" tint="-0.249977111117893"/>
    <pageSetUpPr fitToPage="1"/>
  </sheetPr>
  <dimension ref="A1:T308"/>
  <sheetViews>
    <sheetView workbookViewId="0">
      <pane xSplit="2" ySplit="5" topLeftCell="C6" activePane="bottomRight" state="frozen"/>
      <selection pane="topRight" activeCell="C1" sqref="C1"/>
      <selection pane="bottomLeft" activeCell="A6" sqref="A6"/>
      <selection pane="bottomRight"/>
    </sheetView>
  </sheetViews>
  <sheetFormatPr baseColWidth="10" defaultColWidth="9.375" defaultRowHeight="15" x14ac:dyDescent="0.25"/>
  <cols>
    <col min="1" max="1" width="7.25" style="96" customWidth="1"/>
    <col min="2" max="2" width="22" style="96" customWidth="1"/>
    <col min="3" max="3" width="11.625" style="96" customWidth="1"/>
    <col min="4" max="4" width="11.375" style="96" customWidth="1"/>
    <col min="5" max="5" width="6.625" style="96" customWidth="1"/>
    <col min="6" max="6" width="12" style="96" bestFit="1" customWidth="1"/>
    <col min="7" max="7" width="19.625" style="96" customWidth="1"/>
    <col min="8" max="8" width="14.25" style="96" customWidth="1"/>
    <col min="9" max="9" width="20" style="96" customWidth="1"/>
    <col min="10" max="10" width="16.625" style="96" customWidth="1"/>
    <col min="11" max="11" width="14.5" style="96" customWidth="1"/>
    <col min="12" max="12" width="13" style="96" customWidth="1"/>
    <col min="13" max="13" width="10.75" style="96" bestFit="1" customWidth="1"/>
    <col min="14" max="14" width="13.125" style="98" customWidth="1"/>
    <col min="15" max="15" width="9.375" style="97"/>
    <col min="16" max="16" width="9.875" style="98" customWidth="1"/>
    <col min="17" max="17" width="11.75" style="98" bestFit="1" customWidth="1"/>
    <col min="18" max="20" width="9.375" style="97"/>
    <col min="21" max="247" width="9.375" style="96"/>
    <col min="248" max="248" width="5" style="96" customWidth="1"/>
    <col min="249" max="249" width="17.875" style="96" bestFit="1" customWidth="1"/>
    <col min="250" max="250" width="9.875" style="96" customWidth="1"/>
    <col min="251" max="251" width="8.875" style="96" customWidth="1"/>
    <col min="252" max="252" width="7.375" style="96" bestFit="1" customWidth="1"/>
    <col min="253" max="253" width="10.125" style="96" bestFit="1" customWidth="1"/>
    <col min="254" max="254" width="9.375" style="96"/>
    <col min="255" max="255" width="10.125" style="96" bestFit="1" customWidth="1"/>
    <col min="256" max="256" width="10.75" style="96" customWidth="1"/>
    <col min="257" max="259" width="9.375" style="96"/>
    <col min="260" max="261" width="10.75" style="96" customWidth="1"/>
    <col min="262" max="266" width="9.375" style="96"/>
    <col min="267" max="267" width="1.625" style="96" bestFit="1" customWidth="1"/>
    <col min="268" max="268" width="9.375" style="96"/>
    <col min="269" max="269" width="8.875" style="96" customWidth="1"/>
    <col min="270" max="270" width="13.125" style="96" customWidth="1"/>
    <col min="271" max="271" width="9.375" style="96"/>
    <col min="272" max="272" width="9.875" style="96" customWidth="1"/>
    <col min="273" max="273" width="11.75" style="96" bestFit="1" customWidth="1"/>
    <col min="274" max="503" width="9.375" style="96"/>
    <col min="504" max="504" width="5" style="96" customWidth="1"/>
    <col min="505" max="505" width="17.875" style="96" bestFit="1" customWidth="1"/>
    <col min="506" max="506" width="9.875" style="96" customWidth="1"/>
    <col min="507" max="507" width="8.875" style="96" customWidth="1"/>
    <col min="508" max="508" width="7.375" style="96" bestFit="1" customWidth="1"/>
    <col min="509" max="509" width="10.125" style="96" bestFit="1" customWidth="1"/>
    <col min="510" max="510" width="9.375" style="96"/>
    <col min="511" max="511" width="10.125" style="96" bestFit="1" customWidth="1"/>
    <col min="512" max="512" width="10.75" style="96" customWidth="1"/>
    <col min="513" max="515" width="9.375" style="96"/>
    <col min="516" max="517" width="10.75" style="96" customWidth="1"/>
    <col min="518" max="522" width="9.375" style="96"/>
    <col min="523" max="523" width="1.625" style="96" bestFit="1" customWidth="1"/>
    <col min="524" max="524" width="9.375" style="96"/>
    <col min="525" max="525" width="8.875" style="96" customWidth="1"/>
    <col min="526" max="526" width="13.125" style="96" customWidth="1"/>
    <col min="527" max="527" width="9.375" style="96"/>
    <col min="528" max="528" width="9.875" style="96" customWidth="1"/>
    <col min="529" max="529" width="11.75" style="96" bestFit="1" customWidth="1"/>
    <col min="530" max="759" width="9.375" style="96"/>
    <col min="760" max="760" width="5" style="96" customWidth="1"/>
    <col min="761" max="761" width="17.875" style="96" bestFit="1" customWidth="1"/>
    <col min="762" max="762" width="9.875" style="96" customWidth="1"/>
    <col min="763" max="763" width="8.875" style="96" customWidth="1"/>
    <col min="764" max="764" width="7.375" style="96" bestFit="1" customWidth="1"/>
    <col min="765" max="765" width="10.125" style="96" bestFit="1" customWidth="1"/>
    <col min="766" max="766" width="9.375" style="96"/>
    <col min="767" max="767" width="10.125" style="96" bestFit="1" customWidth="1"/>
    <col min="768" max="768" width="10.75" style="96" customWidth="1"/>
    <col min="769" max="771" width="9.375" style="96"/>
    <col min="772" max="773" width="10.75" style="96" customWidth="1"/>
    <col min="774" max="778" width="9.375" style="96"/>
    <col min="779" max="779" width="1.625" style="96" bestFit="1" customWidth="1"/>
    <col min="780" max="780" width="9.375" style="96"/>
    <col min="781" max="781" width="8.875" style="96" customWidth="1"/>
    <col min="782" max="782" width="13.125" style="96" customWidth="1"/>
    <col min="783" max="783" width="9.375" style="96"/>
    <col min="784" max="784" width="9.875" style="96" customWidth="1"/>
    <col min="785" max="785" width="11.75" style="96" bestFit="1" customWidth="1"/>
    <col min="786" max="1015" width="9.375" style="96"/>
    <col min="1016" max="1016" width="5" style="96" customWidth="1"/>
    <col min="1017" max="1017" width="17.875" style="96" bestFit="1" customWidth="1"/>
    <col min="1018" max="1018" width="9.875" style="96" customWidth="1"/>
    <col min="1019" max="1019" width="8.875" style="96" customWidth="1"/>
    <col min="1020" max="1020" width="7.375" style="96" bestFit="1" customWidth="1"/>
    <col min="1021" max="1021" width="10.125" style="96" bestFit="1" customWidth="1"/>
    <col min="1022" max="1022" width="9.375" style="96"/>
    <col min="1023" max="1023" width="10.125" style="96" bestFit="1" customWidth="1"/>
    <col min="1024" max="1024" width="10.75" style="96" customWidth="1"/>
    <col min="1025" max="1027" width="9.375" style="96"/>
    <col min="1028" max="1029" width="10.75" style="96" customWidth="1"/>
    <col min="1030" max="1034" width="9.375" style="96"/>
    <col min="1035" max="1035" width="1.625" style="96" bestFit="1" customWidth="1"/>
    <col min="1036" max="1036" width="9.375" style="96"/>
    <col min="1037" max="1037" width="8.875" style="96" customWidth="1"/>
    <col min="1038" max="1038" width="13.125" style="96" customWidth="1"/>
    <col min="1039" max="1039" width="9.375" style="96"/>
    <col min="1040" max="1040" width="9.875" style="96" customWidth="1"/>
    <col min="1041" max="1041" width="11.75" style="96" bestFit="1" customWidth="1"/>
    <col min="1042" max="1271" width="9.375" style="96"/>
    <col min="1272" max="1272" width="5" style="96" customWidth="1"/>
    <col min="1273" max="1273" width="17.875" style="96" bestFit="1" customWidth="1"/>
    <col min="1274" max="1274" width="9.875" style="96" customWidth="1"/>
    <col min="1275" max="1275" width="8.875" style="96" customWidth="1"/>
    <col min="1276" max="1276" width="7.375" style="96" bestFit="1" customWidth="1"/>
    <col min="1277" max="1277" width="10.125" style="96" bestFit="1" customWidth="1"/>
    <col min="1278" max="1278" width="9.375" style="96"/>
    <col min="1279" max="1279" width="10.125" style="96" bestFit="1" customWidth="1"/>
    <col min="1280" max="1280" width="10.75" style="96" customWidth="1"/>
    <col min="1281" max="1283" width="9.375" style="96"/>
    <col min="1284" max="1285" width="10.75" style="96" customWidth="1"/>
    <col min="1286" max="1290" width="9.375" style="96"/>
    <col min="1291" max="1291" width="1.625" style="96" bestFit="1" customWidth="1"/>
    <col min="1292" max="1292" width="9.375" style="96"/>
    <col min="1293" max="1293" width="8.875" style="96" customWidth="1"/>
    <col min="1294" max="1294" width="13.125" style="96" customWidth="1"/>
    <col min="1295" max="1295" width="9.375" style="96"/>
    <col min="1296" max="1296" width="9.875" style="96" customWidth="1"/>
    <col min="1297" max="1297" width="11.75" style="96" bestFit="1" customWidth="1"/>
    <col min="1298" max="1527" width="9.375" style="96"/>
    <col min="1528" max="1528" width="5" style="96" customWidth="1"/>
    <col min="1529" max="1529" width="17.875" style="96" bestFit="1" customWidth="1"/>
    <col min="1530" max="1530" width="9.875" style="96" customWidth="1"/>
    <col min="1531" max="1531" width="8.875" style="96" customWidth="1"/>
    <col min="1532" max="1532" width="7.375" style="96" bestFit="1" customWidth="1"/>
    <col min="1533" max="1533" width="10.125" style="96" bestFit="1" customWidth="1"/>
    <col min="1534" max="1534" width="9.375" style="96"/>
    <col min="1535" max="1535" width="10.125" style="96" bestFit="1" customWidth="1"/>
    <col min="1536" max="1536" width="10.75" style="96" customWidth="1"/>
    <col min="1537" max="1539" width="9.375" style="96"/>
    <col min="1540" max="1541" width="10.75" style="96" customWidth="1"/>
    <col min="1542" max="1546" width="9.375" style="96"/>
    <col min="1547" max="1547" width="1.625" style="96" bestFit="1" customWidth="1"/>
    <col min="1548" max="1548" width="9.375" style="96"/>
    <col min="1549" max="1549" width="8.875" style="96" customWidth="1"/>
    <col min="1550" max="1550" width="13.125" style="96" customWidth="1"/>
    <col min="1551" max="1551" width="9.375" style="96"/>
    <col min="1552" max="1552" width="9.875" style="96" customWidth="1"/>
    <col min="1553" max="1553" width="11.75" style="96" bestFit="1" customWidth="1"/>
    <col min="1554" max="1783" width="9.375" style="96"/>
    <col min="1784" max="1784" width="5" style="96" customWidth="1"/>
    <col min="1785" max="1785" width="17.875" style="96" bestFit="1" customWidth="1"/>
    <col min="1786" max="1786" width="9.875" style="96" customWidth="1"/>
    <col min="1787" max="1787" width="8.875" style="96" customWidth="1"/>
    <col min="1788" max="1788" width="7.375" style="96" bestFit="1" customWidth="1"/>
    <col min="1789" max="1789" width="10.125" style="96" bestFit="1" customWidth="1"/>
    <col min="1790" max="1790" width="9.375" style="96"/>
    <col min="1791" max="1791" width="10.125" style="96" bestFit="1" customWidth="1"/>
    <col min="1792" max="1792" width="10.75" style="96" customWidth="1"/>
    <col min="1793" max="1795" width="9.375" style="96"/>
    <col min="1796" max="1797" width="10.75" style="96" customWidth="1"/>
    <col min="1798" max="1802" width="9.375" style="96"/>
    <col min="1803" max="1803" width="1.625" style="96" bestFit="1" customWidth="1"/>
    <col min="1804" max="1804" width="9.375" style="96"/>
    <col min="1805" max="1805" width="8.875" style="96" customWidth="1"/>
    <col min="1806" max="1806" width="13.125" style="96" customWidth="1"/>
    <col min="1807" max="1807" width="9.375" style="96"/>
    <col min="1808" max="1808" width="9.875" style="96" customWidth="1"/>
    <col min="1809" max="1809" width="11.75" style="96" bestFit="1" customWidth="1"/>
    <col min="1810" max="2039" width="9.375" style="96"/>
    <col min="2040" max="2040" width="5" style="96" customWidth="1"/>
    <col min="2041" max="2041" width="17.875" style="96" bestFit="1" customWidth="1"/>
    <col min="2042" max="2042" width="9.875" style="96" customWidth="1"/>
    <col min="2043" max="2043" width="8.875" style="96" customWidth="1"/>
    <col min="2044" max="2044" width="7.375" style="96" bestFit="1" customWidth="1"/>
    <col min="2045" max="2045" width="10.125" style="96" bestFit="1" customWidth="1"/>
    <col min="2046" max="2046" width="9.375" style="96"/>
    <col min="2047" max="2047" width="10.125" style="96" bestFit="1" customWidth="1"/>
    <col min="2048" max="2048" width="10.75" style="96" customWidth="1"/>
    <col min="2049" max="2051" width="9.375" style="96"/>
    <col min="2052" max="2053" width="10.75" style="96" customWidth="1"/>
    <col min="2054" max="2058" width="9.375" style="96"/>
    <col min="2059" max="2059" width="1.625" style="96" bestFit="1" customWidth="1"/>
    <col min="2060" max="2060" width="9.375" style="96"/>
    <col min="2061" max="2061" width="8.875" style="96" customWidth="1"/>
    <col min="2062" max="2062" width="13.125" style="96" customWidth="1"/>
    <col min="2063" max="2063" width="9.375" style="96"/>
    <col min="2064" max="2064" width="9.875" style="96" customWidth="1"/>
    <col min="2065" max="2065" width="11.75" style="96" bestFit="1" customWidth="1"/>
    <col min="2066" max="2295" width="9.375" style="96"/>
    <col min="2296" max="2296" width="5" style="96" customWidth="1"/>
    <col min="2297" max="2297" width="17.875" style="96" bestFit="1" customWidth="1"/>
    <col min="2298" max="2298" width="9.875" style="96" customWidth="1"/>
    <col min="2299" max="2299" width="8.875" style="96" customWidth="1"/>
    <col min="2300" max="2300" width="7.375" style="96" bestFit="1" customWidth="1"/>
    <col min="2301" max="2301" width="10.125" style="96" bestFit="1" customWidth="1"/>
    <col min="2302" max="2302" width="9.375" style="96"/>
    <col min="2303" max="2303" width="10.125" style="96" bestFit="1" customWidth="1"/>
    <col min="2304" max="2304" width="10.75" style="96" customWidth="1"/>
    <col min="2305" max="2307" width="9.375" style="96"/>
    <col min="2308" max="2309" width="10.75" style="96" customWidth="1"/>
    <col min="2310" max="2314" width="9.375" style="96"/>
    <col min="2315" max="2315" width="1.625" style="96" bestFit="1" customWidth="1"/>
    <col min="2316" max="2316" width="9.375" style="96"/>
    <col min="2317" max="2317" width="8.875" style="96" customWidth="1"/>
    <col min="2318" max="2318" width="13.125" style="96" customWidth="1"/>
    <col min="2319" max="2319" width="9.375" style="96"/>
    <col min="2320" max="2320" width="9.875" style="96" customWidth="1"/>
    <col min="2321" max="2321" width="11.75" style="96" bestFit="1" customWidth="1"/>
    <col min="2322" max="2551" width="9.375" style="96"/>
    <col min="2552" max="2552" width="5" style="96" customWidth="1"/>
    <col min="2553" max="2553" width="17.875" style="96" bestFit="1" customWidth="1"/>
    <col min="2554" max="2554" width="9.875" style="96" customWidth="1"/>
    <col min="2555" max="2555" width="8.875" style="96" customWidth="1"/>
    <col min="2556" max="2556" width="7.375" style="96" bestFit="1" customWidth="1"/>
    <col min="2557" max="2557" width="10.125" style="96" bestFit="1" customWidth="1"/>
    <col min="2558" max="2558" width="9.375" style="96"/>
    <col min="2559" max="2559" width="10.125" style="96" bestFit="1" customWidth="1"/>
    <col min="2560" max="2560" width="10.75" style="96" customWidth="1"/>
    <col min="2561" max="2563" width="9.375" style="96"/>
    <col min="2564" max="2565" width="10.75" style="96" customWidth="1"/>
    <col min="2566" max="2570" width="9.375" style="96"/>
    <col min="2571" max="2571" width="1.625" style="96" bestFit="1" customWidth="1"/>
    <col min="2572" max="2572" width="9.375" style="96"/>
    <col min="2573" max="2573" width="8.875" style="96" customWidth="1"/>
    <col min="2574" max="2574" width="13.125" style="96" customWidth="1"/>
    <col min="2575" max="2575" width="9.375" style="96"/>
    <col min="2576" max="2576" width="9.875" style="96" customWidth="1"/>
    <col min="2577" max="2577" width="11.75" style="96" bestFit="1" customWidth="1"/>
    <col min="2578" max="2807" width="9.375" style="96"/>
    <col min="2808" max="2808" width="5" style="96" customWidth="1"/>
    <col min="2809" max="2809" width="17.875" style="96" bestFit="1" customWidth="1"/>
    <col min="2810" max="2810" width="9.875" style="96" customWidth="1"/>
    <col min="2811" max="2811" width="8.875" style="96" customWidth="1"/>
    <col min="2812" max="2812" width="7.375" style="96" bestFit="1" customWidth="1"/>
    <col min="2813" max="2813" width="10.125" style="96" bestFit="1" customWidth="1"/>
    <col min="2814" max="2814" width="9.375" style="96"/>
    <col min="2815" max="2815" width="10.125" style="96" bestFit="1" customWidth="1"/>
    <col min="2816" max="2816" width="10.75" style="96" customWidth="1"/>
    <col min="2817" max="2819" width="9.375" style="96"/>
    <col min="2820" max="2821" width="10.75" style="96" customWidth="1"/>
    <col min="2822" max="2826" width="9.375" style="96"/>
    <col min="2827" max="2827" width="1.625" style="96" bestFit="1" customWidth="1"/>
    <col min="2828" max="2828" width="9.375" style="96"/>
    <col min="2829" max="2829" width="8.875" style="96" customWidth="1"/>
    <col min="2830" max="2830" width="13.125" style="96" customWidth="1"/>
    <col min="2831" max="2831" width="9.375" style="96"/>
    <col min="2832" max="2832" width="9.875" style="96" customWidth="1"/>
    <col min="2833" max="2833" width="11.75" style="96" bestFit="1" customWidth="1"/>
    <col min="2834" max="3063" width="9.375" style="96"/>
    <col min="3064" max="3064" width="5" style="96" customWidth="1"/>
    <col min="3065" max="3065" width="17.875" style="96" bestFit="1" customWidth="1"/>
    <col min="3066" max="3066" width="9.875" style="96" customWidth="1"/>
    <col min="3067" max="3067" width="8.875" style="96" customWidth="1"/>
    <col min="3068" max="3068" width="7.375" style="96" bestFit="1" customWidth="1"/>
    <col min="3069" max="3069" width="10.125" style="96" bestFit="1" customWidth="1"/>
    <col min="3070" max="3070" width="9.375" style="96"/>
    <col min="3071" max="3071" width="10.125" style="96" bestFit="1" customWidth="1"/>
    <col min="3072" max="3072" width="10.75" style="96" customWidth="1"/>
    <col min="3073" max="3075" width="9.375" style="96"/>
    <col min="3076" max="3077" width="10.75" style="96" customWidth="1"/>
    <col min="3078" max="3082" width="9.375" style="96"/>
    <col min="3083" max="3083" width="1.625" style="96" bestFit="1" customWidth="1"/>
    <col min="3084" max="3084" width="9.375" style="96"/>
    <col min="3085" max="3085" width="8.875" style="96" customWidth="1"/>
    <col min="3086" max="3086" width="13.125" style="96" customWidth="1"/>
    <col min="3087" max="3087" width="9.375" style="96"/>
    <col min="3088" max="3088" width="9.875" style="96" customWidth="1"/>
    <col min="3089" max="3089" width="11.75" style="96" bestFit="1" customWidth="1"/>
    <col min="3090" max="3319" width="9.375" style="96"/>
    <col min="3320" max="3320" width="5" style="96" customWidth="1"/>
    <col min="3321" max="3321" width="17.875" style="96" bestFit="1" customWidth="1"/>
    <col min="3322" max="3322" width="9.875" style="96" customWidth="1"/>
    <col min="3323" max="3323" width="8.875" style="96" customWidth="1"/>
    <col min="3324" max="3324" width="7.375" style="96" bestFit="1" customWidth="1"/>
    <col min="3325" max="3325" width="10.125" style="96" bestFit="1" customWidth="1"/>
    <col min="3326" max="3326" width="9.375" style="96"/>
    <col min="3327" max="3327" width="10.125" style="96" bestFit="1" customWidth="1"/>
    <col min="3328" max="3328" width="10.75" style="96" customWidth="1"/>
    <col min="3329" max="3331" width="9.375" style="96"/>
    <col min="3332" max="3333" width="10.75" style="96" customWidth="1"/>
    <col min="3334" max="3338" width="9.375" style="96"/>
    <col min="3339" max="3339" width="1.625" style="96" bestFit="1" customWidth="1"/>
    <col min="3340" max="3340" width="9.375" style="96"/>
    <col min="3341" max="3341" width="8.875" style="96" customWidth="1"/>
    <col min="3342" max="3342" width="13.125" style="96" customWidth="1"/>
    <col min="3343" max="3343" width="9.375" style="96"/>
    <col min="3344" max="3344" width="9.875" style="96" customWidth="1"/>
    <col min="3345" max="3345" width="11.75" style="96" bestFit="1" customWidth="1"/>
    <col min="3346" max="3575" width="9.375" style="96"/>
    <col min="3576" max="3576" width="5" style="96" customWidth="1"/>
    <col min="3577" max="3577" width="17.875" style="96" bestFit="1" customWidth="1"/>
    <col min="3578" max="3578" width="9.875" style="96" customWidth="1"/>
    <col min="3579" max="3579" width="8.875" style="96" customWidth="1"/>
    <col min="3580" max="3580" width="7.375" style="96" bestFit="1" customWidth="1"/>
    <col min="3581" max="3581" width="10.125" style="96" bestFit="1" customWidth="1"/>
    <col min="3582" max="3582" width="9.375" style="96"/>
    <col min="3583" max="3583" width="10.125" style="96" bestFit="1" customWidth="1"/>
    <col min="3584" max="3584" width="10.75" style="96" customWidth="1"/>
    <col min="3585" max="3587" width="9.375" style="96"/>
    <col min="3588" max="3589" width="10.75" style="96" customWidth="1"/>
    <col min="3590" max="3594" width="9.375" style="96"/>
    <col min="3595" max="3595" width="1.625" style="96" bestFit="1" customWidth="1"/>
    <col min="3596" max="3596" width="9.375" style="96"/>
    <col min="3597" max="3597" width="8.875" style="96" customWidth="1"/>
    <col min="3598" max="3598" width="13.125" style="96" customWidth="1"/>
    <col min="3599" max="3599" width="9.375" style="96"/>
    <col min="3600" max="3600" width="9.875" style="96" customWidth="1"/>
    <col min="3601" max="3601" width="11.75" style="96" bestFit="1" customWidth="1"/>
    <col min="3602" max="3831" width="9.375" style="96"/>
    <col min="3832" max="3832" width="5" style="96" customWidth="1"/>
    <col min="3833" max="3833" width="17.875" style="96" bestFit="1" customWidth="1"/>
    <col min="3834" max="3834" width="9.875" style="96" customWidth="1"/>
    <col min="3835" max="3835" width="8.875" style="96" customWidth="1"/>
    <col min="3836" max="3836" width="7.375" style="96" bestFit="1" customWidth="1"/>
    <col min="3837" max="3837" width="10.125" style="96" bestFit="1" customWidth="1"/>
    <col min="3838" max="3838" width="9.375" style="96"/>
    <col min="3839" max="3839" width="10.125" style="96" bestFit="1" customWidth="1"/>
    <col min="3840" max="3840" width="10.75" style="96" customWidth="1"/>
    <col min="3841" max="3843" width="9.375" style="96"/>
    <col min="3844" max="3845" width="10.75" style="96" customWidth="1"/>
    <col min="3846" max="3850" width="9.375" style="96"/>
    <col min="3851" max="3851" width="1.625" style="96" bestFit="1" customWidth="1"/>
    <col min="3852" max="3852" width="9.375" style="96"/>
    <col min="3853" max="3853" width="8.875" style="96" customWidth="1"/>
    <col min="3854" max="3854" width="13.125" style="96" customWidth="1"/>
    <col min="3855" max="3855" width="9.375" style="96"/>
    <col min="3856" max="3856" width="9.875" style="96" customWidth="1"/>
    <col min="3857" max="3857" width="11.75" style="96" bestFit="1" customWidth="1"/>
    <col min="3858" max="4087" width="9.375" style="96"/>
    <col min="4088" max="4088" width="5" style="96" customWidth="1"/>
    <col min="4089" max="4089" width="17.875" style="96" bestFit="1" customWidth="1"/>
    <col min="4090" max="4090" width="9.875" style="96" customWidth="1"/>
    <col min="4091" max="4091" width="8.875" style="96" customWidth="1"/>
    <col min="4092" max="4092" width="7.375" style="96" bestFit="1" customWidth="1"/>
    <col min="4093" max="4093" width="10.125" style="96" bestFit="1" customWidth="1"/>
    <col min="4094" max="4094" width="9.375" style="96"/>
    <col min="4095" max="4095" width="10.125" style="96" bestFit="1" customWidth="1"/>
    <col min="4096" max="4096" width="10.75" style="96" customWidth="1"/>
    <col min="4097" max="4099" width="9.375" style="96"/>
    <col min="4100" max="4101" width="10.75" style="96" customWidth="1"/>
    <col min="4102" max="4106" width="9.375" style="96"/>
    <col min="4107" max="4107" width="1.625" style="96" bestFit="1" customWidth="1"/>
    <col min="4108" max="4108" width="9.375" style="96"/>
    <col min="4109" max="4109" width="8.875" style="96" customWidth="1"/>
    <col min="4110" max="4110" width="13.125" style="96" customWidth="1"/>
    <col min="4111" max="4111" width="9.375" style="96"/>
    <col min="4112" max="4112" width="9.875" style="96" customWidth="1"/>
    <col min="4113" max="4113" width="11.75" style="96" bestFit="1" customWidth="1"/>
    <col min="4114" max="4343" width="9.375" style="96"/>
    <col min="4344" max="4344" width="5" style="96" customWidth="1"/>
    <col min="4345" max="4345" width="17.875" style="96" bestFit="1" customWidth="1"/>
    <col min="4346" max="4346" width="9.875" style="96" customWidth="1"/>
    <col min="4347" max="4347" width="8.875" style="96" customWidth="1"/>
    <col min="4348" max="4348" width="7.375" style="96" bestFit="1" customWidth="1"/>
    <col min="4349" max="4349" width="10.125" style="96" bestFit="1" customWidth="1"/>
    <col min="4350" max="4350" width="9.375" style="96"/>
    <col min="4351" max="4351" width="10.125" style="96" bestFit="1" customWidth="1"/>
    <col min="4352" max="4352" width="10.75" style="96" customWidth="1"/>
    <col min="4353" max="4355" width="9.375" style="96"/>
    <col min="4356" max="4357" width="10.75" style="96" customWidth="1"/>
    <col min="4358" max="4362" width="9.375" style="96"/>
    <col min="4363" max="4363" width="1.625" style="96" bestFit="1" customWidth="1"/>
    <col min="4364" max="4364" width="9.375" style="96"/>
    <col min="4365" max="4365" width="8.875" style="96" customWidth="1"/>
    <col min="4366" max="4366" width="13.125" style="96" customWidth="1"/>
    <col min="4367" max="4367" width="9.375" style="96"/>
    <col min="4368" max="4368" width="9.875" style="96" customWidth="1"/>
    <col min="4369" max="4369" width="11.75" style="96" bestFit="1" customWidth="1"/>
    <col min="4370" max="4599" width="9.375" style="96"/>
    <col min="4600" max="4600" width="5" style="96" customWidth="1"/>
    <col min="4601" max="4601" width="17.875" style="96" bestFit="1" customWidth="1"/>
    <col min="4602" max="4602" width="9.875" style="96" customWidth="1"/>
    <col min="4603" max="4603" width="8.875" style="96" customWidth="1"/>
    <col min="4604" max="4604" width="7.375" style="96" bestFit="1" customWidth="1"/>
    <col min="4605" max="4605" width="10.125" style="96" bestFit="1" customWidth="1"/>
    <col min="4606" max="4606" width="9.375" style="96"/>
    <col min="4607" max="4607" width="10.125" style="96" bestFit="1" customWidth="1"/>
    <col min="4608" max="4608" width="10.75" style="96" customWidth="1"/>
    <col min="4609" max="4611" width="9.375" style="96"/>
    <col min="4612" max="4613" width="10.75" style="96" customWidth="1"/>
    <col min="4614" max="4618" width="9.375" style="96"/>
    <col min="4619" max="4619" width="1.625" style="96" bestFit="1" customWidth="1"/>
    <col min="4620" max="4620" width="9.375" style="96"/>
    <col min="4621" max="4621" width="8.875" style="96" customWidth="1"/>
    <col min="4622" max="4622" width="13.125" style="96" customWidth="1"/>
    <col min="4623" max="4623" width="9.375" style="96"/>
    <col min="4624" max="4624" width="9.875" style="96" customWidth="1"/>
    <col min="4625" max="4625" width="11.75" style="96" bestFit="1" customWidth="1"/>
    <col min="4626" max="4855" width="9.375" style="96"/>
    <col min="4856" max="4856" width="5" style="96" customWidth="1"/>
    <col min="4857" max="4857" width="17.875" style="96" bestFit="1" customWidth="1"/>
    <col min="4858" max="4858" width="9.875" style="96" customWidth="1"/>
    <col min="4859" max="4859" width="8.875" style="96" customWidth="1"/>
    <col min="4860" max="4860" width="7.375" style="96" bestFit="1" customWidth="1"/>
    <col min="4861" max="4861" width="10.125" style="96" bestFit="1" customWidth="1"/>
    <col min="4862" max="4862" width="9.375" style="96"/>
    <col min="4863" max="4863" width="10.125" style="96" bestFit="1" customWidth="1"/>
    <col min="4864" max="4864" width="10.75" style="96" customWidth="1"/>
    <col min="4865" max="4867" width="9.375" style="96"/>
    <col min="4868" max="4869" width="10.75" style="96" customWidth="1"/>
    <col min="4870" max="4874" width="9.375" style="96"/>
    <col min="4875" max="4875" width="1.625" style="96" bestFit="1" customWidth="1"/>
    <col min="4876" max="4876" width="9.375" style="96"/>
    <col min="4877" max="4877" width="8.875" style="96" customWidth="1"/>
    <col min="4878" max="4878" width="13.125" style="96" customWidth="1"/>
    <col min="4879" max="4879" width="9.375" style="96"/>
    <col min="4880" max="4880" width="9.875" style="96" customWidth="1"/>
    <col min="4881" max="4881" width="11.75" style="96" bestFit="1" customWidth="1"/>
    <col min="4882" max="5111" width="9.375" style="96"/>
    <col min="5112" max="5112" width="5" style="96" customWidth="1"/>
    <col min="5113" max="5113" width="17.875" style="96" bestFit="1" customWidth="1"/>
    <col min="5114" max="5114" width="9.875" style="96" customWidth="1"/>
    <col min="5115" max="5115" width="8.875" style="96" customWidth="1"/>
    <col min="5116" max="5116" width="7.375" style="96" bestFit="1" customWidth="1"/>
    <col min="5117" max="5117" width="10.125" style="96" bestFit="1" customWidth="1"/>
    <col min="5118" max="5118" width="9.375" style="96"/>
    <col min="5119" max="5119" width="10.125" style="96" bestFit="1" customWidth="1"/>
    <col min="5120" max="5120" width="10.75" style="96" customWidth="1"/>
    <col min="5121" max="5123" width="9.375" style="96"/>
    <col min="5124" max="5125" width="10.75" style="96" customWidth="1"/>
    <col min="5126" max="5130" width="9.375" style="96"/>
    <col min="5131" max="5131" width="1.625" style="96" bestFit="1" customWidth="1"/>
    <col min="5132" max="5132" width="9.375" style="96"/>
    <col min="5133" max="5133" width="8.875" style="96" customWidth="1"/>
    <col min="5134" max="5134" width="13.125" style="96" customWidth="1"/>
    <col min="5135" max="5135" width="9.375" style="96"/>
    <col min="5136" max="5136" width="9.875" style="96" customWidth="1"/>
    <col min="5137" max="5137" width="11.75" style="96" bestFit="1" customWidth="1"/>
    <col min="5138" max="5367" width="9.375" style="96"/>
    <col min="5368" max="5368" width="5" style="96" customWidth="1"/>
    <col min="5369" max="5369" width="17.875" style="96" bestFit="1" customWidth="1"/>
    <col min="5370" max="5370" width="9.875" style="96" customWidth="1"/>
    <col min="5371" max="5371" width="8.875" style="96" customWidth="1"/>
    <col min="5372" max="5372" width="7.375" style="96" bestFit="1" customWidth="1"/>
    <col min="5373" max="5373" width="10.125" style="96" bestFit="1" customWidth="1"/>
    <col min="5374" max="5374" width="9.375" style="96"/>
    <col min="5375" max="5375" width="10.125" style="96" bestFit="1" customWidth="1"/>
    <col min="5376" max="5376" width="10.75" style="96" customWidth="1"/>
    <col min="5377" max="5379" width="9.375" style="96"/>
    <col min="5380" max="5381" width="10.75" style="96" customWidth="1"/>
    <col min="5382" max="5386" width="9.375" style="96"/>
    <col min="5387" max="5387" width="1.625" style="96" bestFit="1" customWidth="1"/>
    <col min="5388" max="5388" width="9.375" style="96"/>
    <col min="5389" max="5389" width="8.875" style="96" customWidth="1"/>
    <col min="5390" max="5390" width="13.125" style="96" customWidth="1"/>
    <col min="5391" max="5391" width="9.375" style="96"/>
    <col min="5392" max="5392" width="9.875" style="96" customWidth="1"/>
    <col min="5393" max="5393" width="11.75" style="96" bestFit="1" customWidth="1"/>
    <col min="5394" max="5623" width="9.375" style="96"/>
    <col min="5624" max="5624" width="5" style="96" customWidth="1"/>
    <col min="5625" max="5625" width="17.875" style="96" bestFit="1" customWidth="1"/>
    <col min="5626" max="5626" width="9.875" style="96" customWidth="1"/>
    <col min="5627" max="5627" width="8.875" style="96" customWidth="1"/>
    <col min="5628" max="5628" width="7.375" style="96" bestFit="1" customWidth="1"/>
    <col min="5629" max="5629" width="10.125" style="96" bestFit="1" customWidth="1"/>
    <col min="5630" max="5630" width="9.375" style="96"/>
    <col min="5631" max="5631" width="10.125" style="96" bestFit="1" customWidth="1"/>
    <col min="5632" max="5632" width="10.75" style="96" customWidth="1"/>
    <col min="5633" max="5635" width="9.375" style="96"/>
    <col min="5636" max="5637" width="10.75" style="96" customWidth="1"/>
    <col min="5638" max="5642" width="9.375" style="96"/>
    <col min="5643" max="5643" width="1.625" style="96" bestFit="1" customWidth="1"/>
    <col min="5644" max="5644" width="9.375" style="96"/>
    <col min="5645" max="5645" width="8.875" style="96" customWidth="1"/>
    <col min="5646" max="5646" width="13.125" style="96" customWidth="1"/>
    <col min="5647" max="5647" width="9.375" style="96"/>
    <col min="5648" max="5648" width="9.875" style="96" customWidth="1"/>
    <col min="5649" max="5649" width="11.75" style="96" bestFit="1" customWidth="1"/>
    <col min="5650" max="5879" width="9.375" style="96"/>
    <col min="5880" max="5880" width="5" style="96" customWidth="1"/>
    <col min="5881" max="5881" width="17.875" style="96" bestFit="1" customWidth="1"/>
    <col min="5882" max="5882" width="9.875" style="96" customWidth="1"/>
    <col min="5883" max="5883" width="8.875" style="96" customWidth="1"/>
    <col min="5884" max="5884" width="7.375" style="96" bestFit="1" customWidth="1"/>
    <col min="5885" max="5885" width="10.125" style="96" bestFit="1" customWidth="1"/>
    <col min="5886" max="5886" width="9.375" style="96"/>
    <col min="5887" max="5887" width="10.125" style="96" bestFit="1" customWidth="1"/>
    <col min="5888" max="5888" width="10.75" style="96" customWidth="1"/>
    <col min="5889" max="5891" width="9.375" style="96"/>
    <col min="5892" max="5893" width="10.75" style="96" customWidth="1"/>
    <col min="5894" max="5898" width="9.375" style="96"/>
    <col min="5899" max="5899" width="1.625" style="96" bestFit="1" customWidth="1"/>
    <col min="5900" max="5900" width="9.375" style="96"/>
    <col min="5901" max="5901" width="8.875" style="96" customWidth="1"/>
    <col min="5902" max="5902" width="13.125" style="96" customWidth="1"/>
    <col min="5903" max="5903" width="9.375" style="96"/>
    <col min="5904" max="5904" width="9.875" style="96" customWidth="1"/>
    <col min="5905" max="5905" width="11.75" style="96" bestFit="1" customWidth="1"/>
    <col min="5906" max="6135" width="9.375" style="96"/>
    <col min="6136" max="6136" width="5" style="96" customWidth="1"/>
    <col min="6137" max="6137" width="17.875" style="96" bestFit="1" customWidth="1"/>
    <col min="6138" max="6138" width="9.875" style="96" customWidth="1"/>
    <col min="6139" max="6139" width="8.875" style="96" customWidth="1"/>
    <col min="6140" max="6140" width="7.375" style="96" bestFit="1" customWidth="1"/>
    <col min="6141" max="6141" width="10.125" style="96" bestFit="1" customWidth="1"/>
    <col min="6142" max="6142" width="9.375" style="96"/>
    <col min="6143" max="6143" width="10.125" style="96" bestFit="1" customWidth="1"/>
    <col min="6144" max="6144" width="10.75" style="96" customWidth="1"/>
    <col min="6145" max="6147" width="9.375" style="96"/>
    <col min="6148" max="6149" width="10.75" style="96" customWidth="1"/>
    <col min="6150" max="6154" width="9.375" style="96"/>
    <col min="6155" max="6155" width="1.625" style="96" bestFit="1" customWidth="1"/>
    <col min="6156" max="6156" width="9.375" style="96"/>
    <col min="6157" max="6157" width="8.875" style="96" customWidth="1"/>
    <col min="6158" max="6158" width="13.125" style="96" customWidth="1"/>
    <col min="6159" max="6159" width="9.375" style="96"/>
    <col min="6160" max="6160" width="9.875" style="96" customWidth="1"/>
    <col min="6161" max="6161" width="11.75" style="96" bestFit="1" customWidth="1"/>
    <col min="6162" max="6391" width="9.375" style="96"/>
    <col min="6392" max="6392" width="5" style="96" customWidth="1"/>
    <col min="6393" max="6393" width="17.875" style="96" bestFit="1" customWidth="1"/>
    <col min="6394" max="6394" width="9.875" style="96" customWidth="1"/>
    <col min="6395" max="6395" width="8.875" style="96" customWidth="1"/>
    <col min="6396" max="6396" width="7.375" style="96" bestFit="1" customWidth="1"/>
    <col min="6397" max="6397" width="10.125" style="96" bestFit="1" customWidth="1"/>
    <col min="6398" max="6398" width="9.375" style="96"/>
    <col min="6399" max="6399" width="10.125" style="96" bestFit="1" customWidth="1"/>
    <col min="6400" max="6400" width="10.75" style="96" customWidth="1"/>
    <col min="6401" max="6403" width="9.375" style="96"/>
    <col min="6404" max="6405" width="10.75" style="96" customWidth="1"/>
    <col min="6406" max="6410" width="9.375" style="96"/>
    <col min="6411" max="6411" width="1.625" style="96" bestFit="1" customWidth="1"/>
    <col min="6412" max="6412" width="9.375" style="96"/>
    <col min="6413" max="6413" width="8.875" style="96" customWidth="1"/>
    <col min="6414" max="6414" width="13.125" style="96" customWidth="1"/>
    <col min="6415" max="6415" width="9.375" style="96"/>
    <col min="6416" max="6416" width="9.875" style="96" customWidth="1"/>
    <col min="6417" max="6417" width="11.75" style="96" bestFit="1" customWidth="1"/>
    <col min="6418" max="6647" width="9.375" style="96"/>
    <col min="6648" max="6648" width="5" style="96" customWidth="1"/>
    <col min="6649" max="6649" width="17.875" style="96" bestFit="1" customWidth="1"/>
    <col min="6650" max="6650" width="9.875" style="96" customWidth="1"/>
    <col min="6651" max="6651" width="8.875" style="96" customWidth="1"/>
    <col min="6652" max="6652" width="7.375" style="96" bestFit="1" customWidth="1"/>
    <col min="6653" max="6653" width="10.125" style="96" bestFit="1" customWidth="1"/>
    <col min="6654" max="6654" width="9.375" style="96"/>
    <col min="6655" max="6655" width="10.125" style="96" bestFit="1" customWidth="1"/>
    <col min="6656" max="6656" width="10.75" style="96" customWidth="1"/>
    <col min="6657" max="6659" width="9.375" style="96"/>
    <col min="6660" max="6661" width="10.75" style="96" customWidth="1"/>
    <col min="6662" max="6666" width="9.375" style="96"/>
    <col min="6667" max="6667" width="1.625" style="96" bestFit="1" customWidth="1"/>
    <col min="6668" max="6668" width="9.375" style="96"/>
    <col min="6669" max="6669" width="8.875" style="96" customWidth="1"/>
    <col min="6670" max="6670" width="13.125" style="96" customWidth="1"/>
    <col min="6671" max="6671" width="9.375" style="96"/>
    <col min="6672" max="6672" width="9.875" style="96" customWidth="1"/>
    <col min="6673" max="6673" width="11.75" style="96" bestFit="1" customWidth="1"/>
    <col min="6674" max="6903" width="9.375" style="96"/>
    <col min="6904" max="6904" width="5" style="96" customWidth="1"/>
    <col min="6905" max="6905" width="17.875" style="96" bestFit="1" customWidth="1"/>
    <col min="6906" max="6906" width="9.875" style="96" customWidth="1"/>
    <col min="6907" max="6907" width="8.875" style="96" customWidth="1"/>
    <col min="6908" max="6908" width="7.375" style="96" bestFit="1" customWidth="1"/>
    <col min="6909" max="6909" width="10.125" style="96" bestFit="1" customWidth="1"/>
    <col min="6910" max="6910" width="9.375" style="96"/>
    <col min="6911" max="6911" width="10.125" style="96" bestFit="1" customWidth="1"/>
    <col min="6912" max="6912" width="10.75" style="96" customWidth="1"/>
    <col min="6913" max="6915" width="9.375" style="96"/>
    <col min="6916" max="6917" width="10.75" style="96" customWidth="1"/>
    <col min="6918" max="6922" width="9.375" style="96"/>
    <col min="6923" max="6923" width="1.625" style="96" bestFit="1" customWidth="1"/>
    <col min="6924" max="6924" width="9.375" style="96"/>
    <col min="6925" max="6925" width="8.875" style="96" customWidth="1"/>
    <col min="6926" max="6926" width="13.125" style="96" customWidth="1"/>
    <col min="6927" max="6927" width="9.375" style="96"/>
    <col min="6928" max="6928" width="9.875" style="96" customWidth="1"/>
    <col min="6929" max="6929" width="11.75" style="96" bestFit="1" customWidth="1"/>
    <col min="6930" max="7159" width="9.375" style="96"/>
    <col min="7160" max="7160" width="5" style="96" customWidth="1"/>
    <col min="7161" max="7161" width="17.875" style="96" bestFit="1" customWidth="1"/>
    <col min="7162" max="7162" width="9.875" style="96" customWidth="1"/>
    <col min="7163" max="7163" width="8.875" style="96" customWidth="1"/>
    <col min="7164" max="7164" width="7.375" style="96" bestFit="1" customWidth="1"/>
    <col min="7165" max="7165" width="10.125" style="96" bestFit="1" customWidth="1"/>
    <col min="7166" max="7166" width="9.375" style="96"/>
    <col min="7167" max="7167" width="10.125" style="96" bestFit="1" customWidth="1"/>
    <col min="7168" max="7168" width="10.75" style="96" customWidth="1"/>
    <col min="7169" max="7171" width="9.375" style="96"/>
    <col min="7172" max="7173" width="10.75" style="96" customWidth="1"/>
    <col min="7174" max="7178" width="9.375" style="96"/>
    <col min="7179" max="7179" width="1.625" style="96" bestFit="1" customWidth="1"/>
    <col min="7180" max="7180" width="9.375" style="96"/>
    <col min="7181" max="7181" width="8.875" style="96" customWidth="1"/>
    <col min="7182" max="7182" width="13.125" style="96" customWidth="1"/>
    <col min="7183" max="7183" width="9.375" style="96"/>
    <col min="7184" max="7184" width="9.875" style="96" customWidth="1"/>
    <col min="7185" max="7185" width="11.75" style="96" bestFit="1" customWidth="1"/>
    <col min="7186" max="7415" width="9.375" style="96"/>
    <col min="7416" max="7416" width="5" style="96" customWidth="1"/>
    <col min="7417" max="7417" width="17.875" style="96" bestFit="1" customWidth="1"/>
    <col min="7418" max="7418" width="9.875" style="96" customWidth="1"/>
    <col min="7419" max="7419" width="8.875" style="96" customWidth="1"/>
    <col min="7420" max="7420" width="7.375" style="96" bestFit="1" customWidth="1"/>
    <col min="7421" max="7421" width="10.125" style="96" bestFit="1" customWidth="1"/>
    <col min="7422" max="7422" width="9.375" style="96"/>
    <col min="7423" max="7423" width="10.125" style="96" bestFit="1" customWidth="1"/>
    <col min="7424" max="7424" width="10.75" style="96" customWidth="1"/>
    <col min="7425" max="7427" width="9.375" style="96"/>
    <col min="7428" max="7429" width="10.75" style="96" customWidth="1"/>
    <col min="7430" max="7434" width="9.375" style="96"/>
    <col min="7435" max="7435" width="1.625" style="96" bestFit="1" customWidth="1"/>
    <col min="7436" max="7436" width="9.375" style="96"/>
    <col min="7437" max="7437" width="8.875" style="96" customWidth="1"/>
    <col min="7438" max="7438" width="13.125" style="96" customWidth="1"/>
    <col min="7439" max="7439" width="9.375" style="96"/>
    <col min="7440" max="7440" width="9.875" style="96" customWidth="1"/>
    <col min="7441" max="7441" width="11.75" style="96" bestFit="1" customWidth="1"/>
    <col min="7442" max="7671" width="9.375" style="96"/>
    <col min="7672" max="7672" width="5" style="96" customWidth="1"/>
    <col min="7673" max="7673" width="17.875" style="96" bestFit="1" customWidth="1"/>
    <col min="7674" max="7674" width="9.875" style="96" customWidth="1"/>
    <col min="7675" max="7675" width="8.875" style="96" customWidth="1"/>
    <col min="7676" max="7676" width="7.375" style="96" bestFit="1" customWidth="1"/>
    <col min="7677" max="7677" width="10.125" style="96" bestFit="1" customWidth="1"/>
    <col min="7678" max="7678" width="9.375" style="96"/>
    <col min="7679" max="7679" width="10.125" style="96" bestFit="1" customWidth="1"/>
    <col min="7680" max="7680" width="10.75" style="96" customWidth="1"/>
    <col min="7681" max="7683" width="9.375" style="96"/>
    <col min="7684" max="7685" width="10.75" style="96" customWidth="1"/>
    <col min="7686" max="7690" width="9.375" style="96"/>
    <col min="7691" max="7691" width="1.625" style="96" bestFit="1" customWidth="1"/>
    <col min="7692" max="7692" width="9.375" style="96"/>
    <col min="7693" max="7693" width="8.875" style="96" customWidth="1"/>
    <col min="7694" max="7694" width="13.125" style="96" customWidth="1"/>
    <col min="7695" max="7695" width="9.375" style="96"/>
    <col min="7696" max="7696" width="9.875" style="96" customWidth="1"/>
    <col min="7697" max="7697" width="11.75" style="96" bestFit="1" customWidth="1"/>
    <col min="7698" max="7927" width="9.375" style="96"/>
    <col min="7928" max="7928" width="5" style="96" customWidth="1"/>
    <col min="7929" max="7929" width="17.875" style="96" bestFit="1" customWidth="1"/>
    <col min="7930" max="7930" width="9.875" style="96" customWidth="1"/>
    <col min="7931" max="7931" width="8.875" style="96" customWidth="1"/>
    <col min="7932" max="7932" width="7.375" style="96" bestFit="1" customWidth="1"/>
    <col min="7933" max="7933" width="10.125" style="96" bestFit="1" customWidth="1"/>
    <col min="7934" max="7934" width="9.375" style="96"/>
    <col min="7935" max="7935" width="10.125" style="96" bestFit="1" customWidth="1"/>
    <col min="7936" max="7936" width="10.75" style="96" customWidth="1"/>
    <col min="7937" max="7939" width="9.375" style="96"/>
    <col min="7940" max="7941" width="10.75" style="96" customWidth="1"/>
    <col min="7942" max="7946" width="9.375" style="96"/>
    <col min="7947" max="7947" width="1.625" style="96" bestFit="1" customWidth="1"/>
    <col min="7948" max="7948" width="9.375" style="96"/>
    <col min="7949" max="7949" width="8.875" style="96" customWidth="1"/>
    <col min="7950" max="7950" width="13.125" style="96" customWidth="1"/>
    <col min="7951" max="7951" width="9.375" style="96"/>
    <col min="7952" max="7952" width="9.875" style="96" customWidth="1"/>
    <col min="7953" max="7953" width="11.75" style="96" bestFit="1" customWidth="1"/>
    <col min="7954" max="8183" width="9.375" style="96"/>
    <col min="8184" max="8184" width="5" style="96" customWidth="1"/>
    <col min="8185" max="8185" width="17.875" style="96" bestFit="1" customWidth="1"/>
    <col min="8186" max="8186" width="9.875" style="96" customWidth="1"/>
    <col min="8187" max="8187" width="8.875" style="96" customWidth="1"/>
    <col min="8188" max="8188" width="7.375" style="96" bestFit="1" customWidth="1"/>
    <col min="8189" max="8189" width="10.125" style="96" bestFit="1" customWidth="1"/>
    <col min="8190" max="8190" width="9.375" style="96"/>
    <col min="8191" max="8191" width="10.125" style="96" bestFit="1" customWidth="1"/>
    <col min="8192" max="8192" width="10.75" style="96" customWidth="1"/>
    <col min="8193" max="8195" width="9.375" style="96"/>
    <col min="8196" max="8197" width="10.75" style="96" customWidth="1"/>
    <col min="8198" max="8202" width="9.375" style="96"/>
    <col min="8203" max="8203" width="1.625" style="96" bestFit="1" customWidth="1"/>
    <col min="8204" max="8204" width="9.375" style="96"/>
    <col min="8205" max="8205" width="8.875" style="96" customWidth="1"/>
    <col min="8206" max="8206" width="13.125" style="96" customWidth="1"/>
    <col min="8207" max="8207" width="9.375" style="96"/>
    <col min="8208" max="8208" width="9.875" style="96" customWidth="1"/>
    <col min="8209" max="8209" width="11.75" style="96" bestFit="1" customWidth="1"/>
    <col min="8210" max="8439" width="9.375" style="96"/>
    <col min="8440" max="8440" width="5" style="96" customWidth="1"/>
    <col min="8441" max="8441" width="17.875" style="96" bestFit="1" customWidth="1"/>
    <col min="8442" max="8442" width="9.875" style="96" customWidth="1"/>
    <col min="8443" max="8443" width="8.875" style="96" customWidth="1"/>
    <col min="8444" max="8444" width="7.375" style="96" bestFit="1" customWidth="1"/>
    <col min="8445" max="8445" width="10.125" style="96" bestFit="1" customWidth="1"/>
    <col min="8446" max="8446" width="9.375" style="96"/>
    <col min="8447" max="8447" width="10.125" style="96" bestFit="1" customWidth="1"/>
    <col min="8448" max="8448" width="10.75" style="96" customWidth="1"/>
    <col min="8449" max="8451" width="9.375" style="96"/>
    <col min="8452" max="8453" width="10.75" style="96" customWidth="1"/>
    <col min="8454" max="8458" width="9.375" style="96"/>
    <col min="8459" max="8459" width="1.625" style="96" bestFit="1" customWidth="1"/>
    <col min="8460" max="8460" width="9.375" style="96"/>
    <col min="8461" max="8461" width="8.875" style="96" customWidth="1"/>
    <col min="8462" max="8462" width="13.125" style="96" customWidth="1"/>
    <col min="8463" max="8463" width="9.375" style="96"/>
    <col min="8464" max="8464" width="9.875" style="96" customWidth="1"/>
    <col min="8465" max="8465" width="11.75" style="96" bestFit="1" customWidth="1"/>
    <col min="8466" max="8695" width="9.375" style="96"/>
    <col min="8696" max="8696" width="5" style="96" customWidth="1"/>
    <col min="8697" max="8697" width="17.875" style="96" bestFit="1" customWidth="1"/>
    <col min="8698" max="8698" width="9.875" style="96" customWidth="1"/>
    <col min="8699" max="8699" width="8.875" style="96" customWidth="1"/>
    <col min="8700" max="8700" width="7.375" style="96" bestFit="1" customWidth="1"/>
    <col min="8701" max="8701" width="10.125" style="96" bestFit="1" customWidth="1"/>
    <col min="8702" max="8702" width="9.375" style="96"/>
    <col min="8703" max="8703" width="10.125" style="96" bestFit="1" customWidth="1"/>
    <col min="8704" max="8704" width="10.75" style="96" customWidth="1"/>
    <col min="8705" max="8707" width="9.375" style="96"/>
    <col min="8708" max="8709" width="10.75" style="96" customWidth="1"/>
    <col min="8710" max="8714" width="9.375" style="96"/>
    <col min="8715" max="8715" width="1.625" style="96" bestFit="1" customWidth="1"/>
    <col min="8716" max="8716" width="9.375" style="96"/>
    <col min="8717" max="8717" width="8.875" style="96" customWidth="1"/>
    <col min="8718" max="8718" width="13.125" style="96" customWidth="1"/>
    <col min="8719" max="8719" width="9.375" style="96"/>
    <col min="8720" max="8720" width="9.875" style="96" customWidth="1"/>
    <col min="8721" max="8721" width="11.75" style="96" bestFit="1" customWidth="1"/>
    <col min="8722" max="8951" width="9.375" style="96"/>
    <col min="8952" max="8952" width="5" style="96" customWidth="1"/>
    <col min="8953" max="8953" width="17.875" style="96" bestFit="1" customWidth="1"/>
    <col min="8954" max="8954" width="9.875" style="96" customWidth="1"/>
    <col min="8955" max="8955" width="8.875" style="96" customWidth="1"/>
    <col min="8956" max="8956" width="7.375" style="96" bestFit="1" customWidth="1"/>
    <col min="8957" max="8957" width="10.125" style="96" bestFit="1" customWidth="1"/>
    <col min="8958" max="8958" width="9.375" style="96"/>
    <col min="8959" max="8959" width="10.125" style="96" bestFit="1" customWidth="1"/>
    <col min="8960" max="8960" width="10.75" style="96" customWidth="1"/>
    <col min="8961" max="8963" width="9.375" style="96"/>
    <col min="8964" max="8965" width="10.75" style="96" customWidth="1"/>
    <col min="8966" max="8970" width="9.375" style="96"/>
    <col min="8971" max="8971" width="1.625" style="96" bestFit="1" customWidth="1"/>
    <col min="8972" max="8972" width="9.375" style="96"/>
    <col min="8973" max="8973" width="8.875" style="96" customWidth="1"/>
    <col min="8974" max="8974" width="13.125" style="96" customWidth="1"/>
    <col min="8975" max="8975" width="9.375" style="96"/>
    <col min="8976" max="8976" width="9.875" style="96" customWidth="1"/>
    <col min="8977" max="8977" width="11.75" style="96" bestFit="1" customWidth="1"/>
    <col min="8978" max="9207" width="9.375" style="96"/>
    <col min="9208" max="9208" width="5" style="96" customWidth="1"/>
    <col min="9209" max="9209" width="17.875" style="96" bestFit="1" customWidth="1"/>
    <col min="9210" max="9210" width="9.875" style="96" customWidth="1"/>
    <col min="9211" max="9211" width="8.875" style="96" customWidth="1"/>
    <col min="9212" max="9212" width="7.375" style="96" bestFit="1" customWidth="1"/>
    <col min="9213" max="9213" width="10.125" style="96" bestFit="1" customWidth="1"/>
    <col min="9214" max="9214" width="9.375" style="96"/>
    <col min="9215" max="9215" width="10.125" style="96" bestFit="1" customWidth="1"/>
    <col min="9216" max="9216" width="10.75" style="96" customWidth="1"/>
    <col min="9217" max="9219" width="9.375" style="96"/>
    <col min="9220" max="9221" width="10.75" style="96" customWidth="1"/>
    <col min="9222" max="9226" width="9.375" style="96"/>
    <col min="9227" max="9227" width="1.625" style="96" bestFit="1" customWidth="1"/>
    <col min="9228" max="9228" width="9.375" style="96"/>
    <col min="9229" max="9229" width="8.875" style="96" customWidth="1"/>
    <col min="9230" max="9230" width="13.125" style="96" customWidth="1"/>
    <col min="9231" max="9231" width="9.375" style="96"/>
    <col min="9232" max="9232" width="9.875" style="96" customWidth="1"/>
    <col min="9233" max="9233" width="11.75" style="96" bestFit="1" customWidth="1"/>
    <col min="9234" max="9463" width="9.375" style="96"/>
    <col min="9464" max="9464" width="5" style="96" customWidth="1"/>
    <col min="9465" max="9465" width="17.875" style="96" bestFit="1" customWidth="1"/>
    <col min="9466" max="9466" width="9.875" style="96" customWidth="1"/>
    <col min="9467" max="9467" width="8.875" style="96" customWidth="1"/>
    <col min="9468" max="9468" width="7.375" style="96" bestFit="1" customWidth="1"/>
    <col min="9469" max="9469" width="10.125" style="96" bestFit="1" customWidth="1"/>
    <col min="9470" max="9470" width="9.375" style="96"/>
    <col min="9471" max="9471" width="10.125" style="96" bestFit="1" customWidth="1"/>
    <col min="9472" max="9472" width="10.75" style="96" customWidth="1"/>
    <col min="9473" max="9475" width="9.375" style="96"/>
    <col min="9476" max="9477" width="10.75" style="96" customWidth="1"/>
    <col min="9478" max="9482" width="9.375" style="96"/>
    <col min="9483" max="9483" width="1.625" style="96" bestFit="1" customWidth="1"/>
    <col min="9484" max="9484" width="9.375" style="96"/>
    <col min="9485" max="9485" width="8.875" style="96" customWidth="1"/>
    <col min="9486" max="9486" width="13.125" style="96" customWidth="1"/>
    <col min="9487" max="9487" width="9.375" style="96"/>
    <col min="9488" max="9488" width="9.875" style="96" customWidth="1"/>
    <col min="9489" max="9489" width="11.75" style="96" bestFit="1" customWidth="1"/>
    <col min="9490" max="9719" width="9.375" style="96"/>
    <col min="9720" max="9720" width="5" style="96" customWidth="1"/>
    <col min="9721" max="9721" width="17.875" style="96" bestFit="1" customWidth="1"/>
    <col min="9722" max="9722" width="9.875" style="96" customWidth="1"/>
    <col min="9723" max="9723" width="8.875" style="96" customWidth="1"/>
    <col min="9724" max="9724" width="7.375" style="96" bestFit="1" customWidth="1"/>
    <col min="9725" max="9725" width="10.125" style="96" bestFit="1" customWidth="1"/>
    <col min="9726" max="9726" width="9.375" style="96"/>
    <col min="9727" max="9727" width="10.125" style="96" bestFit="1" customWidth="1"/>
    <col min="9728" max="9728" width="10.75" style="96" customWidth="1"/>
    <col min="9729" max="9731" width="9.375" style="96"/>
    <col min="9732" max="9733" width="10.75" style="96" customWidth="1"/>
    <col min="9734" max="9738" width="9.375" style="96"/>
    <col min="9739" max="9739" width="1.625" style="96" bestFit="1" customWidth="1"/>
    <col min="9740" max="9740" width="9.375" style="96"/>
    <col min="9741" max="9741" width="8.875" style="96" customWidth="1"/>
    <col min="9742" max="9742" width="13.125" style="96" customWidth="1"/>
    <col min="9743" max="9743" width="9.375" style="96"/>
    <col min="9744" max="9744" width="9.875" style="96" customWidth="1"/>
    <col min="9745" max="9745" width="11.75" style="96" bestFit="1" customWidth="1"/>
    <col min="9746" max="9975" width="9.375" style="96"/>
    <col min="9976" max="9976" width="5" style="96" customWidth="1"/>
    <col min="9977" max="9977" width="17.875" style="96" bestFit="1" customWidth="1"/>
    <col min="9978" max="9978" width="9.875" style="96" customWidth="1"/>
    <col min="9979" max="9979" width="8.875" style="96" customWidth="1"/>
    <col min="9980" max="9980" width="7.375" style="96" bestFit="1" customWidth="1"/>
    <col min="9981" max="9981" width="10.125" style="96" bestFit="1" customWidth="1"/>
    <col min="9982" max="9982" width="9.375" style="96"/>
    <col min="9983" max="9983" width="10.125" style="96" bestFit="1" customWidth="1"/>
    <col min="9984" max="9984" width="10.75" style="96" customWidth="1"/>
    <col min="9985" max="9987" width="9.375" style="96"/>
    <col min="9988" max="9989" width="10.75" style="96" customWidth="1"/>
    <col min="9990" max="9994" width="9.375" style="96"/>
    <col min="9995" max="9995" width="1.625" style="96" bestFit="1" customWidth="1"/>
    <col min="9996" max="9996" width="9.375" style="96"/>
    <col min="9997" max="9997" width="8.875" style="96" customWidth="1"/>
    <col min="9998" max="9998" width="13.125" style="96" customWidth="1"/>
    <col min="9999" max="9999" width="9.375" style="96"/>
    <col min="10000" max="10000" width="9.875" style="96" customWidth="1"/>
    <col min="10001" max="10001" width="11.75" style="96" bestFit="1" customWidth="1"/>
    <col min="10002" max="10231" width="9.375" style="96"/>
    <col min="10232" max="10232" width="5" style="96" customWidth="1"/>
    <col min="10233" max="10233" width="17.875" style="96" bestFit="1" customWidth="1"/>
    <col min="10234" max="10234" width="9.875" style="96" customWidth="1"/>
    <col min="10235" max="10235" width="8.875" style="96" customWidth="1"/>
    <col min="10236" max="10236" width="7.375" style="96" bestFit="1" customWidth="1"/>
    <col min="10237" max="10237" width="10.125" style="96" bestFit="1" customWidth="1"/>
    <col min="10238" max="10238" width="9.375" style="96"/>
    <col min="10239" max="10239" width="10.125" style="96" bestFit="1" customWidth="1"/>
    <col min="10240" max="10240" width="10.75" style="96" customWidth="1"/>
    <col min="10241" max="10243" width="9.375" style="96"/>
    <col min="10244" max="10245" width="10.75" style="96" customWidth="1"/>
    <col min="10246" max="10250" width="9.375" style="96"/>
    <col min="10251" max="10251" width="1.625" style="96" bestFit="1" customWidth="1"/>
    <col min="10252" max="10252" width="9.375" style="96"/>
    <col min="10253" max="10253" width="8.875" style="96" customWidth="1"/>
    <col min="10254" max="10254" width="13.125" style="96" customWidth="1"/>
    <col min="10255" max="10255" width="9.375" style="96"/>
    <col min="10256" max="10256" width="9.875" style="96" customWidth="1"/>
    <col min="10257" max="10257" width="11.75" style="96" bestFit="1" customWidth="1"/>
    <col min="10258" max="10487" width="9.375" style="96"/>
    <col min="10488" max="10488" width="5" style="96" customWidth="1"/>
    <col min="10489" max="10489" width="17.875" style="96" bestFit="1" customWidth="1"/>
    <col min="10490" max="10490" width="9.875" style="96" customWidth="1"/>
    <col min="10491" max="10491" width="8.875" style="96" customWidth="1"/>
    <col min="10492" max="10492" width="7.375" style="96" bestFit="1" customWidth="1"/>
    <col min="10493" max="10493" width="10.125" style="96" bestFit="1" customWidth="1"/>
    <col min="10494" max="10494" width="9.375" style="96"/>
    <col min="10495" max="10495" width="10.125" style="96" bestFit="1" customWidth="1"/>
    <col min="10496" max="10496" width="10.75" style="96" customWidth="1"/>
    <col min="10497" max="10499" width="9.375" style="96"/>
    <col min="10500" max="10501" width="10.75" style="96" customWidth="1"/>
    <col min="10502" max="10506" width="9.375" style="96"/>
    <col min="10507" max="10507" width="1.625" style="96" bestFit="1" customWidth="1"/>
    <col min="10508" max="10508" width="9.375" style="96"/>
    <col min="10509" max="10509" width="8.875" style="96" customWidth="1"/>
    <col min="10510" max="10510" width="13.125" style="96" customWidth="1"/>
    <col min="10511" max="10511" width="9.375" style="96"/>
    <col min="10512" max="10512" width="9.875" style="96" customWidth="1"/>
    <col min="10513" max="10513" width="11.75" style="96" bestFit="1" customWidth="1"/>
    <col min="10514" max="10743" width="9.375" style="96"/>
    <col min="10744" max="10744" width="5" style="96" customWidth="1"/>
    <col min="10745" max="10745" width="17.875" style="96" bestFit="1" customWidth="1"/>
    <col min="10746" max="10746" width="9.875" style="96" customWidth="1"/>
    <col min="10747" max="10747" width="8.875" style="96" customWidth="1"/>
    <col min="10748" max="10748" width="7.375" style="96" bestFit="1" customWidth="1"/>
    <col min="10749" max="10749" width="10.125" style="96" bestFit="1" customWidth="1"/>
    <col min="10750" max="10750" width="9.375" style="96"/>
    <col min="10751" max="10751" width="10.125" style="96" bestFit="1" customWidth="1"/>
    <col min="10752" max="10752" width="10.75" style="96" customWidth="1"/>
    <col min="10753" max="10755" width="9.375" style="96"/>
    <col min="10756" max="10757" width="10.75" style="96" customWidth="1"/>
    <col min="10758" max="10762" width="9.375" style="96"/>
    <col min="10763" max="10763" width="1.625" style="96" bestFit="1" customWidth="1"/>
    <col min="10764" max="10764" width="9.375" style="96"/>
    <col min="10765" max="10765" width="8.875" style="96" customWidth="1"/>
    <col min="10766" max="10766" width="13.125" style="96" customWidth="1"/>
    <col min="10767" max="10767" width="9.375" style="96"/>
    <col min="10768" max="10768" width="9.875" style="96" customWidth="1"/>
    <col min="10769" max="10769" width="11.75" style="96" bestFit="1" customWidth="1"/>
    <col min="10770" max="10999" width="9.375" style="96"/>
    <col min="11000" max="11000" width="5" style="96" customWidth="1"/>
    <col min="11001" max="11001" width="17.875" style="96" bestFit="1" customWidth="1"/>
    <col min="11002" max="11002" width="9.875" style="96" customWidth="1"/>
    <col min="11003" max="11003" width="8.875" style="96" customWidth="1"/>
    <col min="11004" max="11004" width="7.375" style="96" bestFit="1" customWidth="1"/>
    <col min="11005" max="11005" width="10.125" style="96" bestFit="1" customWidth="1"/>
    <col min="11006" max="11006" width="9.375" style="96"/>
    <col min="11007" max="11007" width="10.125" style="96" bestFit="1" customWidth="1"/>
    <col min="11008" max="11008" width="10.75" style="96" customWidth="1"/>
    <col min="11009" max="11011" width="9.375" style="96"/>
    <col min="11012" max="11013" width="10.75" style="96" customWidth="1"/>
    <col min="11014" max="11018" width="9.375" style="96"/>
    <col min="11019" max="11019" width="1.625" style="96" bestFit="1" customWidth="1"/>
    <col min="11020" max="11020" width="9.375" style="96"/>
    <col min="11021" max="11021" width="8.875" style="96" customWidth="1"/>
    <col min="11022" max="11022" width="13.125" style="96" customWidth="1"/>
    <col min="11023" max="11023" width="9.375" style="96"/>
    <col min="11024" max="11024" width="9.875" style="96" customWidth="1"/>
    <col min="11025" max="11025" width="11.75" style="96" bestFit="1" customWidth="1"/>
    <col min="11026" max="11255" width="9.375" style="96"/>
    <col min="11256" max="11256" width="5" style="96" customWidth="1"/>
    <col min="11257" max="11257" width="17.875" style="96" bestFit="1" customWidth="1"/>
    <col min="11258" max="11258" width="9.875" style="96" customWidth="1"/>
    <col min="11259" max="11259" width="8.875" style="96" customWidth="1"/>
    <col min="11260" max="11260" width="7.375" style="96" bestFit="1" customWidth="1"/>
    <col min="11261" max="11261" width="10.125" style="96" bestFit="1" customWidth="1"/>
    <col min="11262" max="11262" width="9.375" style="96"/>
    <col min="11263" max="11263" width="10.125" style="96" bestFit="1" customWidth="1"/>
    <col min="11264" max="11264" width="10.75" style="96" customWidth="1"/>
    <col min="11265" max="11267" width="9.375" style="96"/>
    <col min="11268" max="11269" width="10.75" style="96" customWidth="1"/>
    <col min="11270" max="11274" width="9.375" style="96"/>
    <col min="11275" max="11275" width="1.625" style="96" bestFit="1" customWidth="1"/>
    <col min="11276" max="11276" width="9.375" style="96"/>
    <col min="11277" max="11277" width="8.875" style="96" customWidth="1"/>
    <col min="11278" max="11278" width="13.125" style="96" customWidth="1"/>
    <col min="11279" max="11279" width="9.375" style="96"/>
    <col min="11280" max="11280" width="9.875" style="96" customWidth="1"/>
    <col min="11281" max="11281" width="11.75" style="96" bestFit="1" customWidth="1"/>
    <col min="11282" max="11511" width="9.375" style="96"/>
    <col min="11512" max="11512" width="5" style="96" customWidth="1"/>
    <col min="11513" max="11513" width="17.875" style="96" bestFit="1" customWidth="1"/>
    <col min="11514" max="11514" width="9.875" style="96" customWidth="1"/>
    <col min="11515" max="11515" width="8.875" style="96" customWidth="1"/>
    <col min="11516" max="11516" width="7.375" style="96" bestFit="1" customWidth="1"/>
    <col min="11517" max="11517" width="10.125" style="96" bestFit="1" customWidth="1"/>
    <col min="11518" max="11518" width="9.375" style="96"/>
    <col min="11519" max="11519" width="10.125" style="96" bestFit="1" customWidth="1"/>
    <col min="11520" max="11520" width="10.75" style="96" customWidth="1"/>
    <col min="11521" max="11523" width="9.375" style="96"/>
    <col min="11524" max="11525" width="10.75" style="96" customWidth="1"/>
    <col min="11526" max="11530" width="9.375" style="96"/>
    <col min="11531" max="11531" width="1.625" style="96" bestFit="1" customWidth="1"/>
    <col min="11532" max="11532" width="9.375" style="96"/>
    <col min="11533" max="11533" width="8.875" style="96" customWidth="1"/>
    <col min="11534" max="11534" width="13.125" style="96" customWidth="1"/>
    <col min="11535" max="11535" width="9.375" style="96"/>
    <col min="11536" max="11536" width="9.875" style="96" customWidth="1"/>
    <col min="11537" max="11537" width="11.75" style="96" bestFit="1" customWidth="1"/>
    <col min="11538" max="11767" width="9.375" style="96"/>
    <col min="11768" max="11768" width="5" style="96" customWidth="1"/>
    <col min="11769" max="11769" width="17.875" style="96" bestFit="1" customWidth="1"/>
    <col min="11770" max="11770" width="9.875" style="96" customWidth="1"/>
    <col min="11771" max="11771" width="8.875" style="96" customWidth="1"/>
    <col min="11772" max="11772" width="7.375" style="96" bestFit="1" customWidth="1"/>
    <col min="11773" max="11773" width="10.125" style="96" bestFit="1" customWidth="1"/>
    <col min="11774" max="11774" width="9.375" style="96"/>
    <col min="11775" max="11775" width="10.125" style="96" bestFit="1" customWidth="1"/>
    <col min="11776" max="11776" width="10.75" style="96" customWidth="1"/>
    <col min="11777" max="11779" width="9.375" style="96"/>
    <col min="11780" max="11781" width="10.75" style="96" customWidth="1"/>
    <col min="11782" max="11786" width="9.375" style="96"/>
    <col min="11787" max="11787" width="1.625" style="96" bestFit="1" customWidth="1"/>
    <col min="11788" max="11788" width="9.375" style="96"/>
    <col min="11789" max="11789" width="8.875" style="96" customWidth="1"/>
    <col min="11790" max="11790" width="13.125" style="96" customWidth="1"/>
    <col min="11791" max="11791" width="9.375" style="96"/>
    <col min="11792" max="11792" width="9.875" style="96" customWidth="1"/>
    <col min="11793" max="11793" width="11.75" style="96" bestFit="1" customWidth="1"/>
    <col min="11794" max="12023" width="9.375" style="96"/>
    <col min="12024" max="12024" width="5" style="96" customWidth="1"/>
    <col min="12025" max="12025" width="17.875" style="96" bestFit="1" customWidth="1"/>
    <col min="12026" max="12026" width="9.875" style="96" customWidth="1"/>
    <col min="12027" max="12027" width="8.875" style="96" customWidth="1"/>
    <col min="12028" max="12028" width="7.375" style="96" bestFit="1" customWidth="1"/>
    <col min="12029" max="12029" width="10.125" style="96" bestFit="1" customWidth="1"/>
    <col min="12030" max="12030" width="9.375" style="96"/>
    <col min="12031" max="12031" width="10.125" style="96" bestFit="1" customWidth="1"/>
    <col min="12032" max="12032" width="10.75" style="96" customWidth="1"/>
    <col min="12033" max="12035" width="9.375" style="96"/>
    <col min="12036" max="12037" width="10.75" style="96" customWidth="1"/>
    <col min="12038" max="12042" width="9.375" style="96"/>
    <col min="12043" max="12043" width="1.625" style="96" bestFit="1" customWidth="1"/>
    <col min="12044" max="12044" width="9.375" style="96"/>
    <col min="12045" max="12045" width="8.875" style="96" customWidth="1"/>
    <col min="12046" max="12046" width="13.125" style="96" customWidth="1"/>
    <col min="12047" max="12047" width="9.375" style="96"/>
    <col min="12048" max="12048" width="9.875" style="96" customWidth="1"/>
    <col min="12049" max="12049" width="11.75" style="96" bestFit="1" customWidth="1"/>
    <col min="12050" max="12279" width="9.375" style="96"/>
    <col min="12280" max="12280" width="5" style="96" customWidth="1"/>
    <col min="12281" max="12281" width="17.875" style="96" bestFit="1" customWidth="1"/>
    <col min="12282" max="12282" width="9.875" style="96" customWidth="1"/>
    <col min="12283" max="12283" width="8.875" style="96" customWidth="1"/>
    <col min="12284" max="12284" width="7.375" style="96" bestFit="1" customWidth="1"/>
    <col min="12285" max="12285" width="10.125" style="96" bestFit="1" customWidth="1"/>
    <col min="12286" max="12286" width="9.375" style="96"/>
    <col min="12287" max="12287" width="10.125" style="96" bestFit="1" customWidth="1"/>
    <col min="12288" max="12288" width="10.75" style="96" customWidth="1"/>
    <col min="12289" max="12291" width="9.375" style="96"/>
    <col min="12292" max="12293" width="10.75" style="96" customWidth="1"/>
    <col min="12294" max="12298" width="9.375" style="96"/>
    <col min="12299" max="12299" width="1.625" style="96" bestFit="1" customWidth="1"/>
    <col min="12300" max="12300" width="9.375" style="96"/>
    <col min="12301" max="12301" width="8.875" style="96" customWidth="1"/>
    <col min="12302" max="12302" width="13.125" style="96" customWidth="1"/>
    <col min="12303" max="12303" width="9.375" style="96"/>
    <col min="12304" max="12304" width="9.875" style="96" customWidth="1"/>
    <col min="12305" max="12305" width="11.75" style="96" bestFit="1" customWidth="1"/>
    <col min="12306" max="12535" width="9.375" style="96"/>
    <col min="12536" max="12536" width="5" style="96" customWidth="1"/>
    <col min="12537" max="12537" width="17.875" style="96" bestFit="1" customWidth="1"/>
    <col min="12538" max="12538" width="9.875" style="96" customWidth="1"/>
    <col min="12539" max="12539" width="8.875" style="96" customWidth="1"/>
    <col min="12540" max="12540" width="7.375" style="96" bestFit="1" customWidth="1"/>
    <col min="12541" max="12541" width="10.125" style="96" bestFit="1" customWidth="1"/>
    <col min="12542" max="12542" width="9.375" style="96"/>
    <col min="12543" max="12543" width="10.125" style="96" bestFit="1" customWidth="1"/>
    <col min="12544" max="12544" width="10.75" style="96" customWidth="1"/>
    <col min="12545" max="12547" width="9.375" style="96"/>
    <col min="12548" max="12549" width="10.75" style="96" customWidth="1"/>
    <col min="12550" max="12554" width="9.375" style="96"/>
    <col min="12555" max="12555" width="1.625" style="96" bestFit="1" customWidth="1"/>
    <col min="12556" max="12556" width="9.375" style="96"/>
    <col min="12557" max="12557" width="8.875" style="96" customWidth="1"/>
    <col min="12558" max="12558" width="13.125" style="96" customWidth="1"/>
    <col min="12559" max="12559" width="9.375" style="96"/>
    <col min="12560" max="12560" width="9.875" style="96" customWidth="1"/>
    <col min="12561" max="12561" width="11.75" style="96" bestFit="1" customWidth="1"/>
    <col min="12562" max="12791" width="9.375" style="96"/>
    <col min="12792" max="12792" width="5" style="96" customWidth="1"/>
    <col min="12793" max="12793" width="17.875" style="96" bestFit="1" customWidth="1"/>
    <col min="12794" max="12794" width="9.875" style="96" customWidth="1"/>
    <col min="12795" max="12795" width="8.875" style="96" customWidth="1"/>
    <col min="12796" max="12796" width="7.375" style="96" bestFit="1" customWidth="1"/>
    <col min="12797" max="12797" width="10.125" style="96" bestFit="1" customWidth="1"/>
    <col min="12798" max="12798" width="9.375" style="96"/>
    <col min="12799" max="12799" width="10.125" style="96" bestFit="1" customWidth="1"/>
    <col min="12800" max="12800" width="10.75" style="96" customWidth="1"/>
    <col min="12801" max="12803" width="9.375" style="96"/>
    <col min="12804" max="12805" width="10.75" style="96" customWidth="1"/>
    <col min="12806" max="12810" width="9.375" style="96"/>
    <col min="12811" max="12811" width="1.625" style="96" bestFit="1" customWidth="1"/>
    <col min="12812" max="12812" width="9.375" style="96"/>
    <col min="12813" max="12813" width="8.875" style="96" customWidth="1"/>
    <col min="12814" max="12814" width="13.125" style="96" customWidth="1"/>
    <col min="12815" max="12815" width="9.375" style="96"/>
    <col min="12816" max="12816" width="9.875" style="96" customWidth="1"/>
    <col min="12817" max="12817" width="11.75" style="96" bestFit="1" customWidth="1"/>
    <col min="12818" max="13047" width="9.375" style="96"/>
    <col min="13048" max="13048" width="5" style="96" customWidth="1"/>
    <col min="13049" max="13049" width="17.875" style="96" bestFit="1" customWidth="1"/>
    <col min="13050" max="13050" width="9.875" style="96" customWidth="1"/>
    <col min="13051" max="13051" width="8.875" style="96" customWidth="1"/>
    <col min="13052" max="13052" width="7.375" style="96" bestFit="1" customWidth="1"/>
    <col min="13053" max="13053" width="10.125" style="96" bestFit="1" customWidth="1"/>
    <col min="13054" max="13054" width="9.375" style="96"/>
    <col min="13055" max="13055" width="10.125" style="96" bestFit="1" customWidth="1"/>
    <col min="13056" max="13056" width="10.75" style="96" customWidth="1"/>
    <col min="13057" max="13059" width="9.375" style="96"/>
    <col min="13060" max="13061" width="10.75" style="96" customWidth="1"/>
    <col min="13062" max="13066" width="9.375" style="96"/>
    <col min="13067" max="13067" width="1.625" style="96" bestFit="1" customWidth="1"/>
    <col min="13068" max="13068" width="9.375" style="96"/>
    <col min="13069" max="13069" width="8.875" style="96" customWidth="1"/>
    <col min="13070" max="13070" width="13.125" style="96" customWidth="1"/>
    <col min="13071" max="13071" width="9.375" style="96"/>
    <col min="13072" max="13072" width="9.875" style="96" customWidth="1"/>
    <col min="13073" max="13073" width="11.75" style="96" bestFit="1" customWidth="1"/>
    <col min="13074" max="13303" width="9.375" style="96"/>
    <col min="13304" max="13304" width="5" style="96" customWidth="1"/>
    <col min="13305" max="13305" width="17.875" style="96" bestFit="1" customWidth="1"/>
    <col min="13306" max="13306" width="9.875" style="96" customWidth="1"/>
    <col min="13307" max="13307" width="8.875" style="96" customWidth="1"/>
    <col min="13308" max="13308" width="7.375" style="96" bestFit="1" customWidth="1"/>
    <col min="13309" max="13309" width="10.125" style="96" bestFit="1" customWidth="1"/>
    <col min="13310" max="13310" width="9.375" style="96"/>
    <col min="13311" max="13311" width="10.125" style="96" bestFit="1" customWidth="1"/>
    <col min="13312" max="13312" width="10.75" style="96" customWidth="1"/>
    <col min="13313" max="13315" width="9.375" style="96"/>
    <col min="13316" max="13317" width="10.75" style="96" customWidth="1"/>
    <col min="13318" max="13322" width="9.375" style="96"/>
    <col min="13323" max="13323" width="1.625" style="96" bestFit="1" customWidth="1"/>
    <col min="13324" max="13324" width="9.375" style="96"/>
    <col min="13325" max="13325" width="8.875" style="96" customWidth="1"/>
    <col min="13326" max="13326" width="13.125" style="96" customWidth="1"/>
    <col min="13327" max="13327" width="9.375" style="96"/>
    <col min="13328" max="13328" width="9.875" style="96" customWidth="1"/>
    <col min="13329" max="13329" width="11.75" style="96" bestFit="1" customWidth="1"/>
    <col min="13330" max="13559" width="9.375" style="96"/>
    <col min="13560" max="13560" width="5" style="96" customWidth="1"/>
    <col min="13561" max="13561" width="17.875" style="96" bestFit="1" customWidth="1"/>
    <col min="13562" max="13562" width="9.875" style="96" customWidth="1"/>
    <col min="13563" max="13563" width="8.875" style="96" customWidth="1"/>
    <col min="13564" max="13564" width="7.375" style="96" bestFit="1" customWidth="1"/>
    <col min="13565" max="13565" width="10.125" style="96" bestFit="1" customWidth="1"/>
    <col min="13566" max="13566" width="9.375" style="96"/>
    <col min="13567" max="13567" width="10.125" style="96" bestFit="1" customWidth="1"/>
    <col min="13568" max="13568" width="10.75" style="96" customWidth="1"/>
    <col min="13569" max="13571" width="9.375" style="96"/>
    <col min="13572" max="13573" width="10.75" style="96" customWidth="1"/>
    <col min="13574" max="13578" width="9.375" style="96"/>
    <col min="13579" max="13579" width="1.625" style="96" bestFit="1" customWidth="1"/>
    <col min="13580" max="13580" width="9.375" style="96"/>
    <col min="13581" max="13581" width="8.875" style="96" customWidth="1"/>
    <col min="13582" max="13582" width="13.125" style="96" customWidth="1"/>
    <col min="13583" max="13583" width="9.375" style="96"/>
    <col min="13584" max="13584" width="9.875" style="96" customWidth="1"/>
    <col min="13585" max="13585" width="11.75" style="96" bestFit="1" customWidth="1"/>
    <col min="13586" max="13815" width="9.375" style="96"/>
    <col min="13816" max="13816" width="5" style="96" customWidth="1"/>
    <col min="13817" max="13817" width="17.875" style="96" bestFit="1" customWidth="1"/>
    <col min="13818" max="13818" width="9.875" style="96" customWidth="1"/>
    <col min="13819" max="13819" width="8.875" style="96" customWidth="1"/>
    <col min="13820" max="13820" width="7.375" style="96" bestFit="1" customWidth="1"/>
    <col min="13821" max="13821" width="10.125" style="96" bestFit="1" customWidth="1"/>
    <col min="13822" max="13822" width="9.375" style="96"/>
    <col min="13823" max="13823" width="10.125" style="96" bestFit="1" customWidth="1"/>
    <col min="13824" max="13824" width="10.75" style="96" customWidth="1"/>
    <col min="13825" max="13827" width="9.375" style="96"/>
    <col min="13828" max="13829" width="10.75" style="96" customWidth="1"/>
    <col min="13830" max="13834" width="9.375" style="96"/>
    <col min="13835" max="13835" width="1.625" style="96" bestFit="1" customWidth="1"/>
    <col min="13836" max="13836" width="9.375" style="96"/>
    <col min="13837" max="13837" width="8.875" style="96" customWidth="1"/>
    <col min="13838" max="13838" width="13.125" style="96" customWidth="1"/>
    <col min="13839" max="13839" width="9.375" style="96"/>
    <col min="13840" max="13840" width="9.875" style="96" customWidth="1"/>
    <col min="13841" max="13841" width="11.75" style="96" bestFit="1" customWidth="1"/>
    <col min="13842" max="14071" width="9.375" style="96"/>
    <col min="14072" max="14072" width="5" style="96" customWidth="1"/>
    <col min="14073" max="14073" width="17.875" style="96" bestFit="1" customWidth="1"/>
    <col min="14074" max="14074" width="9.875" style="96" customWidth="1"/>
    <col min="14075" max="14075" width="8.875" style="96" customWidth="1"/>
    <col min="14076" max="14076" width="7.375" style="96" bestFit="1" customWidth="1"/>
    <col min="14077" max="14077" width="10.125" style="96" bestFit="1" customWidth="1"/>
    <col min="14078" max="14078" width="9.375" style="96"/>
    <col min="14079" max="14079" width="10.125" style="96" bestFit="1" customWidth="1"/>
    <col min="14080" max="14080" width="10.75" style="96" customWidth="1"/>
    <col min="14081" max="14083" width="9.375" style="96"/>
    <col min="14084" max="14085" width="10.75" style="96" customWidth="1"/>
    <col min="14086" max="14090" width="9.375" style="96"/>
    <col min="14091" max="14091" width="1.625" style="96" bestFit="1" customWidth="1"/>
    <col min="14092" max="14092" width="9.375" style="96"/>
    <col min="14093" max="14093" width="8.875" style="96" customWidth="1"/>
    <col min="14094" max="14094" width="13.125" style="96" customWidth="1"/>
    <col min="14095" max="14095" width="9.375" style="96"/>
    <col min="14096" max="14096" width="9.875" style="96" customWidth="1"/>
    <col min="14097" max="14097" width="11.75" style="96" bestFit="1" customWidth="1"/>
    <col min="14098" max="14327" width="9.375" style="96"/>
    <col min="14328" max="14328" width="5" style="96" customWidth="1"/>
    <col min="14329" max="14329" width="17.875" style="96" bestFit="1" customWidth="1"/>
    <col min="14330" max="14330" width="9.875" style="96" customWidth="1"/>
    <col min="14331" max="14331" width="8.875" style="96" customWidth="1"/>
    <col min="14332" max="14332" width="7.375" style="96" bestFit="1" customWidth="1"/>
    <col min="14333" max="14333" width="10.125" style="96" bestFit="1" customWidth="1"/>
    <col min="14334" max="14334" width="9.375" style="96"/>
    <col min="14335" max="14335" width="10.125" style="96" bestFit="1" customWidth="1"/>
    <col min="14336" max="14336" width="10.75" style="96" customWidth="1"/>
    <col min="14337" max="14339" width="9.375" style="96"/>
    <col min="14340" max="14341" width="10.75" style="96" customWidth="1"/>
    <col min="14342" max="14346" width="9.375" style="96"/>
    <col min="14347" max="14347" width="1.625" style="96" bestFit="1" customWidth="1"/>
    <col min="14348" max="14348" width="9.375" style="96"/>
    <col min="14349" max="14349" width="8.875" style="96" customWidth="1"/>
    <col min="14350" max="14350" width="13.125" style="96" customWidth="1"/>
    <col min="14351" max="14351" width="9.375" style="96"/>
    <col min="14352" max="14352" width="9.875" style="96" customWidth="1"/>
    <col min="14353" max="14353" width="11.75" style="96" bestFit="1" customWidth="1"/>
    <col min="14354" max="14583" width="9.375" style="96"/>
    <col min="14584" max="14584" width="5" style="96" customWidth="1"/>
    <col min="14585" max="14585" width="17.875" style="96" bestFit="1" customWidth="1"/>
    <col min="14586" max="14586" width="9.875" style="96" customWidth="1"/>
    <col min="14587" max="14587" width="8.875" style="96" customWidth="1"/>
    <col min="14588" max="14588" width="7.375" style="96" bestFit="1" customWidth="1"/>
    <col min="14589" max="14589" width="10.125" style="96" bestFit="1" customWidth="1"/>
    <col min="14590" max="14590" width="9.375" style="96"/>
    <col min="14591" max="14591" width="10.125" style="96" bestFit="1" customWidth="1"/>
    <col min="14592" max="14592" width="10.75" style="96" customWidth="1"/>
    <col min="14593" max="14595" width="9.375" style="96"/>
    <col min="14596" max="14597" width="10.75" style="96" customWidth="1"/>
    <col min="14598" max="14602" width="9.375" style="96"/>
    <col min="14603" max="14603" width="1.625" style="96" bestFit="1" customWidth="1"/>
    <col min="14604" max="14604" width="9.375" style="96"/>
    <col min="14605" max="14605" width="8.875" style="96" customWidth="1"/>
    <col min="14606" max="14606" width="13.125" style="96" customWidth="1"/>
    <col min="14607" max="14607" width="9.375" style="96"/>
    <col min="14608" max="14608" width="9.875" style="96" customWidth="1"/>
    <col min="14609" max="14609" width="11.75" style="96" bestFit="1" customWidth="1"/>
    <col min="14610" max="14839" width="9.375" style="96"/>
    <col min="14840" max="14840" width="5" style="96" customWidth="1"/>
    <col min="14841" max="14841" width="17.875" style="96" bestFit="1" customWidth="1"/>
    <col min="14842" max="14842" width="9.875" style="96" customWidth="1"/>
    <col min="14843" max="14843" width="8.875" style="96" customWidth="1"/>
    <col min="14844" max="14844" width="7.375" style="96" bestFit="1" customWidth="1"/>
    <col min="14845" max="14845" width="10.125" style="96" bestFit="1" customWidth="1"/>
    <col min="14846" max="14846" width="9.375" style="96"/>
    <col min="14847" max="14847" width="10.125" style="96" bestFit="1" customWidth="1"/>
    <col min="14848" max="14848" width="10.75" style="96" customWidth="1"/>
    <col min="14849" max="14851" width="9.375" style="96"/>
    <col min="14852" max="14853" width="10.75" style="96" customWidth="1"/>
    <col min="14854" max="14858" width="9.375" style="96"/>
    <col min="14859" max="14859" width="1.625" style="96" bestFit="1" customWidth="1"/>
    <col min="14860" max="14860" width="9.375" style="96"/>
    <col min="14861" max="14861" width="8.875" style="96" customWidth="1"/>
    <col min="14862" max="14862" width="13.125" style="96" customWidth="1"/>
    <col min="14863" max="14863" width="9.375" style="96"/>
    <col min="14864" max="14864" width="9.875" style="96" customWidth="1"/>
    <col min="14865" max="14865" width="11.75" style="96" bestFit="1" customWidth="1"/>
    <col min="14866" max="15095" width="9.375" style="96"/>
    <col min="15096" max="15096" width="5" style="96" customWidth="1"/>
    <col min="15097" max="15097" width="17.875" style="96" bestFit="1" customWidth="1"/>
    <col min="15098" max="15098" width="9.875" style="96" customWidth="1"/>
    <col min="15099" max="15099" width="8.875" style="96" customWidth="1"/>
    <col min="15100" max="15100" width="7.375" style="96" bestFit="1" customWidth="1"/>
    <col min="15101" max="15101" width="10.125" style="96" bestFit="1" customWidth="1"/>
    <col min="15102" max="15102" width="9.375" style="96"/>
    <col min="15103" max="15103" width="10.125" style="96" bestFit="1" customWidth="1"/>
    <col min="15104" max="15104" width="10.75" style="96" customWidth="1"/>
    <col min="15105" max="15107" width="9.375" style="96"/>
    <col min="15108" max="15109" width="10.75" style="96" customWidth="1"/>
    <col min="15110" max="15114" width="9.375" style="96"/>
    <col min="15115" max="15115" width="1.625" style="96" bestFit="1" customWidth="1"/>
    <col min="15116" max="15116" width="9.375" style="96"/>
    <col min="15117" max="15117" width="8.875" style="96" customWidth="1"/>
    <col min="15118" max="15118" width="13.125" style="96" customWidth="1"/>
    <col min="15119" max="15119" width="9.375" style="96"/>
    <col min="15120" max="15120" width="9.875" style="96" customWidth="1"/>
    <col min="15121" max="15121" width="11.75" style="96" bestFit="1" customWidth="1"/>
    <col min="15122" max="15351" width="9.375" style="96"/>
    <col min="15352" max="15352" width="5" style="96" customWidth="1"/>
    <col min="15353" max="15353" width="17.875" style="96" bestFit="1" customWidth="1"/>
    <col min="15354" max="15354" width="9.875" style="96" customWidth="1"/>
    <col min="15355" max="15355" width="8.875" style="96" customWidth="1"/>
    <col min="15356" max="15356" width="7.375" style="96" bestFit="1" customWidth="1"/>
    <col min="15357" max="15357" width="10.125" style="96" bestFit="1" customWidth="1"/>
    <col min="15358" max="15358" width="9.375" style="96"/>
    <col min="15359" max="15359" width="10.125" style="96" bestFit="1" customWidth="1"/>
    <col min="15360" max="15360" width="10.75" style="96" customWidth="1"/>
    <col min="15361" max="15363" width="9.375" style="96"/>
    <col min="15364" max="15365" width="10.75" style="96" customWidth="1"/>
    <col min="15366" max="15370" width="9.375" style="96"/>
    <col min="15371" max="15371" width="1.625" style="96" bestFit="1" customWidth="1"/>
    <col min="15372" max="15372" width="9.375" style="96"/>
    <col min="15373" max="15373" width="8.875" style="96" customWidth="1"/>
    <col min="15374" max="15374" width="13.125" style="96" customWidth="1"/>
    <col min="15375" max="15375" width="9.375" style="96"/>
    <col min="15376" max="15376" width="9.875" style="96" customWidth="1"/>
    <col min="15377" max="15377" width="11.75" style="96" bestFit="1" customWidth="1"/>
    <col min="15378" max="15607" width="9.375" style="96"/>
    <col min="15608" max="15608" width="5" style="96" customWidth="1"/>
    <col min="15609" max="15609" width="17.875" style="96" bestFit="1" customWidth="1"/>
    <col min="15610" max="15610" width="9.875" style="96" customWidth="1"/>
    <col min="15611" max="15611" width="8.875" style="96" customWidth="1"/>
    <col min="15612" max="15612" width="7.375" style="96" bestFit="1" customWidth="1"/>
    <col min="15613" max="15613" width="10.125" style="96" bestFit="1" customWidth="1"/>
    <col min="15614" max="15614" width="9.375" style="96"/>
    <col min="15615" max="15615" width="10.125" style="96" bestFit="1" customWidth="1"/>
    <col min="15616" max="15616" width="10.75" style="96" customWidth="1"/>
    <col min="15617" max="15619" width="9.375" style="96"/>
    <col min="15620" max="15621" width="10.75" style="96" customWidth="1"/>
    <col min="15622" max="15626" width="9.375" style="96"/>
    <col min="15627" max="15627" width="1.625" style="96" bestFit="1" customWidth="1"/>
    <col min="15628" max="15628" width="9.375" style="96"/>
    <col min="15629" max="15629" width="8.875" style="96" customWidth="1"/>
    <col min="15630" max="15630" width="13.125" style="96" customWidth="1"/>
    <col min="15631" max="15631" width="9.375" style="96"/>
    <col min="15632" max="15632" width="9.875" style="96" customWidth="1"/>
    <col min="15633" max="15633" width="11.75" style="96" bestFit="1" customWidth="1"/>
    <col min="15634" max="15863" width="9.375" style="96"/>
    <col min="15864" max="15864" width="5" style="96" customWidth="1"/>
    <col min="15865" max="15865" width="17.875" style="96" bestFit="1" customWidth="1"/>
    <col min="15866" max="15866" width="9.875" style="96" customWidth="1"/>
    <col min="15867" max="15867" width="8.875" style="96" customWidth="1"/>
    <col min="15868" max="15868" width="7.375" style="96" bestFit="1" customWidth="1"/>
    <col min="15869" max="15869" width="10.125" style="96" bestFit="1" customWidth="1"/>
    <col min="15870" max="15870" width="9.375" style="96"/>
    <col min="15871" max="15871" width="10.125" style="96" bestFit="1" customWidth="1"/>
    <col min="15872" max="15872" width="10.75" style="96" customWidth="1"/>
    <col min="15873" max="15875" width="9.375" style="96"/>
    <col min="15876" max="15877" width="10.75" style="96" customWidth="1"/>
    <col min="15878" max="15882" width="9.375" style="96"/>
    <col min="15883" max="15883" width="1.625" style="96" bestFit="1" customWidth="1"/>
    <col min="15884" max="15884" width="9.375" style="96"/>
    <col min="15885" max="15885" width="8.875" style="96" customWidth="1"/>
    <col min="15886" max="15886" width="13.125" style="96" customWidth="1"/>
    <col min="15887" max="15887" width="9.375" style="96"/>
    <col min="15888" max="15888" width="9.875" style="96" customWidth="1"/>
    <col min="15889" max="15889" width="11.75" style="96" bestFit="1" customWidth="1"/>
    <col min="15890" max="16119" width="9.375" style="96"/>
    <col min="16120" max="16120" width="5" style="96" customWidth="1"/>
    <col min="16121" max="16121" width="17.875" style="96" bestFit="1" customWidth="1"/>
    <col min="16122" max="16122" width="9.875" style="96" customWidth="1"/>
    <col min="16123" max="16123" width="8.875" style="96" customWidth="1"/>
    <col min="16124" max="16124" width="7.375" style="96" bestFit="1" customWidth="1"/>
    <col min="16125" max="16125" width="10.125" style="96" bestFit="1" customWidth="1"/>
    <col min="16126" max="16126" width="9.375" style="96"/>
    <col min="16127" max="16127" width="10.125" style="96" bestFit="1" customWidth="1"/>
    <col min="16128" max="16128" width="10.75" style="96" customWidth="1"/>
    <col min="16129" max="16131" width="9.375" style="96"/>
    <col min="16132" max="16133" width="10.75" style="96" customWidth="1"/>
    <col min="16134" max="16138" width="9.375" style="96"/>
    <col min="16139" max="16139" width="1.625" style="96" bestFit="1" customWidth="1"/>
    <col min="16140" max="16140" width="9.375" style="96"/>
    <col min="16141" max="16141" width="8.875" style="96" customWidth="1"/>
    <col min="16142" max="16142" width="13.125" style="96" customWidth="1"/>
    <col min="16143" max="16143" width="9.375" style="96"/>
    <col min="16144" max="16144" width="9.875" style="96" customWidth="1"/>
    <col min="16145" max="16145" width="11.75" style="96" bestFit="1" customWidth="1"/>
    <col min="16146" max="16384" width="9.375" style="96"/>
  </cols>
  <sheetData>
    <row r="1" spans="1:20" s="32" customFormat="1" ht="26.25" x14ac:dyDescent="0.2">
      <c r="A1" s="187" t="s">
        <v>406</v>
      </c>
      <c r="B1" s="31"/>
      <c r="C1" s="287" t="s">
        <v>402</v>
      </c>
      <c r="D1" s="208" t="s">
        <v>394</v>
      </c>
      <c r="E1" s="774" t="s">
        <v>403</v>
      </c>
      <c r="F1" s="774"/>
      <c r="G1" s="92"/>
      <c r="H1" s="92"/>
      <c r="I1" s="92"/>
      <c r="J1" s="92"/>
      <c r="K1" s="92"/>
      <c r="M1" s="92"/>
      <c r="N1" s="93"/>
      <c r="O1" s="42"/>
      <c r="P1" s="93"/>
      <c r="Q1" s="93"/>
      <c r="R1" s="42"/>
      <c r="S1" s="42"/>
      <c r="T1" s="42"/>
    </row>
    <row r="2" spans="1:20" s="39" customFormat="1" ht="15.75" x14ac:dyDescent="0.25">
      <c r="A2" s="255" t="str">
        <f>Paramètres!B4</f>
        <v>Décompte 2024</v>
      </c>
      <c r="N2" s="95"/>
      <c r="O2" s="94"/>
      <c r="P2" s="95"/>
      <c r="Q2" s="95"/>
      <c r="R2" s="94"/>
      <c r="S2" s="94"/>
      <c r="T2" s="94"/>
    </row>
    <row r="4" spans="1:20" s="107" customFormat="1" ht="39" customHeight="1" x14ac:dyDescent="0.2">
      <c r="A4" s="782" t="s">
        <v>44</v>
      </c>
      <c r="B4" s="782" t="s">
        <v>84</v>
      </c>
      <c r="C4" s="782" t="s">
        <v>436</v>
      </c>
      <c r="D4" s="239" t="s">
        <v>257</v>
      </c>
      <c r="E4" s="782" t="s">
        <v>365</v>
      </c>
      <c r="F4" s="785" t="s">
        <v>288</v>
      </c>
      <c r="G4" s="782" t="s">
        <v>528</v>
      </c>
      <c r="H4" s="782" t="s">
        <v>489</v>
      </c>
      <c r="I4" s="782" t="s">
        <v>529</v>
      </c>
      <c r="J4" s="782" t="s">
        <v>409</v>
      </c>
      <c r="K4" s="239" t="s">
        <v>492</v>
      </c>
      <c r="L4" s="782" t="s">
        <v>367</v>
      </c>
      <c r="M4" s="105"/>
      <c r="N4" s="104"/>
      <c r="O4" s="105"/>
      <c r="P4" s="106"/>
      <c r="Q4" s="104"/>
      <c r="R4" s="104"/>
      <c r="S4" s="104"/>
    </row>
    <row r="5" spans="1:20" s="107" customFormat="1" x14ac:dyDescent="0.2">
      <c r="A5" s="784"/>
      <c r="B5" s="784"/>
      <c r="C5" s="783"/>
      <c r="D5" s="258">
        <f>Paramètres!B6</f>
        <v>44195</v>
      </c>
      <c r="E5" s="784"/>
      <c r="F5" s="786"/>
      <c r="G5" s="784"/>
      <c r="H5" s="784"/>
      <c r="I5" s="784"/>
      <c r="J5" s="783"/>
      <c r="K5" s="240">
        <f>(Paramètres!B56-Police!$I$306)/Police!J306</f>
        <v>1.1236692329134432</v>
      </c>
      <c r="L5" s="783"/>
      <c r="M5" s="106"/>
      <c r="N5" s="104"/>
      <c r="O5" s="106"/>
      <c r="P5" s="106"/>
      <c r="Q5" s="104"/>
      <c r="R5" s="104"/>
      <c r="S5" s="104"/>
    </row>
    <row r="6" spans="1:20" x14ac:dyDescent="0.25">
      <c r="A6" s="130">
        <f>Données!A6</f>
        <v>5401</v>
      </c>
      <c r="B6" s="250" t="str">
        <f>Données!B6</f>
        <v>Aigle</v>
      </c>
      <c r="C6" s="578">
        <f>Données!AR6</f>
        <v>1</v>
      </c>
      <c r="D6" s="252">
        <f>Données!Z6</f>
        <v>11780</v>
      </c>
      <c r="E6" s="99">
        <f>Données!X6</f>
        <v>66</v>
      </c>
      <c r="F6" s="30">
        <f>VPI!L6</f>
        <v>18169240.219999995</v>
      </c>
      <c r="G6" s="40">
        <f>F6/E6*2</f>
        <v>550583.03696969687</v>
      </c>
      <c r="H6" s="57">
        <f>+$G$306/$D$306*D6</f>
        <v>1084959.535875685</v>
      </c>
      <c r="I6" s="40">
        <f>IF(C6=1,0,IF(H6&gt;G6,G6,H6))</f>
        <v>0</v>
      </c>
      <c r="J6" s="40">
        <f>VPI!R6</f>
        <v>311614.01419191912</v>
      </c>
      <c r="K6" s="49">
        <f>+$K$5*J6</f>
        <v>350151.08029211254</v>
      </c>
      <c r="L6" s="241">
        <f>+K6+I6</f>
        <v>350151.08029211254</v>
      </c>
      <c r="M6" s="156"/>
      <c r="N6" s="101"/>
      <c r="O6" s="98"/>
      <c r="Q6" s="102"/>
      <c r="T6" s="96"/>
    </row>
    <row r="7" spans="1:20" x14ac:dyDescent="0.25">
      <c r="A7" s="131">
        <f>Données!A7</f>
        <v>5402</v>
      </c>
      <c r="B7" s="251" t="str">
        <f>Données!B7</f>
        <v>Bex</v>
      </c>
      <c r="C7" s="579">
        <f>Données!AR7</f>
        <v>1</v>
      </c>
      <c r="D7" s="252">
        <f>Données!Z7</f>
        <v>8806</v>
      </c>
      <c r="E7" s="99">
        <f>Données!X7</f>
        <v>71</v>
      </c>
      <c r="F7" s="30">
        <f>VPI!L7</f>
        <v>12508032.560000001</v>
      </c>
      <c r="G7" s="7">
        <f t="shared" ref="G7:G70" si="0">F7/E7*2</f>
        <v>352338.9453521127</v>
      </c>
      <c r="H7" s="144">
        <f t="shared" ref="H7:H70" si="1">+$G$306/$D$306*D7</f>
        <v>811048.69888975238</v>
      </c>
      <c r="I7" s="7">
        <f t="shared" ref="I7:I70" si="2">IF(C7=1,0,IF(H7&gt;G7,G7,H7))</f>
        <v>0</v>
      </c>
      <c r="J7" s="7">
        <f>VPI!R7</f>
        <v>199600.34901408452</v>
      </c>
      <c r="K7" s="158">
        <f t="shared" ref="K7:K70" si="3">+$K$5*J7</f>
        <v>224284.77106591189</v>
      </c>
      <c r="L7" s="242">
        <f t="shared" ref="L7:L70" si="4">+K7+I7</f>
        <v>224284.77106591189</v>
      </c>
      <c r="M7" s="156"/>
      <c r="N7" s="101"/>
      <c r="O7" s="98"/>
      <c r="Q7" s="102"/>
      <c r="T7" s="96"/>
    </row>
    <row r="8" spans="1:20" x14ac:dyDescent="0.25">
      <c r="A8" s="131">
        <f>Données!A8</f>
        <v>5403</v>
      </c>
      <c r="B8" s="251" t="str">
        <f>Données!B8</f>
        <v>Chessel</v>
      </c>
      <c r="C8" s="579">
        <f>Données!AR8</f>
        <v>0</v>
      </c>
      <c r="D8" s="252">
        <f>Données!Z8</f>
        <v>528</v>
      </c>
      <c r="E8" s="99">
        <f>Données!X8</f>
        <v>65</v>
      </c>
      <c r="F8" s="30">
        <f>VPI!L8</f>
        <v>695550.74999999988</v>
      </c>
      <c r="G8" s="7">
        <f t="shared" si="0"/>
        <v>21401.561538461534</v>
      </c>
      <c r="H8" s="144">
        <f t="shared" si="1"/>
        <v>48629.765275242928</v>
      </c>
      <c r="I8" s="7">
        <f t="shared" si="2"/>
        <v>21401.561538461534</v>
      </c>
      <c r="J8" s="7">
        <f>VPI!R8</f>
        <v>12200.842307692306</v>
      </c>
      <c r="K8" s="158">
        <f t="shared" si="3"/>
        <v>13709.711116782499</v>
      </c>
      <c r="L8" s="242">
        <f t="shared" si="4"/>
        <v>35111.272655244029</v>
      </c>
      <c r="M8" s="156"/>
      <c r="N8" s="101"/>
      <c r="O8" s="98"/>
      <c r="Q8" s="102"/>
      <c r="T8" s="96"/>
    </row>
    <row r="9" spans="1:20" x14ac:dyDescent="0.25">
      <c r="A9" s="131">
        <f>Données!A9</f>
        <v>5404</v>
      </c>
      <c r="B9" s="251" t="str">
        <f>Données!B9</f>
        <v>Corbeyrier</v>
      </c>
      <c r="C9" s="579">
        <f>Données!AR9</f>
        <v>0</v>
      </c>
      <c r="D9" s="252">
        <f>Données!Z9</f>
        <v>452</v>
      </c>
      <c r="E9" s="99">
        <f>Données!X9</f>
        <v>74</v>
      </c>
      <c r="F9" s="30">
        <f>VPI!L9</f>
        <v>798807.27999999991</v>
      </c>
      <c r="G9" s="7">
        <f t="shared" si="0"/>
        <v>21589.385945945942</v>
      </c>
      <c r="H9" s="144">
        <f t="shared" si="1"/>
        <v>41630.026334109476</v>
      </c>
      <c r="I9" s="7">
        <f t="shared" si="2"/>
        <v>21589.385945945942</v>
      </c>
      <c r="J9" s="7">
        <f>VPI!R9</f>
        <v>12100.787342342343</v>
      </c>
      <c r="K9" s="158">
        <f t="shared" si="3"/>
        <v>13597.282430618523</v>
      </c>
      <c r="L9" s="242">
        <f t="shared" si="4"/>
        <v>35186.668376564463</v>
      </c>
      <c r="M9" s="156"/>
      <c r="N9" s="101"/>
      <c r="O9" s="98"/>
      <c r="Q9" s="102"/>
      <c r="T9" s="96"/>
    </row>
    <row r="10" spans="1:20" x14ac:dyDescent="0.25">
      <c r="A10" s="131">
        <f>Données!A10</f>
        <v>5405</v>
      </c>
      <c r="B10" s="251" t="str">
        <f>Données!B10</f>
        <v>Gryon</v>
      </c>
      <c r="C10" s="579">
        <f>Données!AR10</f>
        <v>0</v>
      </c>
      <c r="D10" s="252">
        <f>Données!Z10</f>
        <v>1525</v>
      </c>
      <c r="E10" s="99">
        <f>Données!X10</f>
        <v>73.5</v>
      </c>
      <c r="F10" s="30">
        <f>VPI!L10</f>
        <v>4998998.7000000011</v>
      </c>
      <c r="G10" s="7">
        <f t="shared" si="0"/>
        <v>136027.17551020411</v>
      </c>
      <c r="H10" s="144">
        <f t="shared" si="1"/>
        <v>140455.28796353308</v>
      </c>
      <c r="I10" s="7">
        <f t="shared" si="2"/>
        <v>136027.17551020411</v>
      </c>
      <c r="J10" s="7">
        <f>VPI!R10</f>
        <v>80049.808163265319</v>
      </c>
      <c r="K10" s="158">
        <f t="shared" si="3"/>
        <v>89949.506533684631</v>
      </c>
      <c r="L10" s="242">
        <f t="shared" si="4"/>
        <v>225976.68204388872</v>
      </c>
      <c r="M10" s="156"/>
      <c r="N10" s="101"/>
      <c r="O10" s="98"/>
      <c r="Q10" s="102"/>
      <c r="T10" s="96"/>
    </row>
    <row r="11" spans="1:20" x14ac:dyDescent="0.25">
      <c r="A11" s="131">
        <f>Données!A11</f>
        <v>5406</v>
      </c>
      <c r="B11" s="251" t="str">
        <f>Données!B11</f>
        <v>Lavey-Morcles</v>
      </c>
      <c r="C11" s="579">
        <f>Données!AR11</f>
        <v>0</v>
      </c>
      <c r="D11" s="252">
        <f>Données!Z11</f>
        <v>1014</v>
      </c>
      <c r="E11" s="99">
        <f>Données!X11</f>
        <v>71.5</v>
      </c>
      <c r="F11" s="30">
        <f>VPI!L11</f>
        <v>1531043.89</v>
      </c>
      <c r="G11" s="7">
        <f t="shared" si="0"/>
        <v>42826.402517482515</v>
      </c>
      <c r="H11" s="144">
        <f t="shared" si="1"/>
        <v>93391.2537672279</v>
      </c>
      <c r="I11" s="7">
        <f t="shared" si="2"/>
        <v>42826.402517482515</v>
      </c>
      <c r="J11" s="7">
        <f>VPI!R11</f>
        <v>23811.433641742868</v>
      </c>
      <c r="K11" s="158">
        <f t="shared" si="3"/>
        <v>26756.175374786562</v>
      </c>
      <c r="L11" s="242">
        <f t="shared" si="4"/>
        <v>69582.577892269081</v>
      </c>
      <c r="M11" s="156"/>
      <c r="N11" s="101"/>
      <c r="O11" s="98"/>
      <c r="Q11" s="102"/>
      <c r="T11" s="96"/>
    </row>
    <row r="12" spans="1:20" x14ac:dyDescent="0.25">
      <c r="A12" s="131">
        <f>Données!A12</f>
        <v>5407</v>
      </c>
      <c r="B12" s="251" t="str">
        <f>Données!B12</f>
        <v>Leysin</v>
      </c>
      <c r="C12" s="579">
        <f>Données!AR12</f>
        <v>0</v>
      </c>
      <c r="D12" s="252">
        <f>Données!Z12</f>
        <v>3685</v>
      </c>
      <c r="E12" s="99">
        <f>Données!X12</f>
        <v>78</v>
      </c>
      <c r="F12" s="30">
        <f>VPI!L12</f>
        <v>6397646.2400000012</v>
      </c>
      <c r="G12" s="7">
        <f t="shared" si="0"/>
        <v>164042.21128205131</v>
      </c>
      <c r="H12" s="144">
        <f t="shared" si="1"/>
        <v>339395.23681679962</v>
      </c>
      <c r="I12" s="7">
        <f t="shared" si="2"/>
        <v>164042.21128205131</v>
      </c>
      <c r="J12" s="7">
        <f>VPI!R12</f>
        <v>94315.702863247876</v>
      </c>
      <c r="K12" s="158">
        <f t="shared" si="3"/>
        <v>105979.65348803798</v>
      </c>
      <c r="L12" s="242">
        <f t="shared" si="4"/>
        <v>270021.86477008928</v>
      </c>
      <c r="M12" s="156"/>
      <c r="N12" s="101"/>
      <c r="O12" s="98"/>
      <c r="Q12" s="102"/>
      <c r="T12" s="96"/>
    </row>
    <row r="13" spans="1:20" x14ac:dyDescent="0.25">
      <c r="A13" s="131">
        <f>Données!A13</f>
        <v>5408</v>
      </c>
      <c r="B13" s="251" t="str">
        <f>Données!B13</f>
        <v>Noville</v>
      </c>
      <c r="C13" s="579">
        <f>Données!AR13</f>
        <v>0</v>
      </c>
      <c r="D13" s="252">
        <f>Données!Z13</f>
        <v>1208</v>
      </c>
      <c r="E13" s="99">
        <f>Données!X13</f>
        <v>75</v>
      </c>
      <c r="F13" s="30">
        <f>VPI!L13</f>
        <v>2738894.6399999997</v>
      </c>
      <c r="G13" s="7">
        <f t="shared" si="0"/>
        <v>73037.190399999992</v>
      </c>
      <c r="H13" s="144">
        <f t="shared" si="1"/>
        <v>111259.00843275277</v>
      </c>
      <c r="I13" s="7">
        <f t="shared" si="2"/>
        <v>73037.190399999992</v>
      </c>
      <c r="J13" s="7">
        <f>VPI!R13</f>
        <v>41741.779422222215</v>
      </c>
      <c r="K13" s="158">
        <f t="shared" si="3"/>
        <v>46903.953263810588</v>
      </c>
      <c r="L13" s="242">
        <f t="shared" si="4"/>
        <v>119941.14366381058</v>
      </c>
      <c r="M13" s="156"/>
      <c r="N13" s="101"/>
      <c r="O13" s="98"/>
      <c r="Q13" s="102"/>
      <c r="T13" s="96"/>
    </row>
    <row r="14" spans="1:20" x14ac:dyDescent="0.25">
      <c r="A14" s="131">
        <f>Données!A14</f>
        <v>5409</v>
      </c>
      <c r="B14" s="251" t="str">
        <f>Données!B14</f>
        <v>Ollon</v>
      </c>
      <c r="C14" s="579">
        <f>Données!AR14</f>
        <v>1</v>
      </c>
      <c r="D14" s="252">
        <f>Données!Z14</f>
        <v>8222</v>
      </c>
      <c r="E14" s="99">
        <f>Données!X14</f>
        <v>68</v>
      </c>
      <c r="F14" s="30">
        <f>VPI!L14</f>
        <v>25690038.920000002</v>
      </c>
      <c r="G14" s="7">
        <f t="shared" si="0"/>
        <v>755589.38</v>
      </c>
      <c r="H14" s="144">
        <f t="shared" si="1"/>
        <v>757261.2312368321</v>
      </c>
      <c r="I14" s="7">
        <f t="shared" si="2"/>
        <v>0</v>
      </c>
      <c r="J14" s="7">
        <f>VPI!R14</f>
        <v>429709.0160746607</v>
      </c>
      <c r="K14" s="158">
        <f t="shared" si="3"/>
        <v>482850.80046860443</v>
      </c>
      <c r="L14" s="242">
        <f t="shared" si="4"/>
        <v>482850.80046860443</v>
      </c>
      <c r="M14" s="156"/>
      <c r="N14" s="101"/>
      <c r="O14" s="98"/>
      <c r="Q14" s="102"/>
      <c r="T14" s="96"/>
    </row>
    <row r="15" spans="1:20" x14ac:dyDescent="0.25">
      <c r="A15" s="131">
        <f>Données!A15</f>
        <v>5410</v>
      </c>
      <c r="B15" s="251" t="str">
        <f>Données!B15</f>
        <v>Ormont-Dessous</v>
      </c>
      <c r="C15" s="579">
        <f>Données!AR15</f>
        <v>0</v>
      </c>
      <c r="D15" s="252">
        <f>Données!Z15</f>
        <v>1244</v>
      </c>
      <c r="E15" s="99">
        <f>Données!X15</f>
        <v>77</v>
      </c>
      <c r="F15" s="30">
        <f>VPI!L15</f>
        <v>2613745.6800000002</v>
      </c>
      <c r="G15" s="7">
        <f t="shared" si="0"/>
        <v>67889.498181818184</v>
      </c>
      <c r="H15" s="25">
        <f t="shared" si="1"/>
        <v>114574.67424697388</v>
      </c>
      <c r="I15" s="7">
        <f t="shared" si="2"/>
        <v>67889.498181818184</v>
      </c>
      <c r="J15" s="7">
        <f>VPI!R15</f>
        <v>39461.333506493509</v>
      </c>
      <c r="K15" s="158">
        <f t="shared" si="3"/>
        <v>44341.486350983119</v>
      </c>
      <c r="L15" s="242">
        <f t="shared" si="4"/>
        <v>112230.9845328013</v>
      </c>
      <c r="M15" s="100"/>
      <c r="N15" s="101"/>
      <c r="O15" s="98"/>
      <c r="Q15" s="102"/>
      <c r="T15" s="96"/>
    </row>
    <row r="16" spans="1:20" x14ac:dyDescent="0.25">
      <c r="A16" s="131">
        <f>Données!A16</f>
        <v>5411</v>
      </c>
      <c r="B16" s="251" t="str">
        <f>Données!B16</f>
        <v>Ormont-Dessus</v>
      </c>
      <c r="C16" s="579">
        <f>Données!AR16</f>
        <v>0</v>
      </c>
      <c r="D16" s="252">
        <f>Données!Z16</f>
        <v>1435</v>
      </c>
      <c r="E16" s="99">
        <f>Données!X16</f>
        <v>76</v>
      </c>
      <c r="F16" s="30">
        <f>VPI!L16</f>
        <v>5392402.8099999996</v>
      </c>
      <c r="G16" s="7">
        <f t="shared" si="0"/>
        <v>141905.33710526314</v>
      </c>
      <c r="H16" s="25">
        <f t="shared" si="1"/>
        <v>132166.12342798032</v>
      </c>
      <c r="I16" s="7">
        <f t="shared" si="2"/>
        <v>132166.12342798032</v>
      </c>
      <c r="J16" s="7">
        <f>VPI!R16</f>
        <v>82773.582149122798</v>
      </c>
      <c r="K16" s="158">
        <f t="shared" si="3"/>
        <v>93010.127559002693</v>
      </c>
      <c r="L16" s="242">
        <f t="shared" si="4"/>
        <v>225176.25098698301</v>
      </c>
      <c r="M16" s="157"/>
      <c r="N16" s="101"/>
      <c r="O16" s="98"/>
      <c r="Q16" s="102"/>
      <c r="T16" s="96"/>
    </row>
    <row r="17" spans="1:20" x14ac:dyDescent="0.25">
      <c r="A17" s="131">
        <f>Données!A17</f>
        <v>5412</v>
      </c>
      <c r="B17" s="251" t="str">
        <f>Données!B17</f>
        <v>Rennaz</v>
      </c>
      <c r="C17" s="579">
        <f>Données!AR17</f>
        <v>0</v>
      </c>
      <c r="D17" s="252">
        <f>Données!Z17</f>
        <v>949</v>
      </c>
      <c r="E17" s="99">
        <f>Données!X17</f>
        <v>66</v>
      </c>
      <c r="F17" s="30">
        <f>VPI!L17</f>
        <v>1723014.72</v>
      </c>
      <c r="G17" s="7">
        <f t="shared" si="0"/>
        <v>52212.567272727269</v>
      </c>
      <c r="H17" s="25">
        <f t="shared" si="1"/>
        <v>87404.634935995346</v>
      </c>
      <c r="I17" s="7">
        <f t="shared" si="2"/>
        <v>52212.567272727269</v>
      </c>
      <c r="J17" s="7">
        <f>VPI!R17</f>
        <v>31259.838939393936</v>
      </c>
      <c r="K17" s="158">
        <f t="shared" si="3"/>
        <v>35125.719242026564</v>
      </c>
      <c r="L17" s="242">
        <f t="shared" si="4"/>
        <v>87338.286514753825</v>
      </c>
      <c r="M17" s="100"/>
      <c r="N17" s="101"/>
      <c r="O17" s="98"/>
      <c r="Q17" s="102"/>
      <c r="T17" s="96"/>
    </row>
    <row r="18" spans="1:20" x14ac:dyDescent="0.25">
      <c r="A18" s="131">
        <f>Données!A18</f>
        <v>5413</v>
      </c>
      <c r="B18" s="251" t="str">
        <f>Données!B18</f>
        <v>Roche</v>
      </c>
      <c r="C18" s="579">
        <f>Données!AR18</f>
        <v>0</v>
      </c>
      <c r="D18" s="252">
        <f>Données!Z18</f>
        <v>1996</v>
      </c>
      <c r="E18" s="99">
        <f>Données!X18</f>
        <v>68</v>
      </c>
      <c r="F18" s="30">
        <f>VPI!L18</f>
        <v>2474329.5900000003</v>
      </c>
      <c r="G18" s="7">
        <f t="shared" si="0"/>
        <v>72774.399705882359</v>
      </c>
      <c r="H18" s="25">
        <f t="shared" si="1"/>
        <v>183835.24903292593</v>
      </c>
      <c r="I18" s="7">
        <f t="shared" si="2"/>
        <v>72774.399705882359</v>
      </c>
      <c r="J18" s="7">
        <f>VPI!R18</f>
        <v>41768.164926470592</v>
      </c>
      <c r="K18" s="158">
        <f t="shared" si="3"/>
        <v>46933.601843129392</v>
      </c>
      <c r="L18" s="242">
        <f t="shared" si="4"/>
        <v>119708.00154901175</v>
      </c>
      <c r="M18" s="100"/>
      <c r="N18" s="101"/>
      <c r="O18" s="98"/>
      <c r="Q18" s="102"/>
      <c r="T18" s="96"/>
    </row>
    <row r="19" spans="1:20" x14ac:dyDescent="0.25">
      <c r="A19" s="131">
        <f>Données!A19</f>
        <v>5414</v>
      </c>
      <c r="B19" s="251" t="str">
        <f>Données!B19</f>
        <v>Villeneuve</v>
      </c>
      <c r="C19" s="579">
        <f>Données!AR19</f>
        <v>0</v>
      </c>
      <c r="D19" s="252">
        <f>Données!Z19</f>
        <v>6039</v>
      </c>
      <c r="E19" s="99">
        <f>Données!X19</f>
        <v>66.5</v>
      </c>
      <c r="F19" s="30">
        <f>VPI!L19</f>
        <v>10120280.92</v>
      </c>
      <c r="G19" s="7">
        <f t="shared" si="0"/>
        <v>304369.35097744362</v>
      </c>
      <c r="H19" s="25">
        <f t="shared" si="1"/>
        <v>556202.94033559097</v>
      </c>
      <c r="I19" s="7">
        <f t="shared" si="2"/>
        <v>304369.35097744362</v>
      </c>
      <c r="J19" s="7">
        <f>VPI!R19</f>
        <v>175995.0642105263</v>
      </c>
      <c r="K19" s="158">
        <f t="shared" si="3"/>
        <v>197760.23879799427</v>
      </c>
      <c r="L19" s="242">
        <f t="shared" si="4"/>
        <v>502129.5897754379</v>
      </c>
      <c r="M19" s="100"/>
      <c r="N19" s="101"/>
      <c r="O19" s="98"/>
      <c r="Q19" s="102"/>
      <c r="T19" s="96"/>
    </row>
    <row r="20" spans="1:20" x14ac:dyDescent="0.25">
      <c r="A20" s="131">
        <f>Données!A20</f>
        <v>5415</v>
      </c>
      <c r="B20" s="251" t="str">
        <f>Données!B20</f>
        <v>Yvorne</v>
      </c>
      <c r="C20" s="579">
        <f>Données!AR20</f>
        <v>0</v>
      </c>
      <c r="D20" s="252">
        <f>Données!Z20</f>
        <v>1110</v>
      </c>
      <c r="E20" s="99">
        <f>Données!X20</f>
        <v>71.5</v>
      </c>
      <c r="F20" s="30">
        <f>VPI!L20</f>
        <v>2341299.0099999993</v>
      </c>
      <c r="G20" s="7">
        <f t="shared" si="0"/>
        <v>65490.881398601377</v>
      </c>
      <c r="H20" s="25">
        <f t="shared" si="1"/>
        <v>102233.02927181752</v>
      </c>
      <c r="I20" s="7">
        <f t="shared" si="2"/>
        <v>65490.881398601377</v>
      </c>
      <c r="J20" s="7">
        <f>VPI!R20</f>
        <v>36884.950722610716</v>
      </c>
      <c r="K20" s="158">
        <f t="shared" si="3"/>
        <v>41446.484284526137</v>
      </c>
      <c r="L20" s="242">
        <f t="shared" si="4"/>
        <v>106937.36568312751</v>
      </c>
      <c r="M20" s="100"/>
      <c r="N20" s="101"/>
      <c r="O20" s="98"/>
      <c r="Q20" s="102"/>
      <c r="T20" s="96"/>
    </row>
    <row r="21" spans="1:20" x14ac:dyDescent="0.25">
      <c r="A21" s="131">
        <f>Données!A21</f>
        <v>5422</v>
      </c>
      <c r="B21" s="251" t="str">
        <f>Données!B21</f>
        <v>Aubonne</v>
      </c>
      <c r="C21" s="579">
        <f>Données!AR21</f>
        <v>0</v>
      </c>
      <c r="D21" s="252">
        <f>Données!Z21</f>
        <v>3862</v>
      </c>
      <c r="E21" s="99">
        <f>Données!X21</f>
        <v>68</v>
      </c>
      <c r="F21" s="30">
        <f>VPI!L21</f>
        <v>23658649.939999998</v>
      </c>
      <c r="G21" s="7">
        <f t="shared" si="0"/>
        <v>695842.64529411762</v>
      </c>
      <c r="H21" s="25">
        <f t="shared" si="1"/>
        <v>355697.26040338672</v>
      </c>
      <c r="I21" s="7">
        <f t="shared" si="2"/>
        <v>355697.26040338672</v>
      </c>
      <c r="J21" s="7">
        <f>VPI!R21</f>
        <v>367761.87779411761</v>
      </c>
      <c r="K21" s="158">
        <f t="shared" si="3"/>
        <v>413242.70711572358</v>
      </c>
      <c r="L21" s="242">
        <f t="shared" si="4"/>
        <v>768939.9675191103</v>
      </c>
      <c r="M21" s="100"/>
      <c r="N21" s="101"/>
      <c r="O21" s="98"/>
      <c r="Q21" s="102"/>
      <c r="T21" s="96"/>
    </row>
    <row r="22" spans="1:20" x14ac:dyDescent="0.25">
      <c r="A22" s="131">
        <f>Données!A22</f>
        <v>5423</v>
      </c>
      <c r="B22" s="251" t="str">
        <f>Données!B22</f>
        <v>Ballens</v>
      </c>
      <c r="C22" s="579">
        <f>Données!AR22</f>
        <v>0</v>
      </c>
      <c r="D22" s="252">
        <f>Données!Z22</f>
        <v>579</v>
      </c>
      <c r="E22" s="99">
        <f>Données!X22</f>
        <v>73</v>
      </c>
      <c r="F22" s="30">
        <f>VPI!L22</f>
        <v>1115743.92</v>
      </c>
      <c r="G22" s="7">
        <f t="shared" si="0"/>
        <v>30568.326575342464</v>
      </c>
      <c r="H22" s="25">
        <f t="shared" si="1"/>
        <v>53326.958512056168</v>
      </c>
      <c r="I22" s="7">
        <f t="shared" si="2"/>
        <v>30568.326575342464</v>
      </c>
      <c r="J22" s="7">
        <f>VPI!R22</f>
        <v>16526.279041095891</v>
      </c>
      <c r="K22" s="158">
        <f t="shared" si="3"/>
        <v>18570.071293021734</v>
      </c>
      <c r="L22" s="242">
        <f t="shared" si="4"/>
        <v>49138.397868364198</v>
      </c>
      <c r="M22" s="100"/>
      <c r="N22" s="101"/>
      <c r="O22" s="98"/>
      <c r="Q22" s="102"/>
      <c r="T22" s="96"/>
    </row>
    <row r="23" spans="1:20" x14ac:dyDescent="0.25">
      <c r="A23" s="131">
        <f>Données!A23</f>
        <v>5424</v>
      </c>
      <c r="B23" s="251" t="str">
        <f>Données!B23</f>
        <v>Berolle</v>
      </c>
      <c r="C23" s="579">
        <f>Données!AR23</f>
        <v>0</v>
      </c>
      <c r="D23" s="252">
        <f>Données!Z23</f>
        <v>303</v>
      </c>
      <c r="E23" s="99">
        <f>Données!X23</f>
        <v>75.5</v>
      </c>
      <c r="F23" s="30">
        <f>VPI!L23</f>
        <v>679139.08</v>
      </c>
      <c r="G23" s="7">
        <f t="shared" si="0"/>
        <v>17990.439205298011</v>
      </c>
      <c r="H23" s="25">
        <f t="shared" si="1"/>
        <v>27906.853936361</v>
      </c>
      <c r="I23" s="7">
        <f t="shared" si="2"/>
        <v>17990.439205298011</v>
      </c>
      <c r="J23" s="7">
        <f>VPI!R23</f>
        <v>9736.045430463575</v>
      </c>
      <c r="K23" s="158">
        <f t="shared" si="3"/>
        <v>10940.09470045944</v>
      </c>
      <c r="L23" s="242">
        <f t="shared" si="4"/>
        <v>28930.533905757453</v>
      </c>
      <c r="M23" s="100"/>
      <c r="N23" s="101"/>
      <c r="O23" s="98"/>
      <c r="Q23" s="102"/>
      <c r="T23" s="96"/>
    </row>
    <row r="24" spans="1:20" s="97" customFormat="1" x14ac:dyDescent="0.25">
      <c r="A24" s="131">
        <f>Données!A24</f>
        <v>5425</v>
      </c>
      <c r="B24" s="251" t="str">
        <f>Données!B24</f>
        <v>Bière</v>
      </c>
      <c r="C24" s="579">
        <f>Données!AR24</f>
        <v>0</v>
      </c>
      <c r="D24" s="252">
        <f>Données!Z24</f>
        <v>1680</v>
      </c>
      <c r="E24" s="99">
        <f>Données!X24</f>
        <v>69</v>
      </c>
      <c r="F24" s="30">
        <f>VPI!L24</f>
        <v>2835219.63</v>
      </c>
      <c r="G24" s="7">
        <f t="shared" si="0"/>
        <v>82180.279130434777</v>
      </c>
      <c r="H24" s="25">
        <f t="shared" si="1"/>
        <v>154731.0713303184</v>
      </c>
      <c r="I24" s="7">
        <f t="shared" si="2"/>
        <v>82180.279130434777</v>
      </c>
      <c r="J24" s="7">
        <f>VPI!R24</f>
        <v>44858.928245877061</v>
      </c>
      <c r="K24" s="158">
        <f t="shared" si="3"/>
        <v>50406.597491363871</v>
      </c>
      <c r="L24" s="242">
        <f t="shared" si="4"/>
        <v>132586.87662179864</v>
      </c>
      <c r="M24" s="100"/>
      <c r="N24" s="101"/>
      <c r="O24" s="98"/>
      <c r="P24" s="98"/>
      <c r="Q24" s="102"/>
    </row>
    <row r="25" spans="1:20" s="97" customFormat="1" x14ac:dyDescent="0.25">
      <c r="A25" s="131">
        <f>Données!A25</f>
        <v>5426</v>
      </c>
      <c r="B25" s="251" t="str">
        <f>Données!B25</f>
        <v>Bougy-Villars</v>
      </c>
      <c r="C25" s="579">
        <f>Données!AR25</f>
        <v>0</v>
      </c>
      <c r="D25" s="252">
        <f>Données!Z25</f>
        <v>511</v>
      </c>
      <c r="E25" s="99">
        <f>Données!X25</f>
        <v>64.5</v>
      </c>
      <c r="F25" s="30">
        <f>VPI!L25</f>
        <v>4135975.99</v>
      </c>
      <c r="G25" s="7">
        <f t="shared" si="0"/>
        <v>128247.31751937985</v>
      </c>
      <c r="H25" s="25">
        <f t="shared" si="1"/>
        <v>47064.034196305183</v>
      </c>
      <c r="I25" s="7">
        <f t="shared" si="2"/>
        <v>47064.034196305183</v>
      </c>
      <c r="J25" s="7">
        <f>VPI!R25</f>
        <v>68704.794547803613</v>
      </c>
      <c r="K25" s="158">
        <f t="shared" si="3"/>
        <v>77201.4637870062</v>
      </c>
      <c r="L25" s="242">
        <f t="shared" si="4"/>
        <v>124265.49798331139</v>
      </c>
      <c r="M25" s="100"/>
      <c r="N25" s="101"/>
      <c r="O25" s="98"/>
      <c r="P25" s="98"/>
      <c r="Q25" s="102"/>
    </row>
    <row r="26" spans="1:20" s="97" customFormat="1" x14ac:dyDescent="0.25">
      <c r="A26" s="131">
        <f>Données!A26</f>
        <v>5427</v>
      </c>
      <c r="B26" s="251" t="str">
        <f>Données!B26</f>
        <v>Féchy</v>
      </c>
      <c r="C26" s="579">
        <f>Données!AR26</f>
        <v>0</v>
      </c>
      <c r="D26" s="252">
        <f>Données!Z26</f>
        <v>919</v>
      </c>
      <c r="E26" s="99">
        <f>Données!X26</f>
        <v>64</v>
      </c>
      <c r="F26" s="30">
        <f>VPI!L26</f>
        <v>6195121.3899999997</v>
      </c>
      <c r="G26" s="7">
        <f t="shared" si="0"/>
        <v>193597.54343749999</v>
      </c>
      <c r="H26" s="25">
        <f t="shared" si="1"/>
        <v>84641.580090811083</v>
      </c>
      <c r="I26" s="7">
        <f t="shared" si="2"/>
        <v>84641.580090811083</v>
      </c>
      <c r="J26" s="7">
        <f>VPI!R26</f>
        <v>103018.21625</v>
      </c>
      <c r="K26" s="158">
        <f t="shared" si="3"/>
        <v>115758.40002974871</v>
      </c>
      <c r="L26" s="242">
        <f t="shared" si="4"/>
        <v>200399.98012055981</v>
      </c>
      <c r="M26" s="100"/>
      <c r="N26" s="101"/>
      <c r="O26" s="98"/>
      <c r="P26" s="98"/>
      <c r="Q26" s="102"/>
    </row>
    <row r="27" spans="1:20" s="97" customFormat="1" x14ac:dyDescent="0.25">
      <c r="A27" s="131">
        <f>Données!A27</f>
        <v>5428</v>
      </c>
      <c r="B27" s="251" t="str">
        <f>Données!B27</f>
        <v>Gimel</v>
      </c>
      <c r="C27" s="579">
        <f>Données!AR27</f>
        <v>0</v>
      </c>
      <c r="D27" s="252">
        <f>Données!Z27</f>
        <v>2458</v>
      </c>
      <c r="E27" s="99">
        <f>Données!X27</f>
        <v>73</v>
      </c>
      <c r="F27" s="30">
        <f>VPI!L27</f>
        <v>5011164.3100000005</v>
      </c>
      <c r="G27" s="7">
        <f t="shared" si="0"/>
        <v>137292.17287671234</v>
      </c>
      <c r="H27" s="25">
        <f t="shared" si="1"/>
        <v>226386.2936487635</v>
      </c>
      <c r="I27" s="7">
        <f t="shared" si="2"/>
        <v>137292.17287671234</v>
      </c>
      <c r="J27" s="7">
        <f>VPI!R27</f>
        <v>75149.866461187237</v>
      </c>
      <c r="K27" s="158">
        <f t="shared" si="3"/>
        <v>84443.592799989958</v>
      </c>
      <c r="L27" s="242">
        <f t="shared" si="4"/>
        <v>221735.76567670231</v>
      </c>
      <c r="M27" s="100"/>
      <c r="N27" s="101"/>
      <c r="O27" s="98"/>
      <c r="P27" s="98"/>
      <c r="Q27" s="102"/>
    </row>
    <row r="28" spans="1:20" s="97" customFormat="1" x14ac:dyDescent="0.25">
      <c r="A28" s="131">
        <f>Données!A28</f>
        <v>5429</v>
      </c>
      <c r="B28" s="251" t="str">
        <f>Données!B28</f>
        <v>Longirod</v>
      </c>
      <c r="C28" s="579">
        <f>Données!AR28</f>
        <v>0</v>
      </c>
      <c r="D28" s="252">
        <f>Données!Z28</f>
        <v>555</v>
      </c>
      <c r="E28" s="99">
        <f>Données!X28</f>
        <v>77.5</v>
      </c>
      <c r="F28" s="30">
        <f>VPI!L28</f>
        <v>1270797.2</v>
      </c>
      <c r="G28" s="7">
        <f t="shared" si="0"/>
        <v>32794.766451612901</v>
      </c>
      <c r="H28" s="25">
        <f t="shared" si="1"/>
        <v>51116.514635908759</v>
      </c>
      <c r="I28" s="7">
        <f t="shared" si="2"/>
        <v>32794.766451612901</v>
      </c>
      <c r="J28" s="7">
        <f>VPI!R28</f>
        <v>17947.478064516126</v>
      </c>
      <c r="K28" s="158">
        <f t="shared" si="3"/>
        <v>20167.028909485685</v>
      </c>
      <c r="L28" s="242">
        <f t="shared" si="4"/>
        <v>52961.795361098586</v>
      </c>
      <c r="M28" s="100"/>
      <c r="N28" s="101"/>
      <c r="O28" s="98"/>
      <c r="P28" s="98"/>
      <c r="Q28" s="102"/>
    </row>
    <row r="29" spans="1:20" s="97" customFormat="1" x14ac:dyDescent="0.25">
      <c r="A29" s="131">
        <f>Données!A29</f>
        <v>5430</v>
      </c>
      <c r="B29" s="251" t="str">
        <f>Données!B29</f>
        <v>Marchissy</v>
      </c>
      <c r="C29" s="579">
        <f>Données!AR29</f>
        <v>0</v>
      </c>
      <c r="D29" s="252">
        <f>Données!Z29</f>
        <v>510</v>
      </c>
      <c r="E29" s="99">
        <f>Données!X29</f>
        <v>77.5</v>
      </c>
      <c r="F29" s="30">
        <f>VPI!L29</f>
        <v>1159915.23</v>
      </c>
      <c r="G29" s="7">
        <f t="shared" si="0"/>
        <v>29933.296258064514</v>
      </c>
      <c r="H29" s="144">
        <f t="shared" si="1"/>
        <v>46971.932368132373</v>
      </c>
      <c r="I29" s="7">
        <f t="shared" si="2"/>
        <v>29933.296258064514</v>
      </c>
      <c r="J29" s="7">
        <f>VPI!R29</f>
        <v>16228.828774193547</v>
      </c>
      <c r="K29" s="158">
        <f t="shared" si="3"/>
        <v>18235.83557978168</v>
      </c>
      <c r="L29" s="242">
        <f t="shared" si="4"/>
        <v>48169.131837846195</v>
      </c>
      <c r="M29" s="100"/>
      <c r="N29" s="101"/>
      <c r="O29" s="98"/>
      <c r="P29" s="98"/>
      <c r="Q29" s="102"/>
    </row>
    <row r="30" spans="1:20" s="97" customFormat="1" x14ac:dyDescent="0.25">
      <c r="A30" s="131">
        <f>Données!A30</f>
        <v>5431</v>
      </c>
      <c r="B30" s="251" t="str">
        <f>Données!B30</f>
        <v>Mollens</v>
      </c>
      <c r="C30" s="579">
        <f>Données!AR30</f>
        <v>0</v>
      </c>
      <c r="D30" s="252">
        <f>Données!Z30</f>
        <v>324</v>
      </c>
      <c r="E30" s="99">
        <f>Données!X30</f>
        <v>74</v>
      </c>
      <c r="F30" s="30">
        <f>VPI!L30</f>
        <v>738759.11999999988</v>
      </c>
      <c r="G30" s="7">
        <f t="shared" si="0"/>
        <v>19966.462702702698</v>
      </c>
      <c r="H30" s="25">
        <f t="shared" si="1"/>
        <v>29840.992327989981</v>
      </c>
      <c r="I30" s="7">
        <f t="shared" si="2"/>
        <v>19966.462702702698</v>
      </c>
      <c r="J30" s="7">
        <f>VPI!R30</f>
        <v>10701.336756756757</v>
      </c>
      <c r="K30" s="158">
        <f t="shared" si="3"/>
        <v>12024.7628646133</v>
      </c>
      <c r="L30" s="242">
        <f t="shared" si="4"/>
        <v>31991.225567315996</v>
      </c>
      <c r="M30" s="100"/>
      <c r="N30" s="101"/>
      <c r="O30" s="98"/>
      <c r="P30" s="98"/>
      <c r="Q30" s="102"/>
    </row>
    <row r="31" spans="1:20" s="97" customFormat="1" x14ac:dyDescent="0.25">
      <c r="A31" s="131">
        <f>Données!A31</f>
        <v>5434</v>
      </c>
      <c r="B31" s="251" t="str">
        <f>Données!B31</f>
        <v>Saint-George</v>
      </c>
      <c r="C31" s="579">
        <f>Données!AR31</f>
        <v>0</v>
      </c>
      <c r="D31" s="252">
        <f>Données!Z31</f>
        <v>1083</v>
      </c>
      <c r="E31" s="99">
        <f>Données!X31</f>
        <v>69.5</v>
      </c>
      <c r="F31" s="30">
        <f>VPI!L31</f>
        <v>3278659.6800000006</v>
      </c>
      <c r="G31" s="7">
        <f t="shared" si="0"/>
        <v>94349.918848920875</v>
      </c>
      <c r="H31" s="25">
        <f t="shared" si="1"/>
        <v>99746.279911151694</v>
      </c>
      <c r="I31" s="7">
        <f t="shared" si="2"/>
        <v>94349.918848920875</v>
      </c>
      <c r="J31" s="7">
        <f>VPI!R31</f>
        <v>50881.209304556367</v>
      </c>
      <c r="K31" s="158">
        <f t="shared" si="3"/>
        <v>57173.649428959201</v>
      </c>
      <c r="L31" s="242">
        <f t="shared" si="4"/>
        <v>151523.56827788008</v>
      </c>
      <c r="M31" s="100"/>
      <c r="N31" s="101"/>
      <c r="O31" s="98"/>
      <c r="P31" s="98"/>
      <c r="Q31" s="102"/>
    </row>
    <row r="32" spans="1:20" s="97" customFormat="1" x14ac:dyDescent="0.25">
      <c r="A32" s="131">
        <f>Données!A32</f>
        <v>5435</v>
      </c>
      <c r="B32" s="251" t="str">
        <f>Données!B32</f>
        <v>Saint-Livres</v>
      </c>
      <c r="C32" s="579">
        <f>Données!AR32</f>
        <v>0</v>
      </c>
      <c r="D32" s="252">
        <f>Données!Z32</f>
        <v>715</v>
      </c>
      <c r="E32" s="99">
        <f>Données!X32</f>
        <v>69</v>
      </c>
      <c r="F32" s="30">
        <f>VPI!L32</f>
        <v>1720964.2799999998</v>
      </c>
      <c r="G32" s="7">
        <f t="shared" si="0"/>
        <v>49883.022608695646</v>
      </c>
      <c r="H32" s="25">
        <f t="shared" si="1"/>
        <v>65852.807143558137</v>
      </c>
      <c r="I32" s="7">
        <f t="shared" si="2"/>
        <v>49883.022608695646</v>
      </c>
      <c r="J32" s="7">
        <f>VPI!R32</f>
        <v>27013.42144927536</v>
      </c>
      <c r="K32" s="158">
        <f t="shared" si="3"/>
        <v>30354.150558274796</v>
      </c>
      <c r="L32" s="242">
        <f t="shared" si="4"/>
        <v>80237.173166970446</v>
      </c>
      <c r="M32" s="100"/>
      <c r="N32" s="101"/>
      <c r="O32" s="98"/>
      <c r="P32" s="98"/>
      <c r="Q32" s="102"/>
    </row>
    <row r="33" spans="1:17" s="97" customFormat="1" x14ac:dyDescent="0.25">
      <c r="A33" s="131">
        <f>Données!A33</f>
        <v>5436</v>
      </c>
      <c r="B33" s="251" t="str">
        <f>Données!B33</f>
        <v>Saint-Oyens</v>
      </c>
      <c r="C33" s="579">
        <f>Données!AR33</f>
        <v>0</v>
      </c>
      <c r="D33" s="252">
        <f>Données!Z33</f>
        <v>457</v>
      </c>
      <c r="E33" s="99">
        <f>Données!X33</f>
        <v>79</v>
      </c>
      <c r="F33" s="30">
        <f>VPI!L33</f>
        <v>1295759.9800000004</v>
      </c>
      <c r="G33" s="7">
        <f t="shared" si="0"/>
        <v>32804.05012658229</v>
      </c>
      <c r="H33" s="25">
        <f t="shared" si="1"/>
        <v>42090.53547497352</v>
      </c>
      <c r="I33" s="7">
        <f t="shared" si="2"/>
        <v>32804.05012658229</v>
      </c>
      <c r="J33" s="7">
        <f>VPI!R33</f>
        <v>17587.95702531646</v>
      </c>
      <c r="K33" s="158">
        <f t="shared" si="3"/>
        <v>19763.046179151952</v>
      </c>
      <c r="L33" s="242">
        <f t="shared" si="4"/>
        <v>52567.096305734245</v>
      </c>
      <c r="M33" s="100"/>
      <c r="N33" s="101"/>
      <c r="O33" s="98"/>
      <c r="P33" s="98"/>
      <c r="Q33" s="102"/>
    </row>
    <row r="34" spans="1:17" s="97" customFormat="1" x14ac:dyDescent="0.25">
      <c r="A34" s="131">
        <f>Données!A34</f>
        <v>5437</v>
      </c>
      <c r="B34" s="251" t="str">
        <f>Données!B34</f>
        <v>Saubraz</v>
      </c>
      <c r="C34" s="579">
        <f>Données!AR34</f>
        <v>0</v>
      </c>
      <c r="D34" s="252">
        <f>Données!Z34</f>
        <v>446</v>
      </c>
      <c r="E34" s="99">
        <f>Données!X34</f>
        <v>80</v>
      </c>
      <c r="F34" s="30">
        <f>VPI!L34</f>
        <v>970433.76</v>
      </c>
      <c r="G34" s="7">
        <f t="shared" si="0"/>
        <v>24260.844000000001</v>
      </c>
      <c r="H34" s="25">
        <f t="shared" si="1"/>
        <v>41077.415365072629</v>
      </c>
      <c r="I34" s="7">
        <f t="shared" si="2"/>
        <v>24260.844000000001</v>
      </c>
      <c r="J34" s="7">
        <f>VPI!R34</f>
        <v>13211.02075</v>
      </c>
      <c r="K34" s="158">
        <f t="shared" si="3"/>
        <v>14844.817552156081</v>
      </c>
      <c r="L34" s="242">
        <f t="shared" si="4"/>
        <v>39105.661552156082</v>
      </c>
      <c r="M34" s="100"/>
      <c r="N34" s="101"/>
      <c r="O34" s="98"/>
      <c r="P34" s="98"/>
      <c r="Q34" s="102"/>
    </row>
    <row r="35" spans="1:17" s="97" customFormat="1" x14ac:dyDescent="0.25">
      <c r="A35" s="131">
        <f>Données!A35</f>
        <v>5451</v>
      </c>
      <c r="B35" s="251" t="str">
        <f>Données!B35</f>
        <v>Avenches</v>
      </c>
      <c r="C35" s="579">
        <f>Données!AR35</f>
        <v>0</v>
      </c>
      <c r="D35" s="252">
        <f>Données!Z35</f>
        <v>4895</v>
      </c>
      <c r="E35" s="99">
        <f>Données!X35</f>
        <v>65</v>
      </c>
      <c r="F35" s="30">
        <f>VPI!L35</f>
        <v>8018141.9800000004</v>
      </c>
      <c r="G35" s="7">
        <f t="shared" si="0"/>
        <v>246712.06092307693</v>
      </c>
      <c r="H35" s="25">
        <f t="shared" si="1"/>
        <v>450838.44890589803</v>
      </c>
      <c r="I35" s="7">
        <f t="shared" si="2"/>
        <v>246712.06092307693</v>
      </c>
      <c r="J35" s="7">
        <f>VPI!R35</f>
        <v>142009.89482051283</v>
      </c>
      <c r="K35" s="158">
        <f t="shared" si="3"/>
        <v>159572.14957908439</v>
      </c>
      <c r="L35" s="242">
        <f t="shared" si="4"/>
        <v>406284.2105021613</v>
      </c>
      <c r="M35" s="100"/>
      <c r="N35" s="101"/>
      <c r="O35" s="98"/>
      <c r="P35" s="98"/>
      <c r="Q35" s="102"/>
    </row>
    <row r="36" spans="1:17" s="97" customFormat="1" x14ac:dyDescent="0.25">
      <c r="A36" s="131">
        <f>Données!A36</f>
        <v>5456</v>
      </c>
      <c r="B36" s="251" t="str">
        <f>Données!B36</f>
        <v>Cudrefin</v>
      </c>
      <c r="C36" s="579">
        <f>Données!AR36</f>
        <v>0</v>
      </c>
      <c r="D36" s="252">
        <f>Données!Z36</f>
        <v>1885</v>
      </c>
      <c r="E36" s="99">
        <f>Données!X36</f>
        <v>59</v>
      </c>
      <c r="F36" s="30">
        <f>VPI!L36</f>
        <v>3682286.38</v>
      </c>
      <c r="G36" s="7">
        <f t="shared" si="0"/>
        <v>124823.26711864407</v>
      </c>
      <c r="H36" s="25">
        <f t="shared" si="1"/>
        <v>173611.94610574417</v>
      </c>
      <c r="I36" s="7">
        <f t="shared" si="2"/>
        <v>124823.26711864407</v>
      </c>
      <c r="J36" s="7">
        <f>VPI!R36</f>
        <v>69270.195988700565</v>
      </c>
      <c r="K36" s="158">
        <f t="shared" si="3"/>
        <v>77836.787990387034</v>
      </c>
      <c r="L36" s="242">
        <f t="shared" si="4"/>
        <v>202660.05510903109</v>
      </c>
      <c r="M36" s="100"/>
      <c r="N36" s="101"/>
      <c r="O36" s="98"/>
      <c r="P36" s="98"/>
      <c r="Q36" s="102"/>
    </row>
    <row r="37" spans="1:17" s="97" customFormat="1" x14ac:dyDescent="0.25">
      <c r="A37" s="131">
        <f>Données!A37</f>
        <v>5458</v>
      </c>
      <c r="B37" s="251" t="str">
        <f>Données!B37</f>
        <v>Faoug</v>
      </c>
      <c r="C37" s="579">
        <f>Données!AR37</f>
        <v>0</v>
      </c>
      <c r="D37" s="252">
        <f>Données!Z37</f>
        <v>900</v>
      </c>
      <c r="E37" s="99">
        <f>Données!X37</f>
        <v>65</v>
      </c>
      <c r="F37" s="30">
        <f>VPI!L37</f>
        <v>1950036.65</v>
      </c>
      <c r="G37" s="7">
        <f t="shared" si="0"/>
        <v>60001.127692307688</v>
      </c>
      <c r="H37" s="25">
        <f t="shared" si="1"/>
        <v>82891.645355527726</v>
      </c>
      <c r="I37" s="7">
        <f t="shared" si="2"/>
        <v>60001.127692307688</v>
      </c>
      <c r="J37" s="7">
        <f>VPI!R37</f>
        <v>33300.633333333331</v>
      </c>
      <c r="K37" s="158">
        <f t="shared" si="3"/>
        <v>37418.897113198502</v>
      </c>
      <c r="L37" s="242">
        <f t="shared" si="4"/>
        <v>97420.024805506197</v>
      </c>
      <c r="M37" s="100"/>
      <c r="N37" s="101"/>
      <c r="O37" s="98"/>
      <c r="P37" s="98"/>
      <c r="Q37" s="102"/>
    </row>
    <row r="38" spans="1:17" s="97" customFormat="1" x14ac:dyDescent="0.25">
      <c r="A38" s="131">
        <f>Données!A38</f>
        <v>5464</v>
      </c>
      <c r="B38" s="251" t="str">
        <f>Données!B38</f>
        <v>Vully-les-Lacs</v>
      </c>
      <c r="C38" s="579">
        <f>Données!AR38</f>
        <v>0</v>
      </c>
      <c r="D38" s="252">
        <f>Données!Z38</f>
        <v>3639</v>
      </c>
      <c r="E38" s="99">
        <f>Données!X38</f>
        <v>67</v>
      </c>
      <c r="F38" s="30">
        <f>VPI!L38</f>
        <v>7552162.6799999997</v>
      </c>
      <c r="G38" s="7">
        <f t="shared" si="0"/>
        <v>225437.69194029851</v>
      </c>
      <c r="H38" s="25">
        <f t="shared" si="1"/>
        <v>335158.55272085045</v>
      </c>
      <c r="I38" s="7">
        <f t="shared" si="2"/>
        <v>225437.69194029851</v>
      </c>
      <c r="J38" s="7">
        <f>VPI!R38</f>
        <v>124498.36985074625</v>
      </c>
      <c r="K38" s="158">
        <f t="shared" si="3"/>
        <v>139894.98774916219</v>
      </c>
      <c r="L38" s="242">
        <f t="shared" si="4"/>
        <v>365332.67968946067</v>
      </c>
      <c r="M38" s="100"/>
      <c r="N38" s="101"/>
      <c r="O38" s="98"/>
      <c r="P38" s="98"/>
      <c r="Q38" s="102"/>
    </row>
    <row r="39" spans="1:17" s="97" customFormat="1" x14ac:dyDescent="0.25">
      <c r="A39" s="131">
        <f>Données!A39</f>
        <v>5471</v>
      </c>
      <c r="B39" s="251" t="str">
        <f>Données!B39</f>
        <v>Bettens</v>
      </c>
      <c r="C39" s="579">
        <f>Données!AR39</f>
        <v>0</v>
      </c>
      <c r="D39" s="252">
        <f>Données!Z39</f>
        <v>653</v>
      </c>
      <c r="E39" s="99">
        <f>Données!X39</f>
        <v>70</v>
      </c>
      <c r="F39" s="30">
        <f>VPI!L39</f>
        <v>1519610.21</v>
      </c>
      <c r="G39" s="7">
        <f t="shared" si="0"/>
        <v>43417.434571428574</v>
      </c>
      <c r="H39" s="25">
        <f t="shared" si="1"/>
        <v>60142.493796844006</v>
      </c>
      <c r="I39" s="7">
        <f t="shared" si="2"/>
        <v>43417.434571428574</v>
      </c>
      <c r="J39" s="7">
        <f>VPI!R39</f>
        <v>23785.854190476188</v>
      </c>
      <c r="K39" s="158">
        <f t="shared" si="3"/>
        <v>26727.432532403385</v>
      </c>
      <c r="L39" s="242">
        <f t="shared" si="4"/>
        <v>70144.867103831959</v>
      </c>
      <c r="M39" s="100"/>
      <c r="N39" s="101"/>
      <c r="O39" s="98"/>
      <c r="P39" s="98"/>
      <c r="Q39" s="102"/>
    </row>
    <row r="40" spans="1:17" s="97" customFormat="1" x14ac:dyDescent="0.25">
      <c r="A40" s="131">
        <f>Données!A40</f>
        <v>5472</v>
      </c>
      <c r="B40" s="251" t="str">
        <f>Données!B40</f>
        <v>Bournens</v>
      </c>
      <c r="C40" s="579">
        <f>Données!AR40</f>
        <v>0</v>
      </c>
      <c r="D40" s="252">
        <f>Données!Z40</f>
        <v>532</v>
      </c>
      <c r="E40" s="99">
        <f>Données!X40</f>
        <v>65</v>
      </c>
      <c r="F40" s="30">
        <f>VPI!L40</f>
        <v>1164444.6099999999</v>
      </c>
      <c r="G40" s="7">
        <f t="shared" si="0"/>
        <v>35829.06492307692</v>
      </c>
      <c r="H40" s="25">
        <f t="shared" si="1"/>
        <v>48998.172587934168</v>
      </c>
      <c r="I40" s="7">
        <f t="shared" si="2"/>
        <v>35829.06492307692</v>
      </c>
      <c r="J40" s="7">
        <f>VPI!R40</f>
        <v>19794.03169230769</v>
      </c>
      <c r="K40" s="158">
        <f t="shared" si="3"/>
        <v>22241.944407959767</v>
      </c>
      <c r="L40" s="242">
        <f t="shared" si="4"/>
        <v>58071.009331036686</v>
      </c>
      <c r="M40" s="100"/>
      <c r="N40" s="101"/>
      <c r="O40" s="98"/>
      <c r="P40" s="98"/>
      <c r="Q40" s="102"/>
    </row>
    <row r="41" spans="1:17" s="97" customFormat="1" x14ac:dyDescent="0.25">
      <c r="A41" s="131">
        <f>Données!A41</f>
        <v>5473</v>
      </c>
      <c r="B41" s="251" t="str">
        <f>Données!B41</f>
        <v>Boussens</v>
      </c>
      <c r="C41" s="579">
        <f>Données!AR41</f>
        <v>0</v>
      </c>
      <c r="D41" s="252">
        <f>Données!Z41</f>
        <v>1007</v>
      </c>
      <c r="E41" s="99">
        <f>Données!X41</f>
        <v>64</v>
      </c>
      <c r="F41" s="30">
        <f>VPI!L41</f>
        <v>2257024.98</v>
      </c>
      <c r="G41" s="7">
        <f t="shared" si="0"/>
        <v>70532.030624999999</v>
      </c>
      <c r="H41" s="25">
        <f t="shared" si="1"/>
        <v>92746.540970018235</v>
      </c>
      <c r="I41" s="7">
        <f t="shared" si="2"/>
        <v>70532.030624999999</v>
      </c>
      <c r="J41" s="7">
        <f>VPI!R41</f>
        <v>38638.005156250001</v>
      </c>
      <c r="K41" s="158">
        <f t="shared" si="3"/>
        <v>43416.337615229102</v>
      </c>
      <c r="L41" s="242">
        <f t="shared" si="4"/>
        <v>113948.3682402291</v>
      </c>
      <c r="M41" s="100"/>
      <c r="N41" s="101"/>
      <c r="O41" s="98"/>
      <c r="P41" s="98"/>
      <c r="Q41" s="102"/>
    </row>
    <row r="42" spans="1:17" s="97" customFormat="1" x14ac:dyDescent="0.25">
      <c r="A42" s="131">
        <f>Données!A42</f>
        <v>5474</v>
      </c>
      <c r="B42" s="251" t="str">
        <f>Données!B42</f>
        <v>La Chaux (Cossonay)</v>
      </c>
      <c r="C42" s="579">
        <f>Données!AR42</f>
        <v>0</v>
      </c>
      <c r="D42" s="252">
        <f>Données!Z42</f>
        <v>436</v>
      </c>
      <c r="E42" s="99">
        <f>Données!X42</f>
        <v>76</v>
      </c>
      <c r="F42" s="30">
        <f>VPI!L42</f>
        <v>929578.91999999993</v>
      </c>
      <c r="G42" s="7">
        <f t="shared" si="0"/>
        <v>24462.603157894733</v>
      </c>
      <c r="H42" s="25">
        <f t="shared" si="1"/>
        <v>40156.397083344542</v>
      </c>
      <c r="I42" s="7">
        <f t="shared" si="2"/>
        <v>24462.603157894733</v>
      </c>
      <c r="J42" s="7">
        <f>VPI!R42</f>
        <v>13264.060789473682</v>
      </c>
      <c r="K42" s="158">
        <f t="shared" si="3"/>
        <v>14904.417012625172</v>
      </c>
      <c r="L42" s="242">
        <f t="shared" si="4"/>
        <v>39367.020170519907</v>
      </c>
      <c r="M42" s="100"/>
      <c r="N42" s="101"/>
      <c r="O42" s="98"/>
      <c r="P42" s="98"/>
      <c r="Q42" s="102"/>
    </row>
    <row r="43" spans="1:17" s="97" customFormat="1" x14ac:dyDescent="0.25">
      <c r="A43" s="131">
        <f>Données!A43</f>
        <v>5475</v>
      </c>
      <c r="B43" s="251" t="str">
        <f>Données!B43</f>
        <v>Chavannes-le-Veyron</v>
      </c>
      <c r="C43" s="579">
        <f>Données!AR43</f>
        <v>0</v>
      </c>
      <c r="D43" s="252">
        <f>Données!Z43</f>
        <v>160</v>
      </c>
      <c r="E43" s="99">
        <f>Données!X43</f>
        <v>75</v>
      </c>
      <c r="F43" s="30">
        <f>VPI!L43</f>
        <v>279265.44</v>
      </c>
      <c r="G43" s="7">
        <f t="shared" si="0"/>
        <v>7447.0784000000003</v>
      </c>
      <c r="H43" s="25">
        <f t="shared" si="1"/>
        <v>14736.292507649374</v>
      </c>
      <c r="I43" s="7">
        <f t="shared" si="2"/>
        <v>7447.0784000000003</v>
      </c>
      <c r="J43" s="7">
        <f>VPI!R43</f>
        <v>4088.5965333333334</v>
      </c>
      <c r="K43" s="158">
        <f t="shared" si="3"/>
        <v>4594.23013030323</v>
      </c>
      <c r="L43" s="242">
        <f t="shared" si="4"/>
        <v>12041.308530303231</v>
      </c>
      <c r="M43" s="100"/>
      <c r="N43" s="101"/>
      <c r="O43" s="98"/>
      <c r="P43" s="98"/>
      <c r="Q43" s="102"/>
    </row>
    <row r="44" spans="1:17" s="97" customFormat="1" x14ac:dyDescent="0.25">
      <c r="A44" s="131">
        <f>Données!A44</f>
        <v>5476</v>
      </c>
      <c r="B44" s="251" t="str">
        <f>Données!B44</f>
        <v>Chevilly</v>
      </c>
      <c r="C44" s="579">
        <f>Données!AR44</f>
        <v>0</v>
      </c>
      <c r="D44" s="252">
        <f>Données!Z44</f>
        <v>346</v>
      </c>
      <c r="E44" s="99">
        <f>Données!X44</f>
        <v>70</v>
      </c>
      <c r="F44" s="30">
        <f>VPI!L44</f>
        <v>772955.91</v>
      </c>
      <c r="G44" s="7">
        <f t="shared" si="0"/>
        <v>22084.454571428574</v>
      </c>
      <c r="H44" s="25">
        <f t="shared" si="1"/>
        <v>31867.232547791769</v>
      </c>
      <c r="I44" s="7">
        <f t="shared" si="2"/>
        <v>22084.454571428574</v>
      </c>
      <c r="J44" s="7">
        <f>VPI!R44</f>
        <v>11956.878714285715</v>
      </c>
      <c r="K44" s="158">
        <f t="shared" si="3"/>
        <v>13435.576732920506</v>
      </c>
      <c r="L44" s="242">
        <f t="shared" si="4"/>
        <v>35520.031304349082</v>
      </c>
      <c r="M44" s="100"/>
      <c r="N44" s="101"/>
      <c r="O44" s="98"/>
      <c r="P44" s="98"/>
      <c r="Q44" s="102"/>
    </row>
    <row r="45" spans="1:17" s="97" customFormat="1" x14ac:dyDescent="0.25">
      <c r="A45" s="131">
        <f>Données!A45</f>
        <v>5477</v>
      </c>
      <c r="B45" s="251" t="str">
        <f>Données!B45</f>
        <v>Cossonay</v>
      </c>
      <c r="C45" s="579">
        <f>Données!AR45</f>
        <v>0</v>
      </c>
      <c r="D45" s="252">
        <f>Données!Z45</f>
        <v>4902</v>
      </c>
      <c r="E45" s="99">
        <f>Données!X45</f>
        <v>68</v>
      </c>
      <c r="F45" s="30">
        <f>VPI!L45</f>
        <v>11369703.740000002</v>
      </c>
      <c r="G45" s="7">
        <f t="shared" si="0"/>
        <v>334403.05117647065</v>
      </c>
      <c r="H45" s="25">
        <f t="shared" si="1"/>
        <v>451483.16170310765</v>
      </c>
      <c r="I45" s="7">
        <f t="shared" si="2"/>
        <v>334403.05117647065</v>
      </c>
      <c r="J45" s="7">
        <f>VPI!R45</f>
        <v>181500.7204411765</v>
      </c>
      <c r="K45" s="158">
        <f t="shared" si="3"/>
        <v>203946.77531137411</v>
      </c>
      <c r="L45" s="242">
        <f t="shared" si="4"/>
        <v>538349.82648784481</v>
      </c>
      <c r="M45" s="100"/>
      <c r="N45" s="101"/>
      <c r="O45" s="98"/>
      <c r="P45" s="98"/>
      <c r="Q45" s="102"/>
    </row>
    <row r="46" spans="1:17" s="97" customFormat="1" x14ac:dyDescent="0.25">
      <c r="A46" s="131">
        <f>Données!A46</f>
        <v>5479</v>
      </c>
      <c r="B46" s="251" t="str">
        <f>Données!B46</f>
        <v>Cuarnens</v>
      </c>
      <c r="C46" s="579">
        <f>Données!AR46</f>
        <v>0</v>
      </c>
      <c r="D46" s="252">
        <f>Données!Z46</f>
        <v>561</v>
      </c>
      <c r="E46" s="99">
        <f>Données!X46</f>
        <v>76</v>
      </c>
      <c r="F46" s="30">
        <f>VPI!L46</f>
        <v>1353971.6900000002</v>
      </c>
      <c r="G46" s="7">
        <f t="shared" si="0"/>
        <v>35630.833947368425</v>
      </c>
      <c r="H46" s="25">
        <f t="shared" si="1"/>
        <v>51669.125604945613</v>
      </c>
      <c r="I46" s="7">
        <f t="shared" si="2"/>
        <v>35630.833947368425</v>
      </c>
      <c r="J46" s="7">
        <f>VPI!R46</f>
        <v>19152.633421052633</v>
      </c>
      <c r="K46" s="158">
        <f t="shared" si="3"/>
        <v>21521.224904506587</v>
      </c>
      <c r="L46" s="242">
        <f t="shared" si="4"/>
        <v>57152.058851875016</v>
      </c>
      <c r="M46" s="100"/>
      <c r="N46" s="101"/>
      <c r="O46" s="98"/>
      <c r="P46" s="98"/>
      <c r="Q46" s="102"/>
    </row>
    <row r="47" spans="1:17" s="97" customFormat="1" x14ac:dyDescent="0.25">
      <c r="A47" s="131">
        <f>Données!A47</f>
        <v>5480</v>
      </c>
      <c r="B47" s="251" t="str">
        <f>Données!B47</f>
        <v>Daillens</v>
      </c>
      <c r="C47" s="579">
        <f>Données!AR47</f>
        <v>0</v>
      </c>
      <c r="D47" s="252">
        <f>Données!Z47</f>
        <v>1099</v>
      </c>
      <c r="E47" s="99">
        <f>Données!X47</f>
        <v>66</v>
      </c>
      <c r="F47" s="30">
        <f>VPI!L47</f>
        <v>2914522.2099999995</v>
      </c>
      <c r="G47" s="7">
        <f t="shared" si="0"/>
        <v>88318.854848484829</v>
      </c>
      <c r="H47" s="25">
        <f t="shared" si="1"/>
        <v>101219.90916191663</v>
      </c>
      <c r="I47" s="7">
        <f t="shared" si="2"/>
        <v>88318.854848484829</v>
      </c>
      <c r="J47" s="7">
        <f>VPI!R47</f>
        <v>49509.108484848482</v>
      </c>
      <c r="K47" s="158">
        <f t="shared" si="3"/>
        <v>55631.86195339814</v>
      </c>
      <c r="L47" s="242">
        <f t="shared" si="4"/>
        <v>143950.71680188295</v>
      </c>
      <c r="M47" s="100"/>
      <c r="N47" s="101"/>
      <c r="O47" s="98"/>
      <c r="P47" s="98"/>
      <c r="Q47" s="102"/>
    </row>
    <row r="48" spans="1:17" s="97" customFormat="1" x14ac:dyDescent="0.25">
      <c r="A48" s="131">
        <f>Données!A48</f>
        <v>5481</v>
      </c>
      <c r="B48" s="251" t="str">
        <f>Données!B48</f>
        <v>Dizy</v>
      </c>
      <c r="C48" s="579">
        <f>Données!AR48</f>
        <v>0</v>
      </c>
      <c r="D48" s="252">
        <f>Données!Z48</f>
        <v>238</v>
      </c>
      <c r="E48" s="99">
        <f>Données!X48</f>
        <v>75</v>
      </c>
      <c r="F48" s="30">
        <f>VPI!L48</f>
        <v>886521.33000000007</v>
      </c>
      <c r="G48" s="7">
        <f t="shared" si="0"/>
        <v>23640.568800000001</v>
      </c>
      <c r="H48" s="25">
        <f t="shared" si="1"/>
        <v>21920.235105128442</v>
      </c>
      <c r="I48" s="7">
        <f t="shared" si="2"/>
        <v>21920.235105128442</v>
      </c>
      <c r="J48" s="7">
        <f>VPI!R48</f>
        <v>12384.965733333334</v>
      </c>
      <c r="K48" s="158">
        <f t="shared" si="3"/>
        <v>13916.604945233948</v>
      </c>
      <c r="L48" s="242">
        <f t="shared" si="4"/>
        <v>35836.840050362393</v>
      </c>
      <c r="M48" s="100"/>
      <c r="N48" s="101"/>
      <c r="O48" s="98"/>
      <c r="P48" s="98"/>
      <c r="Q48" s="102"/>
    </row>
    <row r="49" spans="1:17" s="97" customFormat="1" x14ac:dyDescent="0.25">
      <c r="A49" s="131">
        <f>Données!A49</f>
        <v>5482</v>
      </c>
      <c r="B49" s="251" t="str">
        <f>Données!B49</f>
        <v>Eclépens</v>
      </c>
      <c r="C49" s="579">
        <f>Données!AR49</f>
        <v>0</v>
      </c>
      <c r="D49" s="252">
        <f>Données!Z49</f>
        <v>1211</v>
      </c>
      <c r="E49" s="99">
        <f>Données!X49</f>
        <v>46</v>
      </c>
      <c r="F49" s="30">
        <f>VPI!L49</f>
        <v>2024229.42</v>
      </c>
      <c r="G49" s="7">
        <f t="shared" si="0"/>
        <v>88009.974782608697</v>
      </c>
      <c r="H49" s="25">
        <f t="shared" si="1"/>
        <v>111535.3139172712</v>
      </c>
      <c r="I49" s="7">
        <f t="shared" si="2"/>
        <v>88009.974782608697</v>
      </c>
      <c r="J49" s="7">
        <f>VPI!R49</f>
        <v>54393.337391304347</v>
      </c>
      <c r="K49" s="158">
        <f t="shared" si="3"/>
        <v>61120.119702089061</v>
      </c>
      <c r="L49" s="242">
        <f t="shared" si="4"/>
        <v>149130.09448469777</v>
      </c>
      <c r="M49" s="100"/>
      <c r="N49" s="101"/>
      <c r="O49" s="98"/>
      <c r="P49" s="98"/>
      <c r="Q49" s="102"/>
    </row>
    <row r="50" spans="1:17" s="97" customFormat="1" x14ac:dyDescent="0.25">
      <c r="A50" s="131">
        <f>Données!A50</f>
        <v>5483</v>
      </c>
      <c r="B50" s="251" t="str">
        <f>Données!B50</f>
        <v>Ferreyres</v>
      </c>
      <c r="C50" s="579">
        <f>Données!AR50</f>
        <v>0</v>
      </c>
      <c r="D50" s="252">
        <f>Données!Z50</f>
        <v>309</v>
      </c>
      <c r="E50" s="99">
        <f>Données!X50</f>
        <v>76</v>
      </c>
      <c r="F50" s="30">
        <f>VPI!L50</f>
        <v>792040.88</v>
      </c>
      <c r="G50" s="7">
        <f t="shared" si="0"/>
        <v>20843.181052631578</v>
      </c>
      <c r="H50" s="25">
        <f t="shared" si="1"/>
        <v>28459.46490539785</v>
      </c>
      <c r="I50" s="7">
        <f t="shared" si="2"/>
        <v>20843.181052631578</v>
      </c>
      <c r="J50" s="7">
        <f>VPI!R50</f>
        <v>11195.615526315791</v>
      </c>
      <c r="K50" s="158">
        <f t="shared" si="3"/>
        <v>12580.168710449099</v>
      </c>
      <c r="L50" s="242">
        <f t="shared" si="4"/>
        <v>33423.349763080681</v>
      </c>
      <c r="M50" s="100"/>
      <c r="N50" s="101"/>
      <c r="O50" s="98"/>
      <c r="P50" s="98"/>
      <c r="Q50" s="102"/>
    </row>
    <row r="51" spans="1:17" s="97" customFormat="1" x14ac:dyDescent="0.25">
      <c r="A51" s="131">
        <f>Données!A51</f>
        <v>5484</v>
      </c>
      <c r="B51" s="251" t="str">
        <f>Données!B51</f>
        <v>Gollion</v>
      </c>
      <c r="C51" s="579">
        <f>Données!AR51</f>
        <v>0</v>
      </c>
      <c r="D51" s="252">
        <f>Données!Z51</f>
        <v>1064</v>
      </c>
      <c r="E51" s="99">
        <f>Données!X51</f>
        <v>74</v>
      </c>
      <c r="F51" s="30">
        <f>VPI!L51</f>
        <v>2273553.7999999998</v>
      </c>
      <c r="G51" s="7">
        <f t="shared" si="0"/>
        <v>61447.399999999994</v>
      </c>
      <c r="H51" s="25">
        <f t="shared" si="1"/>
        <v>97996.345175868337</v>
      </c>
      <c r="I51" s="7">
        <f t="shared" si="2"/>
        <v>61447.399999999994</v>
      </c>
      <c r="J51" s="7">
        <f>VPI!R51</f>
        <v>33718.962837837833</v>
      </c>
      <c r="K51" s="158">
        <f t="shared" si="3"/>
        <v>37888.961106630137</v>
      </c>
      <c r="L51" s="242">
        <f t="shared" si="4"/>
        <v>99336.361106630124</v>
      </c>
      <c r="M51" s="100"/>
      <c r="N51" s="101"/>
      <c r="O51" s="98"/>
      <c r="P51" s="98"/>
      <c r="Q51" s="102"/>
    </row>
    <row r="52" spans="1:17" s="97" customFormat="1" x14ac:dyDescent="0.25">
      <c r="A52" s="131">
        <f>Données!A52</f>
        <v>5485</v>
      </c>
      <c r="B52" s="251" t="str">
        <f>Données!B52</f>
        <v>Grancy</v>
      </c>
      <c r="C52" s="579">
        <f>Données!AR52</f>
        <v>0</v>
      </c>
      <c r="D52" s="252">
        <f>Données!Z52</f>
        <v>540</v>
      </c>
      <c r="E52" s="99">
        <f>Données!X52</f>
        <v>70</v>
      </c>
      <c r="F52" s="30">
        <f>VPI!L52</f>
        <v>1742722.86</v>
      </c>
      <c r="G52" s="7">
        <f t="shared" si="0"/>
        <v>49792.081714285719</v>
      </c>
      <c r="H52" s="25">
        <f t="shared" si="1"/>
        <v>49734.987213316635</v>
      </c>
      <c r="I52" s="7">
        <f t="shared" si="2"/>
        <v>49734.987213316635</v>
      </c>
      <c r="J52" s="7">
        <f>VPI!R52</f>
        <v>26449.499428571431</v>
      </c>
      <c r="K52" s="158">
        <f t="shared" si="3"/>
        <v>29720.488733847415</v>
      </c>
      <c r="L52" s="242">
        <f t="shared" si="4"/>
        <v>79455.475947164057</v>
      </c>
      <c r="M52" s="100"/>
      <c r="N52" s="101"/>
      <c r="O52" s="98"/>
      <c r="P52" s="98"/>
      <c r="Q52" s="102"/>
    </row>
    <row r="53" spans="1:17" s="97" customFormat="1" x14ac:dyDescent="0.25">
      <c r="A53" s="131">
        <f>Données!A53</f>
        <v>5486</v>
      </c>
      <c r="B53" s="251" t="str">
        <f>Données!B53</f>
        <v>L'Isle</v>
      </c>
      <c r="C53" s="579">
        <f>Données!AR53</f>
        <v>0</v>
      </c>
      <c r="D53" s="252">
        <f>Données!Z53</f>
        <v>1096</v>
      </c>
      <c r="E53" s="99">
        <f>Données!X53</f>
        <v>75</v>
      </c>
      <c r="F53" s="30">
        <f>VPI!L53</f>
        <v>2549362.2900000005</v>
      </c>
      <c r="G53" s="7">
        <f t="shared" si="0"/>
        <v>67982.994400000011</v>
      </c>
      <c r="H53" s="25">
        <f t="shared" si="1"/>
        <v>100943.60367739821</v>
      </c>
      <c r="I53" s="7">
        <f t="shared" si="2"/>
        <v>67982.994400000011</v>
      </c>
      <c r="J53" s="7">
        <f>VPI!R53</f>
        <v>36962.66320000001</v>
      </c>
      <c r="K53" s="158">
        <f t="shared" si="3"/>
        <v>41533.807404381965</v>
      </c>
      <c r="L53" s="242">
        <f t="shared" si="4"/>
        <v>109516.80180438198</v>
      </c>
      <c r="M53" s="100"/>
      <c r="N53" s="101"/>
      <c r="O53" s="98"/>
      <c r="P53" s="98"/>
      <c r="Q53" s="102"/>
    </row>
    <row r="54" spans="1:17" s="97" customFormat="1" x14ac:dyDescent="0.25">
      <c r="A54" s="131">
        <f>Données!A54</f>
        <v>5487</v>
      </c>
      <c r="B54" s="251" t="str">
        <f>Données!B54</f>
        <v>Lussery-Villars</v>
      </c>
      <c r="C54" s="579">
        <f>Données!AR54</f>
        <v>0</v>
      </c>
      <c r="D54" s="252">
        <f>Données!Z54</f>
        <v>468</v>
      </c>
      <c r="E54" s="99">
        <f>Données!X54</f>
        <v>75</v>
      </c>
      <c r="F54" s="30">
        <f>VPI!L54</f>
        <v>1044357.6499999999</v>
      </c>
      <c r="G54" s="7">
        <f t="shared" si="0"/>
        <v>27849.53733333333</v>
      </c>
      <c r="H54" s="25">
        <f t="shared" si="1"/>
        <v>43103.655584874417</v>
      </c>
      <c r="I54" s="7">
        <f t="shared" si="2"/>
        <v>27849.53733333333</v>
      </c>
      <c r="J54" s="7">
        <f>VPI!R54</f>
        <v>15075.076666666666</v>
      </c>
      <c r="K54" s="158">
        <f t="shared" si="3"/>
        <v>16939.399834144679</v>
      </c>
      <c r="L54" s="242">
        <f t="shared" si="4"/>
        <v>44788.937167478012</v>
      </c>
      <c r="M54" s="100"/>
      <c r="N54" s="101"/>
      <c r="O54" s="98"/>
      <c r="P54" s="98"/>
      <c r="Q54" s="102"/>
    </row>
    <row r="55" spans="1:17" s="97" customFormat="1" x14ac:dyDescent="0.25">
      <c r="A55" s="131">
        <f>Données!A55</f>
        <v>5488</v>
      </c>
      <c r="B55" s="251" t="str">
        <f>Données!B55</f>
        <v>Mauraz</v>
      </c>
      <c r="C55" s="579">
        <f>Données!AR55</f>
        <v>0</v>
      </c>
      <c r="D55" s="252">
        <f>Données!Z55</f>
        <v>67</v>
      </c>
      <c r="E55" s="99">
        <f>Données!X55</f>
        <v>77</v>
      </c>
      <c r="F55" s="30">
        <f>VPI!L55</f>
        <v>134838.38</v>
      </c>
      <c r="G55" s="7">
        <f t="shared" si="0"/>
        <v>3502.2955844155845</v>
      </c>
      <c r="H55" s="25">
        <f t="shared" si="1"/>
        <v>6170.8224875781752</v>
      </c>
      <c r="I55" s="7">
        <f t="shared" si="2"/>
        <v>3502.2955844155845</v>
      </c>
      <c r="J55" s="7">
        <f>VPI!R55</f>
        <v>1889.5633766233766</v>
      </c>
      <c r="K55" s="158">
        <f t="shared" si="3"/>
        <v>2123.2442299517252</v>
      </c>
      <c r="L55" s="242">
        <f t="shared" si="4"/>
        <v>5625.5398143673101</v>
      </c>
      <c r="M55" s="100"/>
      <c r="N55" s="101"/>
      <c r="O55" s="98"/>
      <c r="P55" s="98"/>
      <c r="Q55" s="102"/>
    </row>
    <row r="56" spans="1:17" s="97" customFormat="1" x14ac:dyDescent="0.25">
      <c r="A56" s="131">
        <f>Données!A56</f>
        <v>5489</v>
      </c>
      <c r="B56" s="251" t="str">
        <f>Données!B56</f>
        <v>Mex</v>
      </c>
      <c r="C56" s="579">
        <f>Données!AR56</f>
        <v>0</v>
      </c>
      <c r="D56" s="252">
        <f>Données!Z56</f>
        <v>809</v>
      </c>
      <c r="E56" s="99">
        <f>Données!X56</f>
        <v>59.5</v>
      </c>
      <c r="F56" s="30">
        <f>VPI!L56</f>
        <v>4266952.7299999995</v>
      </c>
      <c r="G56" s="7">
        <f t="shared" si="0"/>
        <v>143426.98252100838</v>
      </c>
      <c r="H56" s="25">
        <f t="shared" si="1"/>
        <v>74510.378991802136</v>
      </c>
      <c r="I56" s="7">
        <f t="shared" si="2"/>
        <v>74510.378991802136</v>
      </c>
      <c r="J56" s="7">
        <f>VPI!R56</f>
        <v>77108.405546218492</v>
      </c>
      <c r="K56" s="158">
        <f t="shared" si="3"/>
        <v>86644.342911298023</v>
      </c>
      <c r="L56" s="242">
        <f t="shared" si="4"/>
        <v>161154.72190310014</v>
      </c>
      <c r="M56" s="100"/>
      <c r="N56" s="101"/>
      <c r="O56" s="98"/>
      <c r="P56" s="98"/>
      <c r="Q56" s="102"/>
    </row>
    <row r="57" spans="1:17" s="97" customFormat="1" x14ac:dyDescent="0.25">
      <c r="A57" s="131">
        <f>Données!A57</f>
        <v>5490</v>
      </c>
      <c r="B57" s="251" t="str">
        <f>Données!B57</f>
        <v>Moiry</v>
      </c>
      <c r="C57" s="579">
        <f>Données!AR57</f>
        <v>0</v>
      </c>
      <c r="D57" s="252">
        <f>Données!Z57</f>
        <v>299</v>
      </c>
      <c r="E57" s="99">
        <f>Données!X57</f>
        <v>76</v>
      </c>
      <c r="F57" s="30">
        <f>VPI!L57</f>
        <v>565302.67999999993</v>
      </c>
      <c r="G57" s="7">
        <f t="shared" si="0"/>
        <v>14876.386315789472</v>
      </c>
      <c r="H57" s="25">
        <f t="shared" si="1"/>
        <v>27538.446623669766</v>
      </c>
      <c r="I57" s="7">
        <f t="shared" si="2"/>
        <v>14876.386315789472</v>
      </c>
      <c r="J57" s="7">
        <f>VPI!R57</f>
        <v>8086.7260526315777</v>
      </c>
      <c r="K57" s="158">
        <f t="shared" si="3"/>
        <v>9086.8052603416818</v>
      </c>
      <c r="L57" s="242">
        <f t="shared" si="4"/>
        <v>23963.191576131154</v>
      </c>
      <c r="M57" s="100"/>
      <c r="N57" s="101"/>
      <c r="O57" s="98"/>
      <c r="P57" s="98"/>
      <c r="Q57" s="102"/>
    </row>
    <row r="58" spans="1:17" s="97" customFormat="1" x14ac:dyDescent="0.25">
      <c r="A58" s="131">
        <f>Données!A58</f>
        <v>5491</v>
      </c>
      <c r="B58" s="251" t="str">
        <f>Données!B58</f>
        <v>Mont-la-Ville</v>
      </c>
      <c r="C58" s="579">
        <f>Données!AR58</f>
        <v>0</v>
      </c>
      <c r="D58" s="252">
        <f>Données!Z58</f>
        <v>495</v>
      </c>
      <c r="E58" s="99">
        <f>Données!X58</f>
        <v>76</v>
      </c>
      <c r="F58" s="30">
        <f>VPI!L58</f>
        <v>969626.84</v>
      </c>
      <c r="G58" s="7">
        <f t="shared" si="0"/>
        <v>25516.495789473684</v>
      </c>
      <c r="H58" s="25">
        <f t="shared" si="1"/>
        <v>45590.404945540249</v>
      </c>
      <c r="I58" s="7">
        <f t="shared" si="2"/>
        <v>25516.495789473684</v>
      </c>
      <c r="J58" s="7">
        <f>VPI!R58</f>
        <v>14059.996578947368</v>
      </c>
      <c r="K58" s="158">
        <f t="shared" si="3"/>
        <v>15798.785570631426</v>
      </c>
      <c r="L58" s="242">
        <f t="shared" si="4"/>
        <v>41315.281360105109</v>
      </c>
      <c r="M58" s="100"/>
      <c r="N58" s="101"/>
      <c r="O58" s="98"/>
      <c r="P58" s="98"/>
      <c r="Q58" s="102"/>
    </row>
    <row r="59" spans="1:17" s="97" customFormat="1" x14ac:dyDescent="0.25">
      <c r="A59" s="131">
        <f>Données!A59</f>
        <v>5492</v>
      </c>
      <c r="B59" s="251" t="str">
        <f>Données!B59</f>
        <v>Montricher</v>
      </c>
      <c r="C59" s="579">
        <f>Données!AR59</f>
        <v>0</v>
      </c>
      <c r="D59" s="252">
        <f>Données!Z59</f>
        <v>943</v>
      </c>
      <c r="E59" s="99">
        <f>Données!X59</f>
        <v>64</v>
      </c>
      <c r="F59" s="30">
        <f>VPI!L59</f>
        <v>12421102.720000001</v>
      </c>
      <c r="G59" s="7">
        <f t="shared" si="0"/>
        <v>388159.46</v>
      </c>
      <c r="H59" s="25">
        <f t="shared" si="1"/>
        <v>86852.023966958499</v>
      </c>
      <c r="I59" s="7">
        <f t="shared" si="2"/>
        <v>86852.023966958499</v>
      </c>
      <c r="J59" s="7">
        <f>VPI!R59</f>
        <v>198155.03156250002</v>
      </c>
      <c r="K59" s="158">
        <f t="shared" si="3"/>
        <v>222660.71231377352</v>
      </c>
      <c r="L59" s="242">
        <f t="shared" si="4"/>
        <v>309512.73628073203</v>
      </c>
      <c r="M59" s="100"/>
      <c r="N59" s="101"/>
      <c r="O59" s="98"/>
      <c r="P59" s="98"/>
      <c r="Q59" s="102"/>
    </row>
    <row r="60" spans="1:17" s="97" customFormat="1" x14ac:dyDescent="0.25">
      <c r="A60" s="131">
        <f>Données!A60</f>
        <v>5493</v>
      </c>
      <c r="B60" s="251" t="str">
        <f>Données!B60</f>
        <v>Orny</v>
      </c>
      <c r="C60" s="579">
        <f>Données!AR60</f>
        <v>0</v>
      </c>
      <c r="D60" s="252">
        <f>Données!Z60</f>
        <v>497</v>
      </c>
      <c r="E60" s="99">
        <f>Données!X60</f>
        <v>73</v>
      </c>
      <c r="F60" s="30">
        <f>VPI!L60</f>
        <v>1088064.0700000003</v>
      </c>
      <c r="G60" s="7">
        <f t="shared" si="0"/>
        <v>29809.974520547952</v>
      </c>
      <c r="H60" s="25">
        <f t="shared" si="1"/>
        <v>45774.608601885862</v>
      </c>
      <c r="I60" s="7">
        <f t="shared" si="2"/>
        <v>29809.974520547952</v>
      </c>
      <c r="J60" s="7">
        <f>VPI!R60</f>
        <v>16121.406280295052</v>
      </c>
      <c r="K60" s="158">
        <f t="shared" si="3"/>
        <v>18115.128228465106</v>
      </c>
      <c r="L60" s="242">
        <f t="shared" si="4"/>
        <v>47925.102749013058</v>
      </c>
      <c r="M60" s="100"/>
      <c r="N60" s="101"/>
      <c r="O60" s="98"/>
      <c r="P60" s="98"/>
      <c r="Q60" s="102"/>
    </row>
    <row r="61" spans="1:17" s="97" customFormat="1" x14ac:dyDescent="0.25">
      <c r="A61" s="131">
        <f>Données!A61</f>
        <v>5495</v>
      </c>
      <c r="B61" s="251" t="str">
        <f>Données!B61</f>
        <v>Penthalaz</v>
      </c>
      <c r="C61" s="579">
        <f>Données!AR61</f>
        <v>0</v>
      </c>
      <c r="D61" s="252">
        <f>Données!Z61</f>
        <v>3177</v>
      </c>
      <c r="E61" s="99">
        <f>Données!X61</f>
        <v>72.5</v>
      </c>
      <c r="F61" s="30">
        <f>VPI!L61</f>
        <v>6360202.4800000004</v>
      </c>
      <c r="G61" s="7">
        <f t="shared" si="0"/>
        <v>175453.8615172414</v>
      </c>
      <c r="H61" s="25">
        <f t="shared" si="1"/>
        <v>292607.50810501288</v>
      </c>
      <c r="I61" s="7">
        <f t="shared" si="2"/>
        <v>175453.8615172414</v>
      </c>
      <c r="J61" s="7">
        <f>VPI!R61</f>
        <v>96624.252827586228</v>
      </c>
      <c r="K61" s="158">
        <f t="shared" si="3"/>
        <v>108573.70005560841</v>
      </c>
      <c r="L61" s="242">
        <f t="shared" si="4"/>
        <v>284027.56157284981</v>
      </c>
      <c r="M61" s="100"/>
      <c r="N61" s="101"/>
      <c r="O61" s="98"/>
      <c r="P61" s="98"/>
      <c r="Q61" s="102"/>
    </row>
    <row r="62" spans="1:17" s="97" customFormat="1" x14ac:dyDescent="0.25">
      <c r="A62" s="131">
        <f>Données!A62</f>
        <v>5496</v>
      </c>
      <c r="B62" s="251" t="str">
        <f>Données!B62</f>
        <v>Penthaz</v>
      </c>
      <c r="C62" s="579">
        <f>Données!AR62</f>
        <v>0</v>
      </c>
      <c r="D62" s="252">
        <f>Données!Z62</f>
        <v>1946</v>
      </c>
      <c r="E62" s="99">
        <f>Données!X62</f>
        <v>69.5</v>
      </c>
      <c r="F62" s="30">
        <f>VPI!L62</f>
        <v>3997902.64</v>
      </c>
      <c r="G62" s="7">
        <f t="shared" si="0"/>
        <v>115047.55798561151</v>
      </c>
      <c r="H62" s="25">
        <f t="shared" si="1"/>
        <v>179230.15762428549</v>
      </c>
      <c r="I62" s="7">
        <f t="shared" si="2"/>
        <v>115047.55798561151</v>
      </c>
      <c r="J62" s="7">
        <f>VPI!R62</f>
        <v>63424.403453237413</v>
      </c>
      <c r="K62" s="158">
        <f t="shared" si="3"/>
        <v>71268.050776292017</v>
      </c>
      <c r="L62" s="242">
        <f t="shared" si="4"/>
        <v>186315.60876190354</v>
      </c>
      <c r="M62" s="100"/>
      <c r="N62" s="101"/>
      <c r="O62" s="98"/>
      <c r="P62" s="98"/>
      <c r="Q62" s="102"/>
    </row>
    <row r="63" spans="1:17" s="97" customFormat="1" x14ac:dyDescent="0.25">
      <c r="A63" s="131">
        <f>Données!A63</f>
        <v>5497</v>
      </c>
      <c r="B63" s="251" t="str">
        <f>Données!B63</f>
        <v>Pompaples</v>
      </c>
      <c r="C63" s="579">
        <f>Données!AR63</f>
        <v>0</v>
      </c>
      <c r="D63" s="252">
        <f>Données!Z63</f>
        <v>930</v>
      </c>
      <c r="E63" s="99">
        <f>Données!X63</f>
        <v>66</v>
      </c>
      <c r="F63" s="30">
        <f>VPI!L63</f>
        <v>1785462.08</v>
      </c>
      <c r="G63" s="7">
        <f t="shared" si="0"/>
        <v>54104.911515151514</v>
      </c>
      <c r="H63" s="25">
        <f t="shared" si="1"/>
        <v>85654.700200711974</v>
      </c>
      <c r="I63" s="7">
        <f t="shared" si="2"/>
        <v>54104.911515151514</v>
      </c>
      <c r="J63" s="7">
        <f>VPI!R63</f>
        <v>29282.771666666667</v>
      </c>
      <c r="K63" s="158">
        <f t="shared" si="3"/>
        <v>32904.14957626284</v>
      </c>
      <c r="L63" s="242">
        <f t="shared" si="4"/>
        <v>87009.061091414362</v>
      </c>
      <c r="M63" s="100"/>
      <c r="N63" s="101"/>
      <c r="O63" s="98"/>
      <c r="P63" s="98"/>
      <c r="Q63" s="102"/>
    </row>
    <row r="64" spans="1:17" s="97" customFormat="1" x14ac:dyDescent="0.25">
      <c r="A64" s="131">
        <f>Données!A64</f>
        <v>5498</v>
      </c>
      <c r="B64" s="251" t="str">
        <f>Données!B64</f>
        <v>La Sarraz</v>
      </c>
      <c r="C64" s="579">
        <f>Données!AR64</f>
        <v>0</v>
      </c>
      <c r="D64" s="252">
        <f>Données!Z64</f>
        <v>2618</v>
      </c>
      <c r="E64" s="99">
        <f>Données!X64</f>
        <v>70</v>
      </c>
      <c r="F64" s="30">
        <f>VPI!L64</f>
        <v>4887572.0900000008</v>
      </c>
      <c r="G64" s="7">
        <f t="shared" si="0"/>
        <v>139644.91685714287</v>
      </c>
      <c r="H64" s="25">
        <f t="shared" si="1"/>
        <v>241122.58615641287</v>
      </c>
      <c r="I64" s="7">
        <f t="shared" si="2"/>
        <v>139644.91685714287</v>
      </c>
      <c r="J64" s="7">
        <f>VPI!R64</f>
        <v>76599.208428571437</v>
      </c>
      <c r="K64" s="158">
        <f t="shared" si="3"/>
        <v>86072.173776709824</v>
      </c>
      <c r="L64" s="242">
        <f t="shared" si="4"/>
        <v>225717.0906338527</v>
      </c>
      <c r="M64" s="100"/>
      <c r="N64" s="101"/>
      <c r="O64" s="98"/>
      <c r="P64" s="98"/>
      <c r="Q64" s="102"/>
    </row>
    <row r="65" spans="1:17" s="97" customFormat="1" x14ac:dyDescent="0.25">
      <c r="A65" s="131">
        <f>Données!A65</f>
        <v>5499</v>
      </c>
      <c r="B65" s="251" t="str">
        <f>Données!B65</f>
        <v>Senarclens</v>
      </c>
      <c r="C65" s="579">
        <f>Données!AR65</f>
        <v>0</v>
      </c>
      <c r="D65" s="252">
        <f>Données!Z65</f>
        <v>480</v>
      </c>
      <c r="E65" s="99">
        <f>Données!X65</f>
        <v>68.5</v>
      </c>
      <c r="F65" s="30">
        <f>VPI!L65</f>
        <v>1338222.02</v>
      </c>
      <c r="G65" s="7">
        <f t="shared" si="0"/>
        <v>39072.175766423359</v>
      </c>
      <c r="H65" s="25">
        <f t="shared" si="1"/>
        <v>44208.877522948118</v>
      </c>
      <c r="I65" s="7">
        <f t="shared" si="2"/>
        <v>39072.175766423359</v>
      </c>
      <c r="J65" s="7">
        <f>VPI!R65</f>
        <v>21136.176934306572</v>
      </c>
      <c r="K65" s="158">
        <f t="shared" si="3"/>
        <v>23750.071722495079</v>
      </c>
      <c r="L65" s="242">
        <f t="shared" si="4"/>
        <v>62822.247488918438</v>
      </c>
      <c r="M65" s="100"/>
      <c r="N65" s="101"/>
      <c r="O65" s="98"/>
      <c r="P65" s="98"/>
      <c r="Q65" s="102"/>
    </row>
    <row r="66" spans="1:17" s="97" customFormat="1" x14ac:dyDescent="0.25">
      <c r="A66" s="131">
        <f>Données!A66</f>
        <v>5501</v>
      </c>
      <c r="B66" s="251" t="str">
        <f>Données!B66</f>
        <v>Sullens</v>
      </c>
      <c r="C66" s="579">
        <f>Données!AR66</f>
        <v>0</v>
      </c>
      <c r="D66" s="252">
        <f>Données!Z66</f>
        <v>1225</v>
      </c>
      <c r="E66" s="99">
        <f>Données!X66</f>
        <v>64</v>
      </c>
      <c r="F66" s="30">
        <f>VPI!L66</f>
        <v>3411236.9699999997</v>
      </c>
      <c r="G66" s="7">
        <f t="shared" si="0"/>
        <v>106601.15531249999</v>
      </c>
      <c r="H66" s="25">
        <f t="shared" si="1"/>
        <v>112824.73951169051</v>
      </c>
      <c r="I66" s="7">
        <f t="shared" si="2"/>
        <v>106601.15531249999</v>
      </c>
      <c r="J66" s="7">
        <f>VPI!R66</f>
        <v>57751.835468749996</v>
      </c>
      <c r="K66" s="158">
        <f t="shared" si="3"/>
        <v>64893.960660513694</v>
      </c>
      <c r="L66" s="242">
        <f t="shared" si="4"/>
        <v>171495.11597301369</v>
      </c>
      <c r="M66" s="100"/>
      <c r="N66" s="101"/>
      <c r="O66" s="98"/>
      <c r="P66" s="98"/>
      <c r="Q66" s="102"/>
    </row>
    <row r="67" spans="1:17" s="97" customFormat="1" x14ac:dyDescent="0.25">
      <c r="A67" s="131">
        <f>Données!A67</f>
        <v>5503</v>
      </c>
      <c r="B67" s="251" t="str">
        <f>Données!B67</f>
        <v>Vufflens-la-Ville</v>
      </c>
      <c r="C67" s="579">
        <f>Données!AR67</f>
        <v>0</v>
      </c>
      <c r="D67" s="252">
        <f>Données!Z67</f>
        <v>1342</v>
      </c>
      <c r="E67" s="99">
        <f>Données!X67</f>
        <v>67</v>
      </c>
      <c r="F67" s="30">
        <f>VPI!L67</f>
        <v>4035166.66</v>
      </c>
      <c r="G67" s="7">
        <f t="shared" si="0"/>
        <v>120452.73611940299</v>
      </c>
      <c r="H67" s="25">
        <f t="shared" si="1"/>
        <v>123600.65340790912</v>
      </c>
      <c r="I67" s="7">
        <f t="shared" si="2"/>
        <v>120452.73611940299</v>
      </c>
      <c r="J67" s="7">
        <f>VPI!R67</f>
        <v>68821.666815920398</v>
      </c>
      <c r="K67" s="158">
        <f t="shared" si="3"/>
        <v>77332.789558869845</v>
      </c>
      <c r="L67" s="242">
        <f t="shared" si="4"/>
        <v>197785.52567827282</v>
      </c>
      <c r="M67" s="100"/>
      <c r="N67" s="101"/>
      <c r="O67" s="98"/>
      <c r="P67" s="98"/>
      <c r="Q67" s="102"/>
    </row>
    <row r="68" spans="1:17" s="97" customFormat="1" x14ac:dyDescent="0.25">
      <c r="A68" s="131">
        <f>Données!A68</f>
        <v>5511</v>
      </c>
      <c r="B68" s="251" t="str">
        <f>Données!B68</f>
        <v>Assens</v>
      </c>
      <c r="C68" s="579">
        <f>Données!AR68</f>
        <v>0</v>
      </c>
      <c r="D68" s="252">
        <f>Données!Z68</f>
        <v>1711</v>
      </c>
      <c r="E68" s="99">
        <f>Données!X68</f>
        <v>70</v>
      </c>
      <c r="F68" s="30">
        <f>VPI!L68</f>
        <v>4456524.6499999994</v>
      </c>
      <c r="G68" s="7">
        <f t="shared" si="0"/>
        <v>127329.2757142857</v>
      </c>
      <c r="H68" s="25">
        <f t="shared" si="1"/>
        <v>157586.2280036755</v>
      </c>
      <c r="I68" s="7">
        <f t="shared" si="2"/>
        <v>127329.2757142857</v>
      </c>
      <c r="J68" s="7">
        <f>VPI!R68</f>
        <v>69828.319999999992</v>
      </c>
      <c r="K68" s="158">
        <f t="shared" si="3"/>
        <v>78463.934770034437</v>
      </c>
      <c r="L68" s="242">
        <f t="shared" si="4"/>
        <v>205793.21048432012</v>
      </c>
      <c r="M68" s="100"/>
      <c r="N68" s="101"/>
      <c r="O68" s="98"/>
      <c r="P68" s="98"/>
      <c r="Q68" s="102"/>
    </row>
    <row r="69" spans="1:17" s="97" customFormat="1" x14ac:dyDescent="0.25">
      <c r="A69" s="131">
        <f>Données!A69</f>
        <v>5512</v>
      </c>
      <c r="B69" s="251" t="str">
        <f>Données!B69</f>
        <v>Bercher</v>
      </c>
      <c r="C69" s="579">
        <f>Données!AR69</f>
        <v>0</v>
      </c>
      <c r="D69" s="252">
        <f>Données!Z69</f>
        <v>1344</v>
      </c>
      <c r="E69" s="99">
        <f>Données!X69</f>
        <v>79</v>
      </c>
      <c r="F69" s="30">
        <f>VPI!L69</f>
        <v>2948165.76</v>
      </c>
      <c r="G69" s="7">
        <f t="shared" si="0"/>
        <v>74637.107848101266</v>
      </c>
      <c r="H69" s="25">
        <f t="shared" si="1"/>
        <v>123784.85706425473</v>
      </c>
      <c r="I69" s="7">
        <f t="shared" si="2"/>
        <v>74637.107848101266</v>
      </c>
      <c r="J69" s="7">
        <f>VPI!R69</f>
        <v>41189.844430379737</v>
      </c>
      <c r="K69" s="158">
        <f t="shared" si="3"/>
        <v>46283.760894908861</v>
      </c>
      <c r="L69" s="242">
        <f t="shared" si="4"/>
        <v>120920.86874301013</v>
      </c>
      <c r="M69" s="100"/>
      <c r="N69" s="101"/>
      <c r="O69" s="98"/>
      <c r="P69" s="98"/>
      <c r="Q69" s="102"/>
    </row>
    <row r="70" spans="1:17" s="97" customFormat="1" x14ac:dyDescent="0.25">
      <c r="A70" s="131">
        <f>Données!A70</f>
        <v>5514</v>
      </c>
      <c r="B70" s="251" t="str">
        <f>Données!B70</f>
        <v>Bottens</v>
      </c>
      <c r="C70" s="579">
        <f>Données!AR70</f>
        <v>0</v>
      </c>
      <c r="D70" s="252">
        <f>Données!Z70</f>
        <v>1358</v>
      </c>
      <c r="E70" s="99">
        <f>Données!X70</f>
        <v>72.5</v>
      </c>
      <c r="F70" s="30">
        <f>VPI!L70</f>
        <v>3067714.41</v>
      </c>
      <c r="G70" s="7">
        <f t="shared" si="0"/>
        <v>84626.604413793102</v>
      </c>
      <c r="H70" s="25">
        <f t="shared" si="1"/>
        <v>125074.28265867406</v>
      </c>
      <c r="I70" s="7">
        <f t="shared" si="2"/>
        <v>84626.604413793102</v>
      </c>
      <c r="J70" s="7">
        <f>VPI!R70</f>
        <v>45955.362896551727</v>
      </c>
      <c r="K70" s="158">
        <f t="shared" si="3"/>
        <v>51638.627374227188</v>
      </c>
      <c r="L70" s="242">
        <f t="shared" si="4"/>
        <v>136265.23178802029</v>
      </c>
      <c r="M70" s="100"/>
      <c r="N70" s="101"/>
      <c r="O70" s="98"/>
      <c r="P70" s="98"/>
      <c r="Q70" s="102"/>
    </row>
    <row r="71" spans="1:17" s="97" customFormat="1" x14ac:dyDescent="0.25">
      <c r="A71" s="131">
        <f>Données!A71</f>
        <v>5515</v>
      </c>
      <c r="B71" s="251" t="str">
        <f>Données!B71</f>
        <v>Bretigny-sur-Morrens</v>
      </c>
      <c r="C71" s="579">
        <f>Données!AR71</f>
        <v>0</v>
      </c>
      <c r="D71" s="252">
        <f>Données!Z71</f>
        <v>898</v>
      </c>
      <c r="E71" s="99">
        <f>Données!X71</f>
        <v>78</v>
      </c>
      <c r="F71" s="30">
        <f>VPI!L71</f>
        <v>2294411.7599999998</v>
      </c>
      <c r="G71" s="7">
        <f t="shared" ref="G71:G134" si="5">F71/E71*2</f>
        <v>58831.070769230762</v>
      </c>
      <c r="H71" s="25">
        <f t="shared" ref="H71:H134" si="6">+$G$306/$D$306*D71</f>
        <v>82707.441699182105</v>
      </c>
      <c r="I71" s="7">
        <f t="shared" ref="I71:I134" si="7">IF(C71=1,0,IF(H71&gt;G71,G71,H71))</f>
        <v>58831.070769230762</v>
      </c>
      <c r="J71" s="7">
        <f>VPI!R71</f>
        <v>32116.031538461531</v>
      </c>
      <c r="K71" s="158">
        <f t="shared" ref="K71:K134" si="8">+$K$5*J71</f>
        <v>36087.796523047022</v>
      </c>
      <c r="L71" s="242">
        <f t="shared" ref="L71:L134" si="9">+K71+I71</f>
        <v>94918.867292277777</v>
      </c>
      <c r="M71" s="100"/>
      <c r="N71" s="101"/>
      <c r="O71" s="98"/>
      <c r="P71" s="98"/>
      <c r="Q71" s="102"/>
    </row>
    <row r="72" spans="1:17" s="97" customFormat="1" x14ac:dyDescent="0.25">
      <c r="A72" s="131">
        <f>Données!A72</f>
        <v>5516</v>
      </c>
      <c r="B72" s="251" t="str">
        <f>Données!B72</f>
        <v>Cugy</v>
      </c>
      <c r="C72" s="579">
        <f>Données!AR72</f>
        <v>0</v>
      </c>
      <c r="D72" s="252">
        <f>Données!Z72</f>
        <v>2790</v>
      </c>
      <c r="E72" s="99">
        <f>Données!X72</f>
        <v>76</v>
      </c>
      <c r="F72" s="30">
        <f>VPI!L72</f>
        <v>7875110.5</v>
      </c>
      <c r="G72" s="7">
        <f t="shared" si="5"/>
        <v>207239.75</v>
      </c>
      <c r="H72" s="25">
        <f t="shared" si="6"/>
        <v>256964.10060213594</v>
      </c>
      <c r="I72" s="7">
        <f t="shared" si="7"/>
        <v>207239.75</v>
      </c>
      <c r="J72" s="7">
        <f>VPI!R72</f>
        <v>112038.1875</v>
      </c>
      <c r="K72" s="158">
        <f t="shared" si="8"/>
        <v>125893.86420513752</v>
      </c>
      <c r="L72" s="242">
        <f t="shared" si="9"/>
        <v>333133.61420513754</v>
      </c>
      <c r="M72" s="100"/>
      <c r="N72" s="101"/>
      <c r="O72" s="98"/>
      <c r="P72" s="98"/>
      <c r="Q72" s="102"/>
    </row>
    <row r="73" spans="1:17" s="97" customFormat="1" x14ac:dyDescent="0.25">
      <c r="A73" s="131">
        <f>Données!A73</f>
        <v>5518</v>
      </c>
      <c r="B73" s="251" t="str">
        <f>Données!B73</f>
        <v>Echallens</v>
      </c>
      <c r="C73" s="579">
        <f>Données!AR73</f>
        <v>0</v>
      </c>
      <c r="D73" s="252">
        <f>Données!Z73</f>
        <v>6722</v>
      </c>
      <c r="E73" s="99">
        <f>Données!X73</f>
        <v>72.5</v>
      </c>
      <c r="F73" s="30">
        <f>VPI!L73</f>
        <v>14364899.999999998</v>
      </c>
      <c r="G73" s="7">
        <f t="shared" si="5"/>
        <v>396273.10344827583</v>
      </c>
      <c r="H73" s="25">
        <f t="shared" si="6"/>
        <v>619108.48897761933</v>
      </c>
      <c r="I73" s="7">
        <f t="shared" si="7"/>
        <v>396273.10344827583</v>
      </c>
      <c r="J73" s="7">
        <f>VPI!R73</f>
        <v>216867.084137931</v>
      </c>
      <c r="K73" s="158">
        <f t="shared" si="8"/>
        <v>243686.87007744407</v>
      </c>
      <c r="L73" s="242">
        <f t="shared" si="9"/>
        <v>639959.97352571995</v>
      </c>
      <c r="M73" s="100"/>
      <c r="N73" s="101"/>
      <c r="O73" s="98"/>
      <c r="P73" s="98"/>
      <c r="Q73" s="102"/>
    </row>
    <row r="74" spans="1:17" s="97" customFormat="1" x14ac:dyDescent="0.25">
      <c r="A74" s="131">
        <f>Données!A74</f>
        <v>5520</v>
      </c>
      <c r="B74" s="251" t="str">
        <f>Données!B74</f>
        <v>Essertines-sur-Yverdon</v>
      </c>
      <c r="C74" s="579">
        <f>Données!AR74</f>
        <v>0</v>
      </c>
      <c r="D74" s="252">
        <f>Données!Z74</f>
        <v>1148</v>
      </c>
      <c r="E74" s="99">
        <f>Données!X74</f>
        <v>74</v>
      </c>
      <c r="F74" s="30">
        <f>VPI!L74</f>
        <v>2387173.5300000003</v>
      </c>
      <c r="G74" s="7">
        <f t="shared" si="5"/>
        <v>64518.203513513523</v>
      </c>
      <c r="H74" s="25">
        <f t="shared" si="6"/>
        <v>105732.89874238425</v>
      </c>
      <c r="I74" s="7">
        <f t="shared" si="7"/>
        <v>64518.203513513523</v>
      </c>
      <c r="J74" s="7">
        <f>VPI!R74</f>
        <v>35335.874054054053</v>
      </c>
      <c r="K74" s="158">
        <f t="shared" si="8"/>
        <v>39705.834492644957</v>
      </c>
      <c r="L74" s="242">
        <f t="shared" si="9"/>
        <v>104224.03800615849</v>
      </c>
      <c r="M74" s="100"/>
      <c r="N74" s="101"/>
      <c r="O74" s="98"/>
      <c r="P74" s="98"/>
      <c r="Q74" s="102"/>
    </row>
    <row r="75" spans="1:17" s="97" customFormat="1" x14ac:dyDescent="0.25">
      <c r="A75" s="131">
        <f>Données!A75</f>
        <v>5521</v>
      </c>
      <c r="B75" s="251" t="str">
        <f>Données!B75</f>
        <v>Etagnières</v>
      </c>
      <c r="C75" s="579">
        <f>Données!AR75</f>
        <v>0</v>
      </c>
      <c r="D75" s="252">
        <f>Données!Z75</f>
        <v>1189</v>
      </c>
      <c r="E75" s="99">
        <f>Données!X75</f>
        <v>73</v>
      </c>
      <c r="F75" s="30">
        <f>VPI!L75</f>
        <v>3106422.6999999997</v>
      </c>
      <c r="G75" s="7">
        <f t="shared" si="5"/>
        <v>85107.471232876705</v>
      </c>
      <c r="H75" s="25">
        <f t="shared" si="6"/>
        <v>109509.0736974694</v>
      </c>
      <c r="I75" s="7">
        <f t="shared" si="7"/>
        <v>85107.471232876705</v>
      </c>
      <c r="J75" s="7">
        <f>VPI!R75</f>
        <v>46868.677397260268</v>
      </c>
      <c r="K75" s="158">
        <f t="shared" si="8"/>
        <v>52664.890778647081</v>
      </c>
      <c r="L75" s="242">
        <f t="shared" si="9"/>
        <v>137772.3620115238</v>
      </c>
      <c r="M75" s="100"/>
      <c r="N75" s="101"/>
      <c r="O75" s="98"/>
      <c r="P75" s="98"/>
      <c r="Q75" s="102"/>
    </row>
    <row r="76" spans="1:17" s="97" customFormat="1" x14ac:dyDescent="0.25">
      <c r="A76" s="131">
        <f>Données!A76</f>
        <v>5522</v>
      </c>
      <c r="B76" s="251" t="str">
        <f>Données!B76</f>
        <v>Fey</v>
      </c>
      <c r="C76" s="579">
        <f>Données!AR76</f>
        <v>0</v>
      </c>
      <c r="D76" s="252">
        <f>Données!Z76</f>
        <v>789</v>
      </c>
      <c r="E76" s="99">
        <f>Données!X76</f>
        <v>75</v>
      </c>
      <c r="F76" s="30">
        <f>VPI!L76</f>
        <v>1734828.89</v>
      </c>
      <c r="G76" s="7">
        <f t="shared" si="5"/>
        <v>46262.10373333333</v>
      </c>
      <c r="H76" s="144">
        <f t="shared" si="6"/>
        <v>72668.342428345975</v>
      </c>
      <c r="I76" s="7">
        <f t="shared" si="7"/>
        <v>46262.10373333333</v>
      </c>
      <c r="J76" s="7">
        <f>VPI!R76</f>
        <v>25183.4012</v>
      </c>
      <c r="K76" s="158">
        <f t="shared" si="8"/>
        <v>28297.813108555485</v>
      </c>
      <c r="L76" s="242">
        <f t="shared" si="9"/>
        <v>74559.916841888815</v>
      </c>
      <c r="M76" s="100"/>
      <c r="N76" s="101"/>
      <c r="O76" s="98"/>
      <c r="P76" s="98"/>
      <c r="Q76" s="102"/>
    </row>
    <row r="77" spans="1:17" s="97" customFormat="1" x14ac:dyDescent="0.25">
      <c r="A77" s="131">
        <f>Données!A77</f>
        <v>5523</v>
      </c>
      <c r="B77" s="251" t="str">
        <f>Données!B77</f>
        <v>Froideville</v>
      </c>
      <c r="C77" s="579">
        <f>Données!AR77</f>
        <v>0</v>
      </c>
      <c r="D77" s="252">
        <f>Données!Z77</f>
        <v>2731</v>
      </c>
      <c r="E77" s="99">
        <f>Données!X77</f>
        <v>72</v>
      </c>
      <c r="F77" s="30">
        <f>VPI!L77</f>
        <v>5824021.8399999989</v>
      </c>
      <c r="G77" s="7">
        <f t="shared" si="5"/>
        <v>161778.38444444441</v>
      </c>
      <c r="H77" s="25">
        <f t="shared" si="6"/>
        <v>251530.09273994024</v>
      </c>
      <c r="I77" s="7">
        <f t="shared" si="7"/>
        <v>161778.38444444441</v>
      </c>
      <c r="J77" s="7">
        <f>VPI!R77</f>
        <v>89218.615555555531</v>
      </c>
      <c r="K77" s="158">
        <f t="shared" si="8"/>
        <v>100252.21330291047</v>
      </c>
      <c r="L77" s="242">
        <f t="shared" si="9"/>
        <v>262030.59774735488</v>
      </c>
      <c r="M77" s="100"/>
      <c r="N77" s="101"/>
      <c r="O77" s="98"/>
      <c r="P77" s="98"/>
      <c r="Q77" s="102"/>
    </row>
    <row r="78" spans="1:17" s="97" customFormat="1" x14ac:dyDescent="0.25">
      <c r="A78" s="131">
        <f>Données!A78</f>
        <v>5527</v>
      </c>
      <c r="B78" s="251" t="str">
        <f>Données!B78</f>
        <v>Morrens</v>
      </c>
      <c r="C78" s="579">
        <f>Données!AR78</f>
        <v>0</v>
      </c>
      <c r="D78" s="252">
        <f>Données!Z78</f>
        <v>1153</v>
      </c>
      <c r="E78" s="99">
        <f>Données!X78</f>
        <v>74</v>
      </c>
      <c r="F78" s="30">
        <f>VPI!L78</f>
        <v>2891094.9200000004</v>
      </c>
      <c r="G78" s="7">
        <f t="shared" si="5"/>
        <v>78137.700540540551</v>
      </c>
      <c r="H78" s="25">
        <f t="shared" si="6"/>
        <v>106193.40788324829</v>
      </c>
      <c r="I78" s="7">
        <f t="shared" si="7"/>
        <v>78137.700540540551</v>
      </c>
      <c r="J78" s="7">
        <f>VPI!R78</f>
        <v>42618.641486486493</v>
      </c>
      <c r="K78" s="158">
        <f t="shared" si="8"/>
        <v>47889.256186933322</v>
      </c>
      <c r="L78" s="242">
        <f t="shared" si="9"/>
        <v>126026.95672747388</v>
      </c>
      <c r="M78" s="100"/>
      <c r="N78" s="101"/>
      <c r="O78" s="98"/>
      <c r="P78" s="98"/>
      <c r="Q78" s="102"/>
    </row>
    <row r="79" spans="1:17" s="97" customFormat="1" x14ac:dyDescent="0.25">
      <c r="A79" s="131">
        <f>Données!A79</f>
        <v>5529</v>
      </c>
      <c r="B79" s="251" t="str">
        <f>Données!B79</f>
        <v>Oulens-sous-Echallens</v>
      </c>
      <c r="C79" s="579">
        <f>Données!AR79</f>
        <v>0</v>
      </c>
      <c r="D79" s="252">
        <f>Données!Z79</f>
        <v>607</v>
      </c>
      <c r="E79" s="99">
        <f>Données!X79</f>
        <v>71</v>
      </c>
      <c r="F79" s="30">
        <f>VPI!L79</f>
        <v>1371162.7200000002</v>
      </c>
      <c r="G79" s="7">
        <f t="shared" si="5"/>
        <v>38624.301971830995</v>
      </c>
      <c r="H79" s="25">
        <f t="shared" si="6"/>
        <v>55905.80970089481</v>
      </c>
      <c r="I79" s="7">
        <f t="shared" si="7"/>
        <v>38624.301971830995</v>
      </c>
      <c r="J79" s="7">
        <f>VPI!R79</f>
        <v>21320.008028169017</v>
      </c>
      <c r="K79" s="158">
        <f t="shared" si="8"/>
        <v>23956.63706672113</v>
      </c>
      <c r="L79" s="242">
        <f t="shared" si="9"/>
        <v>62580.939038552126</v>
      </c>
      <c r="M79" s="100"/>
      <c r="N79" s="101"/>
      <c r="O79" s="98"/>
      <c r="P79" s="98"/>
      <c r="Q79" s="102"/>
    </row>
    <row r="80" spans="1:17" s="97" customFormat="1" x14ac:dyDescent="0.25">
      <c r="A80" s="131">
        <f>Données!A80</f>
        <v>5530</v>
      </c>
      <c r="B80" s="251" t="str">
        <f>Données!B80</f>
        <v>Pailly</v>
      </c>
      <c r="C80" s="579">
        <f>Données!AR80</f>
        <v>0</v>
      </c>
      <c r="D80" s="252">
        <f>Données!Z80</f>
        <v>576</v>
      </c>
      <c r="E80" s="99">
        <f>Données!X80</f>
        <v>76</v>
      </c>
      <c r="F80" s="30">
        <f>VPI!L80</f>
        <v>1326448.7999999998</v>
      </c>
      <c r="G80" s="7">
        <f t="shared" si="5"/>
        <v>34906.547368421045</v>
      </c>
      <c r="H80" s="25">
        <f t="shared" si="6"/>
        <v>53050.653027537744</v>
      </c>
      <c r="I80" s="7">
        <f t="shared" si="7"/>
        <v>34906.547368421045</v>
      </c>
      <c r="J80" s="7">
        <f>VPI!R80</f>
        <v>18985.526425438595</v>
      </c>
      <c r="K80" s="158">
        <f t="shared" si="8"/>
        <v>21333.451914930491</v>
      </c>
      <c r="L80" s="242">
        <f t="shared" si="9"/>
        <v>56239.999283351535</v>
      </c>
      <c r="M80" s="100"/>
      <c r="N80" s="101"/>
      <c r="O80" s="98"/>
      <c r="P80" s="98"/>
      <c r="Q80" s="102"/>
    </row>
    <row r="81" spans="1:17" s="97" customFormat="1" x14ac:dyDescent="0.25">
      <c r="A81" s="131">
        <f>Données!A81</f>
        <v>5531</v>
      </c>
      <c r="B81" s="251" t="str">
        <f>Données!B81</f>
        <v>Penthéréaz</v>
      </c>
      <c r="C81" s="579">
        <f>Données!AR81</f>
        <v>0</v>
      </c>
      <c r="D81" s="252">
        <f>Données!Z81</f>
        <v>430</v>
      </c>
      <c r="E81" s="99">
        <f>Données!X81</f>
        <v>74</v>
      </c>
      <c r="F81" s="30">
        <f>VPI!L81</f>
        <v>1160017.3400000001</v>
      </c>
      <c r="G81" s="7">
        <f t="shared" si="5"/>
        <v>31351.820000000003</v>
      </c>
      <c r="H81" s="25">
        <f t="shared" si="6"/>
        <v>39603.786114307688</v>
      </c>
      <c r="I81" s="7">
        <f t="shared" si="7"/>
        <v>31351.820000000003</v>
      </c>
      <c r="J81" s="7">
        <f>VPI!R81</f>
        <v>16979.020135135139</v>
      </c>
      <c r="K81" s="158">
        <f t="shared" si="8"/>
        <v>19078.802530869209</v>
      </c>
      <c r="L81" s="242">
        <f t="shared" si="9"/>
        <v>50430.622530869208</v>
      </c>
      <c r="M81" s="100"/>
      <c r="N81" s="101"/>
      <c r="O81" s="98"/>
      <c r="P81" s="98"/>
      <c r="Q81" s="102"/>
    </row>
    <row r="82" spans="1:17" s="97" customFormat="1" x14ac:dyDescent="0.25">
      <c r="A82" s="131">
        <f>Données!A82</f>
        <v>5533</v>
      </c>
      <c r="B82" s="251" t="str">
        <f>Données!B82</f>
        <v>Poliez-Pittet</v>
      </c>
      <c r="C82" s="579">
        <f>Données!AR82</f>
        <v>0</v>
      </c>
      <c r="D82" s="252">
        <f>Données!Z82</f>
        <v>850</v>
      </c>
      <c r="E82" s="99">
        <f>Données!X82</f>
        <v>73</v>
      </c>
      <c r="F82" s="30">
        <f>VPI!L82</f>
        <v>1819508.7199999997</v>
      </c>
      <c r="G82" s="7">
        <f t="shared" si="5"/>
        <v>49849.553972602735</v>
      </c>
      <c r="H82" s="25">
        <f t="shared" si="6"/>
        <v>78286.553946887288</v>
      </c>
      <c r="I82" s="7">
        <f t="shared" si="7"/>
        <v>49849.553972602735</v>
      </c>
      <c r="J82" s="7">
        <f>VPI!R82</f>
        <v>27367.358493150681</v>
      </c>
      <c r="K82" s="158">
        <f t="shared" si="8"/>
        <v>30751.858724865833</v>
      </c>
      <c r="L82" s="242">
        <f t="shared" si="9"/>
        <v>80601.412697468564</v>
      </c>
      <c r="M82" s="100"/>
      <c r="N82" s="101"/>
      <c r="O82" s="98"/>
      <c r="P82" s="98"/>
      <c r="Q82" s="102"/>
    </row>
    <row r="83" spans="1:17" s="97" customFormat="1" x14ac:dyDescent="0.25">
      <c r="A83" s="131">
        <f>Données!A83</f>
        <v>5534</v>
      </c>
      <c r="B83" s="251" t="str">
        <f>Données!B83</f>
        <v>Rueyres</v>
      </c>
      <c r="C83" s="579">
        <f>Données!AR83</f>
        <v>0</v>
      </c>
      <c r="D83" s="252">
        <f>Données!Z83</f>
        <v>304</v>
      </c>
      <c r="E83" s="99">
        <f>Données!X83</f>
        <v>73</v>
      </c>
      <c r="F83" s="30">
        <f>VPI!L83</f>
        <v>1225191.1900000002</v>
      </c>
      <c r="G83" s="7">
        <f t="shared" si="5"/>
        <v>33566.881917808227</v>
      </c>
      <c r="H83" s="25">
        <f t="shared" si="6"/>
        <v>27998.95576453381</v>
      </c>
      <c r="I83" s="7">
        <f t="shared" si="7"/>
        <v>27998.95576453381</v>
      </c>
      <c r="J83" s="7">
        <f>VPI!R83</f>
        <v>17982.384452054797</v>
      </c>
      <c r="K83" s="158">
        <f t="shared" si="8"/>
        <v>20206.252143195041</v>
      </c>
      <c r="L83" s="242">
        <f t="shared" si="9"/>
        <v>48205.207907728851</v>
      </c>
      <c r="M83" s="100"/>
      <c r="N83" s="101"/>
      <c r="O83" s="98"/>
      <c r="P83" s="98"/>
      <c r="Q83" s="102"/>
    </row>
    <row r="84" spans="1:17" s="97" customFormat="1" x14ac:dyDescent="0.25">
      <c r="A84" s="131">
        <f>Données!A84</f>
        <v>5535</v>
      </c>
      <c r="B84" s="251" t="str">
        <f>Données!B84</f>
        <v>Saint-Barthélemy</v>
      </c>
      <c r="C84" s="579">
        <f>Données!AR84</f>
        <v>0</v>
      </c>
      <c r="D84" s="252">
        <f>Données!Z84</f>
        <v>837</v>
      </c>
      <c r="E84" s="99">
        <f>Données!X84</f>
        <v>75</v>
      </c>
      <c r="F84" s="30">
        <f>VPI!L84</f>
        <v>1830982.3500000003</v>
      </c>
      <c r="G84" s="7">
        <f t="shared" si="5"/>
        <v>48826.196000000011</v>
      </c>
      <c r="H84" s="25">
        <f t="shared" si="6"/>
        <v>77089.230180640778</v>
      </c>
      <c r="I84" s="7">
        <f t="shared" si="7"/>
        <v>48826.196000000011</v>
      </c>
      <c r="J84" s="7">
        <f>VPI!R84</f>
        <v>26523.088000000003</v>
      </c>
      <c r="K84" s="158">
        <f t="shared" si="8"/>
        <v>29803.177947455755</v>
      </c>
      <c r="L84" s="242">
        <f t="shared" si="9"/>
        <v>78629.373947455766</v>
      </c>
      <c r="M84" s="100"/>
      <c r="N84" s="101"/>
      <c r="O84" s="98"/>
      <c r="P84" s="98"/>
      <c r="Q84" s="102"/>
    </row>
    <row r="85" spans="1:17" s="97" customFormat="1" x14ac:dyDescent="0.25">
      <c r="A85" s="131">
        <f>Données!A85</f>
        <v>5537</v>
      </c>
      <c r="B85" s="251" t="str">
        <f>Données!B85</f>
        <v>Villars-le-Terroir</v>
      </c>
      <c r="C85" s="579">
        <f>Données!AR85</f>
        <v>0</v>
      </c>
      <c r="D85" s="252">
        <f>Données!Z85</f>
        <v>1307</v>
      </c>
      <c r="E85" s="99">
        <f>Données!X85</f>
        <v>76</v>
      </c>
      <c r="F85" s="30">
        <f>VPI!L85</f>
        <v>2514583.8600000003</v>
      </c>
      <c r="G85" s="7">
        <f t="shared" si="5"/>
        <v>66173.259473684215</v>
      </c>
      <c r="H85" s="25">
        <f t="shared" si="6"/>
        <v>120377.08942186082</v>
      </c>
      <c r="I85" s="7">
        <f t="shared" si="7"/>
        <v>66173.259473684215</v>
      </c>
      <c r="J85" s="7">
        <f>VPI!R85</f>
        <v>36821.563947368428</v>
      </c>
      <c r="K85" s="158">
        <f t="shared" si="8"/>
        <v>41375.258515412781</v>
      </c>
      <c r="L85" s="242">
        <f t="shared" si="9"/>
        <v>107548.51798909699</v>
      </c>
      <c r="M85" s="100"/>
      <c r="N85" s="101"/>
      <c r="O85" s="98"/>
      <c r="P85" s="98"/>
      <c r="Q85" s="102"/>
    </row>
    <row r="86" spans="1:17" s="97" customFormat="1" x14ac:dyDescent="0.25">
      <c r="A86" s="131">
        <f>Données!A86</f>
        <v>5539</v>
      </c>
      <c r="B86" s="251" t="str">
        <f>Données!B86</f>
        <v>Vuarrens</v>
      </c>
      <c r="C86" s="579">
        <f>Données!AR86</f>
        <v>0</v>
      </c>
      <c r="D86" s="252">
        <f>Données!Z86</f>
        <v>1120</v>
      </c>
      <c r="E86" s="99">
        <f>Données!X86</f>
        <v>73.5</v>
      </c>
      <c r="F86" s="30">
        <f>VPI!L86</f>
        <v>2337615.7899999996</v>
      </c>
      <c r="G86" s="7">
        <f t="shared" si="5"/>
        <v>63608.592925170058</v>
      </c>
      <c r="H86" s="25">
        <f t="shared" si="6"/>
        <v>103154.04755354561</v>
      </c>
      <c r="I86" s="7">
        <f t="shared" si="7"/>
        <v>63608.592925170058</v>
      </c>
      <c r="J86" s="7">
        <f>VPI!R86</f>
        <v>34903.7481632653</v>
      </c>
      <c r="K86" s="158">
        <f t="shared" si="8"/>
        <v>39220.267924420325</v>
      </c>
      <c r="L86" s="242">
        <f t="shared" si="9"/>
        <v>102828.86084959039</v>
      </c>
      <c r="M86" s="100"/>
      <c r="N86" s="101"/>
      <c r="O86" s="98"/>
      <c r="P86" s="98"/>
      <c r="Q86" s="102"/>
    </row>
    <row r="87" spans="1:17" s="97" customFormat="1" x14ac:dyDescent="0.25">
      <c r="A87" s="131">
        <f>Données!A87</f>
        <v>5540</v>
      </c>
      <c r="B87" s="251" t="str">
        <f>Données!B87</f>
        <v>Montilliez</v>
      </c>
      <c r="C87" s="579">
        <f>Données!AR87</f>
        <v>0</v>
      </c>
      <c r="D87" s="252">
        <f>Données!Z87</f>
        <v>1874</v>
      </c>
      <c r="E87" s="99">
        <f>Données!X87</f>
        <v>72.5</v>
      </c>
      <c r="F87" s="30">
        <f>VPI!L87</f>
        <v>4329895.379999999</v>
      </c>
      <c r="G87" s="7">
        <f t="shared" si="5"/>
        <v>119445.38979310342</v>
      </c>
      <c r="H87" s="25">
        <f t="shared" si="6"/>
        <v>172598.82599584328</v>
      </c>
      <c r="I87" s="7">
        <f t="shared" si="7"/>
        <v>119445.38979310342</v>
      </c>
      <c r="J87" s="7">
        <f>VPI!R87</f>
        <v>65033.644896551712</v>
      </c>
      <c r="K87" s="158">
        <f t="shared" si="8"/>
        <v>73076.305874473517</v>
      </c>
      <c r="L87" s="242">
        <f t="shared" si="9"/>
        <v>192521.69566757692</v>
      </c>
      <c r="M87" s="100"/>
      <c r="N87" s="101"/>
      <c r="O87" s="98"/>
      <c r="P87" s="98"/>
      <c r="Q87" s="102"/>
    </row>
    <row r="88" spans="1:17" s="97" customFormat="1" x14ac:dyDescent="0.25">
      <c r="A88" s="131">
        <f>Données!A88</f>
        <v>5541</v>
      </c>
      <c r="B88" s="251" t="str">
        <f>Données!B88</f>
        <v>Goumoëns</v>
      </c>
      <c r="C88" s="579">
        <f>Données!AR88</f>
        <v>0</v>
      </c>
      <c r="D88" s="252">
        <f>Données!Z88</f>
        <v>1211</v>
      </c>
      <c r="E88" s="99">
        <f>Données!X88</f>
        <v>75.5</v>
      </c>
      <c r="F88" s="30">
        <f>VPI!L88</f>
        <v>2856124.68</v>
      </c>
      <c r="G88" s="7">
        <f t="shared" si="5"/>
        <v>75658.931920529809</v>
      </c>
      <c r="H88" s="25">
        <f t="shared" si="6"/>
        <v>111535.3139172712</v>
      </c>
      <c r="I88" s="7">
        <f t="shared" si="7"/>
        <v>75658.931920529809</v>
      </c>
      <c r="J88" s="7">
        <f>VPI!R88</f>
        <v>41006.934834437088</v>
      </c>
      <c r="K88" s="158">
        <f t="shared" si="8"/>
        <v>46078.23100954348</v>
      </c>
      <c r="L88" s="242">
        <f t="shared" si="9"/>
        <v>121737.16293007329</v>
      </c>
      <c r="M88" s="100"/>
      <c r="N88" s="101"/>
      <c r="O88" s="98"/>
      <c r="P88" s="98"/>
      <c r="Q88" s="102"/>
    </row>
    <row r="89" spans="1:17" s="97" customFormat="1" x14ac:dyDescent="0.25">
      <c r="A89" s="131">
        <f>Données!A89</f>
        <v>5551</v>
      </c>
      <c r="B89" s="251" t="str">
        <f>Données!B89</f>
        <v>Bonvillars</v>
      </c>
      <c r="C89" s="579">
        <f>Données!AR89</f>
        <v>0</v>
      </c>
      <c r="D89" s="252">
        <f>Données!Z89</f>
        <v>518</v>
      </c>
      <c r="E89" s="99">
        <f>Données!X89</f>
        <v>57</v>
      </c>
      <c r="F89" s="30">
        <f>VPI!L89</f>
        <v>975696</v>
      </c>
      <c r="G89" s="7">
        <f t="shared" si="5"/>
        <v>34234.947368421053</v>
      </c>
      <c r="H89" s="25">
        <f t="shared" si="6"/>
        <v>47708.746993514847</v>
      </c>
      <c r="I89" s="7">
        <f t="shared" si="7"/>
        <v>34234.947368421053</v>
      </c>
      <c r="J89" s="7">
        <f>VPI!R89</f>
        <v>19467.158771929826</v>
      </c>
      <c r="K89" s="158">
        <f t="shared" si="8"/>
        <v>21874.647364258595</v>
      </c>
      <c r="L89" s="242">
        <f t="shared" si="9"/>
        <v>56109.594732679645</v>
      </c>
      <c r="M89" s="100"/>
      <c r="N89" s="101"/>
      <c r="O89" s="98"/>
      <c r="P89" s="98"/>
      <c r="Q89" s="102"/>
    </row>
    <row r="90" spans="1:17" s="97" customFormat="1" x14ac:dyDescent="0.25">
      <c r="A90" s="131">
        <f>Données!A90</f>
        <v>5552</v>
      </c>
      <c r="B90" s="251" t="str">
        <f>Données!B90</f>
        <v>Bullet</v>
      </c>
      <c r="C90" s="579">
        <f>Données!AR90</f>
        <v>0</v>
      </c>
      <c r="D90" s="252">
        <f>Données!Z90</f>
        <v>682</v>
      </c>
      <c r="E90" s="99">
        <f>Données!X90</f>
        <v>72</v>
      </c>
      <c r="F90" s="30">
        <f>VPI!L90</f>
        <v>1294751.55</v>
      </c>
      <c r="G90" s="7">
        <f t="shared" si="5"/>
        <v>35965.320833333331</v>
      </c>
      <c r="H90" s="25">
        <f t="shared" si="6"/>
        <v>62813.446813855451</v>
      </c>
      <c r="I90" s="7">
        <f t="shared" si="7"/>
        <v>35965.320833333331</v>
      </c>
      <c r="J90" s="7">
        <f>VPI!R90</f>
        <v>20081.650000000001</v>
      </c>
      <c r="K90" s="158">
        <f t="shared" si="8"/>
        <v>22565.132251136249</v>
      </c>
      <c r="L90" s="242">
        <f t="shared" si="9"/>
        <v>58530.453084469584</v>
      </c>
      <c r="M90" s="100"/>
      <c r="N90" s="101"/>
      <c r="O90" s="98"/>
      <c r="P90" s="98"/>
      <c r="Q90" s="102"/>
    </row>
    <row r="91" spans="1:17" s="97" customFormat="1" x14ac:dyDescent="0.25">
      <c r="A91" s="131">
        <f>Données!A91</f>
        <v>5553</v>
      </c>
      <c r="B91" s="251" t="str">
        <f>Données!B91</f>
        <v>Champagne</v>
      </c>
      <c r="C91" s="579">
        <f>Données!AR91</f>
        <v>0</v>
      </c>
      <c r="D91" s="252">
        <f>Données!Z91</f>
        <v>1071</v>
      </c>
      <c r="E91" s="99">
        <f>Données!X91</f>
        <v>65</v>
      </c>
      <c r="F91" s="30">
        <f>VPI!L91</f>
        <v>2204030.4499999997</v>
      </c>
      <c r="G91" s="7">
        <f t="shared" si="5"/>
        <v>67816.321538461532</v>
      </c>
      <c r="H91" s="25">
        <f t="shared" si="6"/>
        <v>98641.057973077986</v>
      </c>
      <c r="I91" s="7">
        <f t="shared" si="7"/>
        <v>67816.321538461532</v>
      </c>
      <c r="J91" s="7">
        <f>VPI!R91</f>
        <v>38368.423846153841</v>
      </c>
      <c r="K91" s="158">
        <f t="shared" si="8"/>
        <v>43113.417391305549</v>
      </c>
      <c r="L91" s="242">
        <f t="shared" si="9"/>
        <v>110929.73892976707</v>
      </c>
      <c r="M91" s="100"/>
      <c r="N91" s="101"/>
      <c r="O91" s="98"/>
      <c r="P91" s="98"/>
      <c r="Q91" s="102"/>
    </row>
    <row r="92" spans="1:17" s="97" customFormat="1" x14ac:dyDescent="0.25">
      <c r="A92" s="131">
        <f>Données!A92</f>
        <v>5554</v>
      </c>
      <c r="B92" s="251" t="str">
        <f>Données!B92</f>
        <v>Concise</v>
      </c>
      <c r="C92" s="579">
        <f>Données!AR92</f>
        <v>0</v>
      </c>
      <c r="D92" s="252">
        <f>Données!Z92</f>
        <v>1025</v>
      </c>
      <c r="E92" s="99">
        <f>Données!X92</f>
        <v>71</v>
      </c>
      <c r="F92" s="30">
        <f>VPI!L92</f>
        <v>2138472.8199999998</v>
      </c>
      <c r="G92" s="7">
        <f t="shared" si="5"/>
        <v>60238.670985915487</v>
      </c>
      <c r="H92" s="25">
        <f t="shared" si="6"/>
        <v>94404.37387712879</v>
      </c>
      <c r="I92" s="7">
        <f t="shared" si="7"/>
        <v>60238.670985915487</v>
      </c>
      <c r="J92" s="7">
        <f>VPI!R92</f>
        <v>33009.838309859158</v>
      </c>
      <c r="K92" s="158">
        <f t="shared" si="8"/>
        <v>37092.139692236233</v>
      </c>
      <c r="L92" s="242">
        <f t="shared" si="9"/>
        <v>97330.810678151727</v>
      </c>
      <c r="M92" s="100"/>
      <c r="N92" s="101"/>
      <c r="O92" s="98"/>
      <c r="P92" s="98"/>
      <c r="Q92" s="102"/>
    </row>
    <row r="93" spans="1:17" s="97" customFormat="1" x14ac:dyDescent="0.25">
      <c r="A93" s="131">
        <f>Données!A93</f>
        <v>5555</v>
      </c>
      <c r="B93" s="251" t="str">
        <f>Données!B93</f>
        <v>Corcelles-près-Concise</v>
      </c>
      <c r="C93" s="579">
        <f>Données!AR93</f>
        <v>0</v>
      </c>
      <c r="D93" s="252">
        <f>Données!Z93</f>
        <v>438</v>
      </c>
      <c r="E93" s="99">
        <f>Données!X93</f>
        <v>69</v>
      </c>
      <c r="F93" s="30">
        <f>VPI!L93</f>
        <v>874812.44</v>
      </c>
      <c r="G93" s="7">
        <f t="shared" si="5"/>
        <v>25356.882318840577</v>
      </c>
      <c r="H93" s="25">
        <f t="shared" si="6"/>
        <v>40340.600739690155</v>
      </c>
      <c r="I93" s="7">
        <f t="shared" si="7"/>
        <v>25356.882318840577</v>
      </c>
      <c r="J93" s="7">
        <f>VPI!R93</f>
        <v>14189.979565217391</v>
      </c>
      <c r="K93" s="158">
        <f t="shared" si="8"/>
        <v>15944.843453105261</v>
      </c>
      <c r="L93" s="242">
        <f t="shared" si="9"/>
        <v>41301.725771945836</v>
      </c>
      <c r="M93" s="100"/>
      <c r="N93" s="101"/>
      <c r="O93" s="98"/>
      <c r="P93" s="98"/>
      <c r="Q93" s="102"/>
    </row>
    <row r="94" spans="1:17" s="97" customFormat="1" x14ac:dyDescent="0.25">
      <c r="A94" s="131">
        <f>Données!A94</f>
        <v>5556</v>
      </c>
      <c r="B94" s="251" t="str">
        <f>Données!B94</f>
        <v>Fiez</v>
      </c>
      <c r="C94" s="579">
        <f>Données!AR94</f>
        <v>0</v>
      </c>
      <c r="D94" s="252">
        <f>Données!Z94</f>
        <v>431</v>
      </c>
      <c r="E94" s="99">
        <f>Données!X94</f>
        <v>69</v>
      </c>
      <c r="F94" s="30">
        <f>VPI!L94</f>
        <v>804184.08000000007</v>
      </c>
      <c r="G94" s="7">
        <f t="shared" si="5"/>
        <v>23309.683478260871</v>
      </c>
      <c r="H94" s="25">
        <f t="shared" si="6"/>
        <v>39695.887942480498</v>
      </c>
      <c r="I94" s="7">
        <f t="shared" si="7"/>
        <v>23309.683478260871</v>
      </c>
      <c r="J94" s="7">
        <f>VPI!R94</f>
        <v>12811.352608695654</v>
      </c>
      <c r="K94" s="158">
        <f t="shared" si="8"/>
        <v>14395.722758396685</v>
      </c>
      <c r="L94" s="242">
        <f t="shared" si="9"/>
        <v>37705.406236657553</v>
      </c>
      <c r="M94" s="100"/>
      <c r="N94" s="101"/>
      <c r="O94" s="98"/>
      <c r="P94" s="98"/>
      <c r="Q94" s="102"/>
    </row>
    <row r="95" spans="1:17" s="97" customFormat="1" x14ac:dyDescent="0.25">
      <c r="A95" s="131">
        <f>Données!A95</f>
        <v>5557</v>
      </c>
      <c r="B95" s="251" t="str">
        <f>Données!B95</f>
        <v>Fontaines-sur-Grandson</v>
      </c>
      <c r="C95" s="579">
        <f>Données!AR95</f>
        <v>0</v>
      </c>
      <c r="D95" s="252">
        <f>Données!Z95</f>
        <v>220</v>
      </c>
      <c r="E95" s="99">
        <f>Données!X95</f>
        <v>69</v>
      </c>
      <c r="F95" s="30">
        <f>VPI!L95</f>
        <v>316759.39</v>
      </c>
      <c r="G95" s="7">
        <f t="shared" si="5"/>
        <v>9181.4315942028989</v>
      </c>
      <c r="H95" s="25">
        <f t="shared" si="6"/>
        <v>20262.402198017888</v>
      </c>
      <c r="I95" s="7">
        <f t="shared" si="7"/>
        <v>9181.4315942028989</v>
      </c>
      <c r="J95" s="7">
        <f>VPI!R95</f>
        <v>5164.2157971014494</v>
      </c>
      <c r="K95" s="158">
        <f t="shared" si="8"/>
        <v>5802.8704033284712</v>
      </c>
      <c r="L95" s="242">
        <f t="shared" si="9"/>
        <v>14984.301997531369</v>
      </c>
      <c r="M95" s="100"/>
      <c r="N95" s="101"/>
      <c r="O95" s="98"/>
      <c r="P95" s="98"/>
      <c r="Q95" s="102"/>
    </row>
    <row r="96" spans="1:17" s="97" customFormat="1" x14ac:dyDescent="0.25">
      <c r="A96" s="131">
        <f>Données!A96</f>
        <v>5559</v>
      </c>
      <c r="B96" s="251" t="str">
        <f>Données!B96</f>
        <v>Giez</v>
      </c>
      <c r="C96" s="579">
        <f>Données!AR96</f>
        <v>0</v>
      </c>
      <c r="D96" s="252">
        <f>Données!Z96</f>
        <v>464</v>
      </c>
      <c r="E96" s="99">
        <f>Données!X96</f>
        <v>68</v>
      </c>
      <c r="F96" s="30">
        <f>VPI!L96</f>
        <v>1478733.85</v>
      </c>
      <c r="G96" s="7">
        <f t="shared" si="5"/>
        <v>43492.172058823533</v>
      </c>
      <c r="H96" s="25">
        <f t="shared" si="6"/>
        <v>42735.248272183184</v>
      </c>
      <c r="I96" s="7">
        <f t="shared" si="7"/>
        <v>42735.248272183184</v>
      </c>
      <c r="J96" s="7">
        <f>VPI!R96</f>
        <v>23273.261029411766</v>
      </c>
      <c r="K96" s="158">
        <f t="shared" si="8"/>
        <v>26151.447368313449</v>
      </c>
      <c r="L96" s="242">
        <f t="shared" si="9"/>
        <v>68886.695640496633</v>
      </c>
      <c r="M96" s="100"/>
      <c r="N96" s="101"/>
      <c r="O96" s="98"/>
      <c r="P96" s="98"/>
      <c r="Q96" s="102"/>
    </row>
    <row r="97" spans="1:17" s="97" customFormat="1" x14ac:dyDescent="0.25">
      <c r="A97" s="131">
        <f>Données!A97</f>
        <v>5560</v>
      </c>
      <c r="B97" s="251" t="str">
        <f>Données!B97</f>
        <v>Grandevent</v>
      </c>
      <c r="C97" s="579">
        <f>Données!AR97</f>
        <v>0</v>
      </c>
      <c r="D97" s="252">
        <f>Données!Z97</f>
        <v>241</v>
      </c>
      <c r="E97" s="99">
        <f>Données!X97</f>
        <v>70</v>
      </c>
      <c r="F97" s="30">
        <f>VPI!L97</f>
        <v>513567.95000000007</v>
      </c>
      <c r="G97" s="7">
        <f t="shared" si="5"/>
        <v>14673.370000000003</v>
      </c>
      <c r="H97" s="25">
        <f t="shared" si="6"/>
        <v>22196.540589646869</v>
      </c>
      <c r="I97" s="7">
        <f t="shared" si="7"/>
        <v>14673.370000000003</v>
      </c>
      <c r="J97" s="7">
        <f>VPI!R97</f>
        <v>8016.4264285714298</v>
      </c>
      <c r="K97" s="158">
        <f t="shared" si="8"/>
        <v>9007.8117356999119</v>
      </c>
      <c r="L97" s="242">
        <f t="shared" si="9"/>
        <v>23681.181735699916</v>
      </c>
      <c r="M97" s="100"/>
      <c r="N97" s="101"/>
      <c r="O97" s="98"/>
      <c r="P97" s="98"/>
      <c r="Q97" s="102"/>
    </row>
    <row r="98" spans="1:17" s="97" customFormat="1" x14ac:dyDescent="0.25">
      <c r="A98" s="131">
        <f>Données!A98</f>
        <v>5561</v>
      </c>
      <c r="B98" s="251" t="str">
        <f>Données!B98</f>
        <v>Grandson</v>
      </c>
      <c r="C98" s="579">
        <f>Données!AR98</f>
        <v>0</v>
      </c>
      <c r="D98" s="252">
        <f>Données!Z98</f>
        <v>3396</v>
      </c>
      <c r="E98" s="99">
        <f>Données!X98</f>
        <v>69</v>
      </c>
      <c r="F98" s="30">
        <f>VPI!L98</f>
        <v>7905302.8600000003</v>
      </c>
      <c r="G98" s="7">
        <f t="shared" si="5"/>
        <v>229139.21333333335</v>
      </c>
      <c r="H98" s="25">
        <f t="shared" si="6"/>
        <v>312777.80847485794</v>
      </c>
      <c r="I98" s="7">
        <f t="shared" si="7"/>
        <v>229139.21333333335</v>
      </c>
      <c r="J98" s="7">
        <f>VPI!R98</f>
        <v>125721.38057971014</v>
      </c>
      <c r="K98" s="158">
        <f t="shared" si="8"/>
        <v>141269.24727682196</v>
      </c>
      <c r="L98" s="242">
        <f t="shared" si="9"/>
        <v>370408.46061015531</v>
      </c>
      <c r="M98" s="100"/>
      <c r="N98" s="101"/>
      <c r="O98" s="98"/>
      <c r="P98" s="98"/>
      <c r="Q98" s="102"/>
    </row>
    <row r="99" spans="1:17" s="97" customFormat="1" x14ac:dyDescent="0.25">
      <c r="A99" s="131">
        <f>Données!A99</f>
        <v>5562</v>
      </c>
      <c r="B99" s="251" t="str">
        <f>Données!B99</f>
        <v>Mauborget</v>
      </c>
      <c r="C99" s="579">
        <f>Données!AR99</f>
        <v>0</v>
      </c>
      <c r="D99" s="252">
        <f>Données!Z99</f>
        <v>145</v>
      </c>
      <c r="E99" s="99">
        <f>Données!X99</f>
        <v>70</v>
      </c>
      <c r="F99" s="30">
        <f>VPI!L99</f>
        <v>284946.3</v>
      </c>
      <c r="G99" s="7">
        <f t="shared" si="5"/>
        <v>8141.3228571428572</v>
      </c>
      <c r="H99" s="25">
        <f t="shared" si="6"/>
        <v>13354.765085057245</v>
      </c>
      <c r="I99" s="7">
        <f t="shared" si="7"/>
        <v>8141.3228571428572</v>
      </c>
      <c r="J99" s="7">
        <f>VPI!R99</f>
        <v>4554.1072619047618</v>
      </c>
      <c r="K99" s="158">
        <f t="shared" si="8"/>
        <v>5117.3102135900654</v>
      </c>
      <c r="L99" s="242">
        <f t="shared" si="9"/>
        <v>13258.633070732922</v>
      </c>
      <c r="M99" s="100"/>
      <c r="N99" s="101"/>
      <c r="O99" s="98"/>
      <c r="P99" s="98"/>
      <c r="Q99" s="102"/>
    </row>
    <row r="100" spans="1:17" s="97" customFormat="1" x14ac:dyDescent="0.25">
      <c r="A100" s="131">
        <f>Données!A100</f>
        <v>5563</v>
      </c>
      <c r="B100" s="251" t="str">
        <f>Données!B100</f>
        <v>Mutrux</v>
      </c>
      <c r="C100" s="579">
        <f>Données!AR100</f>
        <v>0</v>
      </c>
      <c r="D100" s="252">
        <f>Données!Z100</f>
        <v>144</v>
      </c>
      <c r="E100" s="99">
        <f>Données!X100</f>
        <v>80</v>
      </c>
      <c r="F100" s="30">
        <f>VPI!L100</f>
        <v>298429.21000000002</v>
      </c>
      <c r="G100" s="7">
        <f t="shared" si="5"/>
        <v>7460.7302500000005</v>
      </c>
      <c r="H100" s="25">
        <f t="shared" si="6"/>
        <v>13262.663256884436</v>
      </c>
      <c r="I100" s="7">
        <f t="shared" si="7"/>
        <v>7460.7302500000005</v>
      </c>
      <c r="J100" s="7">
        <f>VPI!R100</f>
        <v>4029.343875</v>
      </c>
      <c r="K100" s="158">
        <f t="shared" si="8"/>
        <v>4527.649741165731</v>
      </c>
      <c r="L100" s="242">
        <f t="shared" si="9"/>
        <v>11988.379991165732</v>
      </c>
      <c r="M100" s="100"/>
      <c r="N100" s="101"/>
      <c r="O100" s="98"/>
      <c r="P100" s="98"/>
      <c r="Q100" s="102"/>
    </row>
    <row r="101" spans="1:17" s="97" customFormat="1" x14ac:dyDescent="0.25">
      <c r="A101" s="131">
        <f>Données!A101</f>
        <v>5564</v>
      </c>
      <c r="B101" s="251" t="str">
        <f>Données!B101</f>
        <v>Novalles</v>
      </c>
      <c r="C101" s="579">
        <f>Données!AR101</f>
        <v>0</v>
      </c>
      <c r="D101" s="252">
        <f>Données!Z101</f>
        <v>106</v>
      </c>
      <c r="E101" s="99">
        <f>Données!X101</f>
        <v>76</v>
      </c>
      <c r="F101" s="30">
        <f>VPI!L101</f>
        <v>172053.11000000002</v>
      </c>
      <c r="G101" s="7">
        <f t="shared" si="5"/>
        <v>4527.7134210526319</v>
      </c>
      <c r="H101" s="25">
        <f t="shared" si="6"/>
        <v>9762.7937863177103</v>
      </c>
      <c r="I101" s="7">
        <f t="shared" si="7"/>
        <v>4527.7134210526319</v>
      </c>
      <c r="J101" s="7">
        <f>VPI!R101</f>
        <v>2464.3180592105264</v>
      </c>
      <c r="K101" s="158">
        <f t="shared" si="8"/>
        <v>2769.0783832478373</v>
      </c>
      <c r="L101" s="242">
        <f t="shared" si="9"/>
        <v>7296.7918043004693</v>
      </c>
      <c r="M101" s="100"/>
      <c r="N101" s="101"/>
      <c r="O101" s="98"/>
      <c r="P101" s="98"/>
      <c r="Q101" s="102"/>
    </row>
    <row r="102" spans="1:17" s="97" customFormat="1" x14ac:dyDescent="0.25">
      <c r="A102" s="131">
        <f>Données!A102</f>
        <v>5565</v>
      </c>
      <c r="B102" s="251" t="str">
        <f>Données!B102</f>
        <v>Onnens</v>
      </c>
      <c r="C102" s="579">
        <f>Données!AR102</f>
        <v>0</v>
      </c>
      <c r="D102" s="252">
        <f>Données!Z102</f>
        <v>520</v>
      </c>
      <c r="E102" s="99">
        <f>Données!X102</f>
        <v>63.5</v>
      </c>
      <c r="F102" s="30">
        <f>VPI!L102</f>
        <v>1122767.3700000001</v>
      </c>
      <c r="G102" s="7">
        <f t="shared" si="5"/>
        <v>35362.751811023627</v>
      </c>
      <c r="H102" s="25">
        <f t="shared" si="6"/>
        <v>47892.950649860461</v>
      </c>
      <c r="I102" s="7">
        <f t="shared" si="7"/>
        <v>35362.751811023627</v>
      </c>
      <c r="J102" s="7">
        <f>VPI!R102</f>
        <v>20188.105039370083</v>
      </c>
      <c r="K102" s="158">
        <f t="shared" si="8"/>
        <v>22684.752503565</v>
      </c>
      <c r="L102" s="242">
        <f t="shared" si="9"/>
        <v>58047.50431458863</v>
      </c>
      <c r="M102" s="100"/>
      <c r="N102" s="101"/>
      <c r="O102" s="98"/>
      <c r="P102" s="98"/>
      <c r="Q102" s="102"/>
    </row>
    <row r="103" spans="1:17" s="97" customFormat="1" x14ac:dyDescent="0.25">
      <c r="A103" s="131">
        <f>Données!A103</f>
        <v>5566</v>
      </c>
      <c r="B103" s="251" t="str">
        <f>Données!B103</f>
        <v>Provence</v>
      </c>
      <c r="C103" s="579">
        <f>Données!AR103</f>
        <v>0</v>
      </c>
      <c r="D103" s="252">
        <f>Données!Z103</f>
        <v>411</v>
      </c>
      <c r="E103" s="99">
        <f>Données!X103</f>
        <v>81</v>
      </c>
      <c r="F103" s="30">
        <f>VPI!L103</f>
        <v>847256.78</v>
      </c>
      <c r="G103" s="7">
        <f t="shared" si="5"/>
        <v>20919.920493827161</v>
      </c>
      <c r="H103" s="25">
        <f t="shared" si="6"/>
        <v>37853.851379024323</v>
      </c>
      <c r="I103" s="7">
        <f t="shared" si="7"/>
        <v>20919.920493827161</v>
      </c>
      <c r="J103" s="7">
        <f>VPI!R103</f>
        <v>11354.81353909465</v>
      </c>
      <c r="K103" s="158">
        <f t="shared" si="8"/>
        <v>12759.054619349665</v>
      </c>
      <c r="L103" s="242">
        <f t="shared" si="9"/>
        <v>33678.975113176828</v>
      </c>
      <c r="M103" s="100"/>
      <c r="N103" s="101"/>
      <c r="O103" s="98"/>
      <c r="P103" s="98"/>
      <c r="Q103" s="102"/>
    </row>
    <row r="104" spans="1:17" s="97" customFormat="1" x14ac:dyDescent="0.25">
      <c r="A104" s="131">
        <f>Données!A104</f>
        <v>5568</v>
      </c>
      <c r="B104" s="251" t="str">
        <f>Données!B104</f>
        <v>Sainte-Croix</v>
      </c>
      <c r="C104" s="579">
        <f>Données!AR104</f>
        <v>0</v>
      </c>
      <c r="D104" s="252">
        <f>Données!Z104</f>
        <v>5130</v>
      </c>
      <c r="E104" s="99">
        <f>Données!X104</f>
        <v>70</v>
      </c>
      <c r="F104" s="30">
        <f>VPI!L104</f>
        <v>7261089.1699999999</v>
      </c>
      <c r="G104" s="7">
        <f t="shared" si="5"/>
        <v>207459.69057142857</v>
      </c>
      <c r="H104" s="25">
        <f t="shared" si="6"/>
        <v>472482.37852650799</v>
      </c>
      <c r="I104" s="7">
        <f t="shared" si="7"/>
        <v>207459.69057142857</v>
      </c>
      <c r="J104" s="7">
        <f>VPI!R104</f>
        <v>114571.34028571429</v>
      </c>
      <c r="K104" s="158">
        <f t="shared" si="8"/>
        <v>128740.29005271365</v>
      </c>
      <c r="L104" s="242">
        <f t="shared" si="9"/>
        <v>336199.98062414222</v>
      </c>
      <c r="M104" s="100"/>
      <c r="N104" s="101"/>
      <c r="O104" s="98"/>
      <c r="P104" s="98"/>
      <c r="Q104" s="102"/>
    </row>
    <row r="105" spans="1:17" s="97" customFormat="1" x14ac:dyDescent="0.25">
      <c r="A105" s="131">
        <f>Données!A105</f>
        <v>5571</v>
      </c>
      <c r="B105" s="251" t="str">
        <f>Données!B105</f>
        <v>Tévenon</v>
      </c>
      <c r="C105" s="579">
        <f>Données!AR105</f>
        <v>0</v>
      </c>
      <c r="D105" s="252">
        <f>Données!Z105</f>
        <v>861</v>
      </c>
      <c r="E105" s="99">
        <f>Données!X105</f>
        <v>71.5</v>
      </c>
      <c r="F105" s="30">
        <f>VPI!L105</f>
        <v>1686345.5899999999</v>
      </c>
      <c r="G105" s="7">
        <f t="shared" si="5"/>
        <v>47170.506013986007</v>
      </c>
      <c r="H105" s="25">
        <f t="shared" si="6"/>
        <v>79299.674056788193</v>
      </c>
      <c r="I105" s="7">
        <f t="shared" si="7"/>
        <v>47170.506013986007</v>
      </c>
      <c r="J105" s="7">
        <f>VPI!R105</f>
        <v>26145.544382284381</v>
      </c>
      <c r="K105" s="158">
        <f t="shared" si="8"/>
        <v>29378.943800145877</v>
      </c>
      <c r="L105" s="242">
        <f t="shared" si="9"/>
        <v>76549.449814131891</v>
      </c>
      <c r="M105" s="100"/>
      <c r="N105" s="101"/>
      <c r="O105" s="98"/>
      <c r="P105" s="98"/>
      <c r="Q105" s="102"/>
    </row>
    <row r="106" spans="1:17" s="97" customFormat="1" x14ac:dyDescent="0.25">
      <c r="A106" s="131">
        <f>Données!A106</f>
        <v>5581</v>
      </c>
      <c r="B106" s="251" t="str">
        <f>Données!B106</f>
        <v>Belmont-sur-Lausanne</v>
      </c>
      <c r="C106" s="579">
        <f>Données!AR106</f>
        <v>1</v>
      </c>
      <c r="D106" s="252">
        <f>Données!Z106</f>
        <v>3922</v>
      </c>
      <c r="E106" s="99">
        <f>Données!X106</f>
        <v>72</v>
      </c>
      <c r="F106" s="30">
        <f>VPI!L106</f>
        <v>16668190.740000002</v>
      </c>
      <c r="G106" s="7">
        <f t="shared" si="5"/>
        <v>463005.2983333334</v>
      </c>
      <c r="H106" s="25">
        <f t="shared" si="6"/>
        <v>361223.37009375525</v>
      </c>
      <c r="I106" s="7">
        <f t="shared" si="7"/>
        <v>0</v>
      </c>
      <c r="J106" s="7">
        <f>VPI!R106</f>
        <v>246930.40333333338</v>
      </c>
      <c r="K106" s="158">
        <f t="shared" si="8"/>
        <v>277468.09689657384</v>
      </c>
      <c r="L106" s="242">
        <f t="shared" si="9"/>
        <v>277468.09689657384</v>
      </c>
      <c r="M106" s="100"/>
      <c r="N106" s="101"/>
      <c r="O106" s="98"/>
      <c r="P106" s="98"/>
      <c r="Q106" s="102"/>
    </row>
    <row r="107" spans="1:17" s="97" customFormat="1" x14ac:dyDescent="0.25">
      <c r="A107" s="131">
        <f>Données!A107</f>
        <v>5582</v>
      </c>
      <c r="B107" s="251" t="str">
        <f>Données!B107</f>
        <v>Cheseaux-sur-Lausanne</v>
      </c>
      <c r="C107" s="579">
        <f>Données!AR107</f>
        <v>0</v>
      </c>
      <c r="D107" s="252">
        <f>Données!Z107</f>
        <v>4855</v>
      </c>
      <c r="E107" s="99">
        <f>Données!X107</f>
        <v>73</v>
      </c>
      <c r="F107" s="30">
        <f>VPI!L107</f>
        <v>11948515.76</v>
      </c>
      <c r="G107" s="7">
        <f t="shared" si="5"/>
        <v>327356.59616438358</v>
      </c>
      <c r="H107" s="25">
        <f t="shared" si="6"/>
        <v>447154.37577898568</v>
      </c>
      <c r="I107" s="7">
        <f t="shared" si="7"/>
        <v>327356.59616438358</v>
      </c>
      <c r="J107" s="7">
        <f>VPI!R107</f>
        <v>179580.92342465755</v>
      </c>
      <c r="K107" s="158">
        <f t="shared" si="8"/>
        <v>201789.55847047275</v>
      </c>
      <c r="L107" s="242">
        <f t="shared" si="9"/>
        <v>529146.15463485639</v>
      </c>
      <c r="M107" s="100"/>
      <c r="N107" s="101"/>
      <c r="O107" s="98"/>
      <c r="P107" s="98"/>
      <c r="Q107" s="102"/>
    </row>
    <row r="108" spans="1:17" s="97" customFormat="1" x14ac:dyDescent="0.25">
      <c r="A108" s="131">
        <f>Données!A108</f>
        <v>5583</v>
      </c>
      <c r="B108" s="251" t="str">
        <f>Données!B108</f>
        <v>Crissier</v>
      </c>
      <c r="C108" s="579">
        <f>Données!AR108</f>
        <v>1</v>
      </c>
      <c r="D108" s="252">
        <f>Données!Z108</f>
        <v>10680</v>
      </c>
      <c r="E108" s="99">
        <f>Données!X108</f>
        <v>63.5</v>
      </c>
      <c r="F108" s="30">
        <f>VPI!L108</f>
        <v>25334617.979999997</v>
      </c>
      <c r="G108" s="7">
        <f t="shared" si="5"/>
        <v>797940.72377952747</v>
      </c>
      <c r="H108" s="25">
        <f t="shared" si="6"/>
        <v>983647.52488559566</v>
      </c>
      <c r="I108" s="7">
        <f t="shared" si="7"/>
        <v>0</v>
      </c>
      <c r="J108" s="7">
        <f>VPI!R108</f>
        <v>456346.42330708652</v>
      </c>
      <c r="K108" s="158">
        <f t="shared" si="8"/>
        <v>512782.43542026734</v>
      </c>
      <c r="L108" s="242">
        <f t="shared" si="9"/>
        <v>512782.43542026734</v>
      </c>
      <c r="M108" s="100"/>
      <c r="N108" s="101"/>
      <c r="O108" s="98"/>
      <c r="P108" s="98"/>
      <c r="Q108" s="102"/>
    </row>
    <row r="109" spans="1:17" s="97" customFormat="1" x14ac:dyDescent="0.25">
      <c r="A109" s="131">
        <f>Données!A109</f>
        <v>5584</v>
      </c>
      <c r="B109" s="251" t="str">
        <f>Données!B109</f>
        <v>Epalinges</v>
      </c>
      <c r="C109" s="579">
        <f>Données!AR109</f>
        <v>0</v>
      </c>
      <c r="D109" s="252">
        <f>Données!Z109</f>
        <v>9905</v>
      </c>
      <c r="E109" s="99">
        <f>Données!X109</f>
        <v>64.5</v>
      </c>
      <c r="F109" s="30">
        <f>VPI!L109</f>
        <v>31005429.230000004</v>
      </c>
      <c r="G109" s="7">
        <f t="shared" si="5"/>
        <v>961408.65829457378</v>
      </c>
      <c r="H109" s="25">
        <f t="shared" si="6"/>
        <v>912268.60805166897</v>
      </c>
      <c r="I109" s="7">
        <f t="shared" si="7"/>
        <v>912268.60805166897</v>
      </c>
      <c r="J109" s="7">
        <f>VPI!R109</f>
        <v>527681.12604651169</v>
      </c>
      <c r="K109" s="158">
        <f t="shared" si="8"/>
        <v>592939.04612758569</v>
      </c>
      <c r="L109" s="242">
        <f t="shared" si="9"/>
        <v>1505207.6541792545</v>
      </c>
      <c r="M109" s="100"/>
      <c r="N109" s="101"/>
      <c r="O109" s="98"/>
      <c r="P109" s="98"/>
      <c r="Q109" s="102"/>
    </row>
    <row r="110" spans="1:17" s="97" customFormat="1" x14ac:dyDescent="0.25">
      <c r="A110" s="131">
        <f>Données!A110</f>
        <v>5585</v>
      </c>
      <c r="B110" s="251" t="str">
        <f>Données!B110</f>
        <v>Jouxtens-Mézery</v>
      </c>
      <c r="C110" s="579">
        <f>Données!AR110</f>
        <v>0</v>
      </c>
      <c r="D110" s="252">
        <f>Données!Z110</f>
        <v>1482</v>
      </c>
      <c r="E110" s="99">
        <f>Données!X110</f>
        <v>59</v>
      </c>
      <c r="F110" s="30">
        <f>VPI!L110</f>
        <v>11615247.810000001</v>
      </c>
      <c r="G110" s="7">
        <f t="shared" si="5"/>
        <v>393737.21389830508</v>
      </c>
      <c r="H110" s="25">
        <f t="shared" si="6"/>
        <v>136494.90935210232</v>
      </c>
      <c r="I110" s="7">
        <f t="shared" si="7"/>
        <v>136494.90935210232</v>
      </c>
      <c r="J110" s="7">
        <f>VPI!R110</f>
        <v>207839.61429378533</v>
      </c>
      <c r="K110" s="158">
        <f t="shared" si="8"/>
        <v>233542.97996252368</v>
      </c>
      <c r="L110" s="242">
        <f t="shared" si="9"/>
        <v>370037.88931462599</v>
      </c>
      <c r="M110" s="100"/>
      <c r="N110" s="101"/>
      <c r="O110" s="98"/>
      <c r="P110" s="98"/>
      <c r="Q110" s="102"/>
    </row>
    <row r="111" spans="1:17" s="97" customFormat="1" x14ac:dyDescent="0.25">
      <c r="A111" s="131">
        <f>Données!A111</f>
        <v>5586</v>
      </c>
      <c r="B111" s="251" t="str">
        <f>Données!B111</f>
        <v>Lausanne</v>
      </c>
      <c r="C111" s="579">
        <f>Données!AR111</f>
        <v>1</v>
      </c>
      <c r="D111" s="252">
        <f>Données!Z111</f>
        <v>145037</v>
      </c>
      <c r="E111" s="99">
        <f>Données!X111</f>
        <v>78.5</v>
      </c>
      <c r="F111" s="30">
        <f>VPI!L111</f>
        <v>513064730.12</v>
      </c>
      <c r="G111" s="7">
        <f t="shared" si="5"/>
        <v>13071712.869299363</v>
      </c>
      <c r="H111" s="25">
        <f t="shared" si="6"/>
        <v>13358172.852699637</v>
      </c>
      <c r="I111" s="7">
        <f t="shared" si="7"/>
        <v>0</v>
      </c>
      <c r="J111" s="7">
        <f>VPI!R111</f>
        <v>7026947.2679830147</v>
      </c>
      <c r="K111" s="158">
        <f t="shared" si="8"/>
        <v>7895964.4463376896</v>
      </c>
      <c r="L111" s="242">
        <f t="shared" si="9"/>
        <v>7895964.4463376896</v>
      </c>
      <c r="M111" s="100"/>
      <c r="N111" s="101"/>
      <c r="O111" s="98"/>
      <c r="P111" s="98"/>
      <c r="Q111" s="102"/>
    </row>
    <row r="112" spans="1:17" s="97" customFormat="1" x14ac:dyDescent="0.25">
      <c r="A112" s="131">
        <f>Données!A112</f>
        <v>5587</v>
      </c>
      <c r="B112" s="251" t="str">
        <f>Données!B112</f>
        <v>Le Mont-sur-Lausanne</v>
      </c>
      <c r="C112" s="579">
        <f>Données!AR112</f>
        <v>0</v>
      </c>
      <c r="D112" s="252">
        <f>Données!Z112</f>
        <v>9543</v>
      </c>
      <c r="E112" s="99">
        <f>Données!X112</f>
        <v>72</v>
      </c>
      <c r="F112" s="30">
        <f>VPI!L112</f>
        <v>33901770.869999997</v>
      </c>
      <c r="G112" s="7">
        <f t="shared" si="5"/>
        <v>941715.85749999993</v>
      </c>
      <c r="H112" s="25">
        <f t="shared" si="6"/>
        <v>878927.74625311233</v>
      </c>
      <c r="I112" s="7">
        <f t="shared" si="7"/>
        <v>878927.74625311233</v>
      </c>
      <c r="J112" s="7">
        <f>VPI!R112</f>
        <v>515123.14148148138</v>
      </c>
      <c r="K112" s="158">
        <f t="shared" si="8"/>
        <v>578828.02524445928</v>
      </c>
      <c r="L112" s="242">
        <f t="shared" si="9"/>
        <v>1457755.7714975716</v>
      </c>
      <c r="M112" s="100"/>
      <c r="N112" s="101"/>
      <c r="O112" s="98"/>
      <c r="P112" s="98"/>
      <c r="Q112" s="102"/>
    </row>
    <row r="113" spans="1:17" s="97" customFormat="1" x14ac:dyDescent="0.25">
      <c r="A113" s="131">
        <f>Données!A113</f>
        <v>5588</v>
      </c>
      <c r="B113" s="251" t="str">
        <f>Données!B113</f>
        <v>Paudex</v>
      </c>
      <c r="C113" s="579">
        <f>Données!AR113</f>
        <v>1</v>
      </c>
      <c r="D113" s="252">
        <f>Données!Z113</f>
        <v>1512</v>
      </c>
      <c r="E113" s="99">
        <f>Données!X113</f>
        <v>66.5</v>
      </c>
      <c r="F113" s="30">
        <f>VPI!L113</f>
        <v>9464891.1700000018</v>
      </c>
      <c r="G113" s="7">
        <f t="shared" si="5"/>
        <v>284658.38105263165</v>
      </c>
      <c r="H113" s="25">
        <f t="shared" si="6"/>
        <v>139257.96419728658</v>
      </c>
      <c r="I113" s="7">
        <f t="shared" si="7"/>
        <v>0</v>
      </c>
      <c r="J113" s="7">
        <f>VPI!R113</f>
        <v>151788.7450912997</v>
      </c>
      <c r="K113" s="158">
        <f t="shared" si="8"/>
        <v>170560.34276163491</v>
      </c>
      <c r="L113" s="242">
        <f t="shared" si="9"/>
        <v>170560.34276163491</v>
      </c>
      <c r="M113" s="100"/>
      <c r="N113" s="101"/>
      <c r="O113" s="98"/>
      <c r="P113" s="98"/>
      <c r="Q113" s="102"/>
    </row>
    <row r="114" spans="1:17" s="97" customFormat="1" x14ac:dyDescent="0.25">
      <c r="A114" s="131">
        <f>Données!A114</f>
        <v>5589</v>
      </c>
      <c r="B114" s="251" t="str">
        <f>Données!B114</f>
        <v>Prilly</v>
      </c>
      <c r="C114" s="579">
        <f>Données!AR114</f>
        <v>1</v>
      </c>
      <c r="D114" s="252">
        <f>Données!Z114</f>
        <v>12766</v>
      </c>
      <c r="E114" s="99">
        <f>Données!X114</f>
        <v>72.5</v>
      </c>
      <c r="F114" s="30">
        <f>VPI!L114</f>
        <v>28854153.34</v>
      </c>
      <c r="G114" s="7">
        <f t="shared" si="5"/>
        <v>795976.643862069</v>
      </c>
      <c r="H114" s="25">
        <f t="shared" si="6"/>
        <v>1175771.9384540743</v>
      </c>
      <c r="I114" s="7">
        <f t="shared" si="7"/>
        <v>0</v>
      </c>
      <c r="J114" s="7">
        <f>VPI!R114</f>
        <v>442584.39482228115</v>
      </c>
      <c r="K114" s="158">
        <f t="shared" si="8"/>
        <v>497318.46742941317</v>
      </c>
      <c r="L114" s="242">
        <f t="shared" si="9"/>
        <v>497318.46742941317</v>
      </c>
      <c r="M114" s="100"/>
      <c r="N114" s="101"/>
      <c r="O114" s="98"/>
      <c r="P114" s="98"/>
      <c r="Q114" s="102"/>
    </row>
    <row r="115" spans="1:17" s="97" customFormat="1" x14ac:dyDescent="0.25">
      <c r="A115" s="131">
        <f>Données!A115</f>
        <v>5590</v>
      </c>
      <c r="B115" s="251" t="str">
        <f>Données!B115</f>
        <v>Pully</v>
      </c>
      <c r="C115" s="579">
        <f>Données!AR115</f>
        <v>1</v>
      </c>
      <c r="D115" s="252">
        <f>Données!Z115</f>
        <v>19545</v>
      </c>
      <c r="E115" s="99">
        <f>Données!X115</f>
        <v>61</v>
      </c>
      <c r="F115" s="30">
        <f>VPI!L115</f>
        <v>95537607.650000021</v>
      </c>
      <c r="G115" s="7">
        <f t="shared" si="5"/>
        <v>3132380.5786885251</v>
      </c>
      <c r="H115" s="25">
        <f t="shared" si="6"/>
        <v>1800130.2316375438</v>
      </c>
      <c r="I115" s="7">
        <f t="shared" si="7"/>
        <v>0</v>
      </c>
      <c r="J115" s="7">
        <f>VPI!R115</f>
        <v>1670113.1662763469</v>
      </c>
      <c r="K115" s="158">
        <f t="shared" si="8"/>
        <v>1876654.7804283847</v>
      </c>
      <c r="L115" s="242">
        <f t="shared" si="9"/>
        <v>1876654.7804283847</v>
      </c>
      <c r="M115" s="100"/>
      <c r="N115" s="101"/>
      <c r="O115" s="98"/>
      <c r="P115" s="98"/>
      <c r="Q115" s="102"/>
    </row>
    <row r="116" spans="1:17" s="97" customFormat="1" x14ac:dyDescent="0.25">
      <c r="A116" s="131">
        <f>Données!A116</f>
        <v>5591</v>
      </c>
      <c r="B116" s="251" t="str">
        <f>Données!B116</f>
        <v>Renens</v>
      </c>
      <c r="C116" s="579">
        <f>Données!AR116</f>
        <v>1</v>
      </c>
      <c r="D116" s="252">
        <f>Données!Z116</f>
        <v>21568</v>
      </c>
      <c r="E116" s="99">
        <f>Données!X116</f>
        <v>77</v>
      </c>
      <c r="F116" s="30">
        <f>VPI!L116</f>
        <v>43296148.750000007</v>
      </c>
      <c r="G116" s="7">
        <f t="shared" si="5"/>
        <v>1124575.2922077924</v>
      </c>
      <c r="H116" s="25">
        <f t="shared" si="6"/>
        <v>1986452.2300311355</v>
      </c>
      <c r="I116" s="7">
        <f t="shared" si="7"/>
        <v>0</v>
      </c>
      <c r="J116" s="7">
        <f>VPI!R116</f>
        <v>627232.40092764387</v>
      </c>
      <c r="K116" s="158">
        <f t="shared" si="8"/>
        <v>704801.75080882292</v>
      </c>
      <c r="L116" s="242">
        <f t="shared" si="9"/>
        <v>704801.75080882292</v>
      </c>
      <c r="M116" s="100"/>
      <c r="N116" s="101"/>
      <c r="O116" s="98"/>
      <c r="P116" s="98"/>
      <c r="Q116" s="102"/>
    </row>
    <row r="117" spans="1:17" s="97" customFormat="1" x14ac:dyDescent="0.25">
      <c r="A117" s="131">
        <f>Données!A117</f>
        <v>5592</v>
      </c>
      <c r="B117" s="251" t="str">
        <f>Données!B117</f>
        <v>Romanel-sur-Lausanne</v>
      </c>
      <c r="C117" s="579">
        <f>Données!AR117</f>
        <v>0</v>
      </c>
      <c r="D117" s="252">
        <f>Données!Z117</f>
        <v>4325</v>
      </c>
      <c r="E117" s="99">
        <f>Données!X117</f>
        <v>70.5</v>
      </c>
      <c r="F117" s="30">
        <f>VPI!L117</f>
        <v>9279332.2299999986</v>
      </c>
      <c r="G117" s="7">
        <f t="shared" si="5"/>
        <v>263243.46751773043</v>
      </c>
      <c r="H117" s="25">
        <f t="shared" si="6"/>
        <v>398340.4068473971</v>
      </c>
      <c r="I117" s="7">
        <f t="shared" si="7"/>
        <v>263243.46751773043</v>
      </c>
      <c r="J117" s="7">
        <f>VPI!R117</f>
        <v>146863.22056737586</v>
      </c>
      <c r="K117" s="158">
        <f t="shared" si="8"/>
        <v>165025.68239814104</v>
      </c>
      <c r="L117" s="242">
        <f t="shared" si="9"/>
        <v>428269.14991587144</v>
      </c>
      <c r="M117" s="100"/>
      <c r="N117" s="101"/>
      <c r="O117" s="98"/>
      <c r="P117" s="98"/>
      <c r="Q117" s="102"/>
    </row>
    <row r="118" spans="1:17" s="97" customFormat="1" x14ac:dyDescent="0.25">
      <c r="A118" s="131">
        <f>Données!A118</f>
        <v>5601</v>
      </c>
      <c r="B118" s="251" t="str">
        <f>Données!B118</f>
        <v>Chexbres</v>
      </c>
      <c r="C118" s="579">
        <f>Données!AR118</f>
        <v>1</v>
      </c>
      <c r="D118" s="252">
        <f>Données!Z118</f>
        <v>2263</v>
      </c>
      <c r="E118" s="99">
        <f>Données!X118</f>
        <v>67.5</v>
      </c>
      <c r="F118" s="30">
        <f>VPI!L118</f>
        <v>6973357.7799999993</v>
      </c>
      <c r="G118" s="7">
        <f t="shared" si="5"/>
        <v>206618.00829629626</v>
      </c>
      <c r="H118" s="25">
        <f t="shared" si="6"/>
        <v>208426.43715506583</v>
      </c>
      <c r="I118" s="7">
        <f t="shared" si="7"/>
        <v>0</v>
      </c>
      <c r="J118" s="7">
        <f>VPI!R118</f>
        <v>111006.30192592592</v>
      </c>
      <c r="K118" s="158">
        <f t="shared" si="8"/>
        <v>124734.36613366325</v>
      </c>
      <c r="L118" s="242">
        <f t="shared" si="9"/>
        <v>124734.36613366325</v>
      </c>
      <c r="M118" s="100"/>
      <c r="N118" s="101"/>
      <c r="O118" s="98"/>
      <c r="P118" s="98"/>
      <c r="Q118" s="102"/>
    </row>
    <row r="119" spans="1:17" s="97" customFormat="1" x14ac:dyDescent="0.25">
      <c r="A119" s="131">
        <f>Données!A119</f>
        <v>5604</v>
      </c>
      <c r="B119" s="251" t="str">
        <f>Données!B119</f>
        <v>Forel (Lavaux)</v>
      </c>
      <c r="C119" s="579">
        <f>Données!AR119</f>
        <v>0</v>
      </c>
      <c r="D119" s="252">
        <f>Données!Z119</f>
        <v>2088</v>
      </c>
      <c r="E119" s="99">
        <f>Données!X119</f>
        <v>69</v>
      </c>
      <c r="F119" s="30">
        <f>VPI!L119</f>
        <v>4636106.8999999994</v>
      </c>
      <c r="G119" s="7">
        <f t="shared" si="5"/>
        <v>134379.91014492753</v>
      </c>
      <c r="H119" s="25">
        <f t="shared" si="6"/>
        <v>192308.61722482432</v>
      </c>
      <c r="I119" s="7">
        <f t="shared" si="7"/>
        <v>134379.91014492753</v>
      </c>
      <c r="J119" s="7">
        <f>VPI!R119</f>
        <v>74097.487681159415</v>
      </c>
      <c r="K119" s="158">
        <f t="shared" si="8"/>
        <v>83261.067143501714</v>
      </c>
      <c r="L119" s="242">
        <f t="shared" si="9"/>
        <v>217640.97728842925</v>
      </c>
      <c r="M119" s="100"/>
      <c r="N119" s="101"/>
      <c r="O119" s="98"/>
      <c r="P119" s="98"/>
      <c r="Q119" s="102"/>
    </row>
    <row r="120" spans="1:17" s="97" customFormat="1" x14ac:dyDescent="0.25">
      <c r="A120" s="131">
        <f>Données!A120</f>
        <v>5606</v>
      </c>
      <c r="B120" s="251" t="str">
        <f>Données!B120</f>
        <v>Lutry</v>
      </c>
      <c r="C120" s="579">
        <f>Données!AR120</f>
        <v>1</v>
      </c>
      <c r="D120" s="252">
        <f>Données!Z120</f>
        <v>10750</v>
      </c>
      <c r="E120" s="99">
        <f>Données!X120</f>
        <v>54</v>
      </c>
      <c r="F120" s="30">
        <f>VPI!L120</f>
        <v>48384087.240000002</v>
      </c>
      <c r="G120" s="7">
        <f t="shared" si="5"/>
        <v>1792003.2311111111</v>
      </c>
      <c r="H120" s="25">
        <f t="shared" si="6"/>
        <v>990094.65285769221</v>
      </c>
      <c r="I120" s="7">
        <f t="shared" si="7"/>
        <v>0</v>
      </c>
      <c r="J120" s="7">
        <f>VPI!R120</f>
        <v>967121.48857142858</v>
      </c>
      <c r="K120" s="158">
        <f t="shared" si="8"/>
        <v>1086724.6611971646</v>
      </c>
      <c r="L120" s="242">
        <f t="shared" si="9"/>
        <v>1086724.6611971646</v>
      </c>
      <c r="M120" s="100"/>
      <c r="N120" s="101"/>
      <c r="O120" s="98"/>
      <c r="P120" s="98"/>
      <c r="Q120" s="102"/>
    </row>
    <row r="121" spans="1:17" s="97" customFormat="1" x14ac:dyDescent="0.25">
      <c r="A121" s="131">
        <f>Données!A121</f>
        <v>5607</v>
      </c>
      <c r="B121" s="251" t="str">
        <f>Données!B121</f>
        <v>Puidoux</v>
      </c>
      <c r="C121" s="579">
        <f>Données!AR121</f>
        <v>1</v>
      </c>
      <c r="D121" s="252">
        <f>Données!Z121</f>
        <v>2976</v>
      </c>
      <c r="E121" s="99">
        <f>Données!X121</f>
        <v>68.5</v>
      </c>
      <c r="F121" s="30">
        <f>VPI!L121</f>
        <v>8411374.2300000004</v>
      </c>
      <c r="G121" s="7">
        <f t="shared" si="5"/>
        <v>245587.56875912411</v>
      </c>
      <c r="H121" s="25">
        <f t="shared" si="6"/>
        <v>274095.04064227833</v>
      </c>
      <c r="I121" s="7">
        <f t="shared" si="7"/>
        <v>0</v>
      </c>
      <c r="J121" s="7">
        <f>VPI!R121</f>
        <v>136783.21297365916</v>
      </c>
      <c r="K121" s="158">
        <f t="shared" si="8"/>
        <v>153699.08799754773</v>
      </c>
      <c r="L121" s="242">
        <f t="shared" si="9"/>
        <v>153699.08799754773</v>
      </c>
      <c r="M121" s="100"/>
      <c r="N121" s="101"/>
      <c r="O121" s="98"/>
      <c r="P121" s="98"/>
      <c r="Q121" s="102"/>
    </row>
    <row r="122" spans="1:17" s="97" customFormat="1" x14ac:dyDescent="0.25">
      <c r="A122" s="131">
        <f>Données!A122</f>
        <v>5609</v>
      </c>
      <c r="B122" s="251" t="str">
        <f>Données!B122</f>
        <v>Rivaz</v>
      </c>
      <c r="C122" s="579">
        <f>Données!AR122</f>
        <v>1</v>
      </c>
      <c r="D122" s="252">
        <f>Données!Z122</f>
        <v>329</v>
      </c>
      <c r="E122" s="99">
        <f>Données!X122</f>
        <v>62</v>
      </c>
      <c r="F122" s="30">
        <f>VPI!L122</f>
        <v>901635.94</v>
      </c>
      <c r="G122" s="7">
        <f t="shared" si="5"/>
        <v>29085.030322580642</v>
      </c>
      <c r="H122" s="25">
        <f t="shared" si="6"/>
        <v>30301.501468854021</v>
      </c>
      <c r="I122" s="7">
        <f t="shared" si="7"/>
        <v>0</v>
      </c>
      <c r="J122" s="7">
        <f>VPI!R122</f>
        <v>15606.865161290323</v>
      </c>
      <c r="K122" s="158">
        <f t="shared" si="8"/>
        <v>17536.954203970639</v>
      </c>
      <c r="L122" s="242">
        <f t="shared" si="9"/>
        <v>17536.954203970639</v>
      </c>
      <c r="M122" s="100"/>
      <c r="N122" s="101"/>
      <c r="O122" s="98"/>
      <c r="P122" s="98"/>
      <c r="Q122" s="102"/>
    </row>
    <row r="123" spans="1:17" s="97" customFormat="1" x14ac:dyDescent="0.25">
      <c r="A123" s="131">
        <f>Données!A123</f>
        <v>5610</v>
      </c>
      <c r="B123" s="251" t="str">
        <f>Données!B123</f>
        <v>St-Saphorin (Lavaux)</v>
      </c>
      <c r="C123" s="579">
        <f>Données!AR123</f>
        <v>1</v>
      </c>
      <c r="D123" s="252">
        <f>Données!Z123</f>
        <v>389</v>
      </c>
      <c r="E123" s="99">
        <f>Données!X123</f>
        <v>74</v>
      </c>
      <c r="F123" s="30">
        <f>VPI!L123</f>
        <v>1192750.8900000001</v>
      </c>
      <c r="G123" s="7">
        <f t="shared" si="5"/>
        <v>32236.510540540545</v>
      </c>
      <c r="H123" s="25">
        <f t="shared" si="6"/>
        <v>35827.611159222535</v>
      </c>
      <c r="I123" s="7">
        <f t="shared" si="7"/>
        <v>0</v>
      </c>
      <c r="J123" s="7">
        <f>VPI!R123</f>
        <v>17690.752229729729</v>
      </c>
      <c r="K123" s="158">
        <f t="shared" si="8"/>
        <v>19878.55398764219</v>
      </c>
      <c r="L123" s="242">
        <f t="shared" si="9"/>
        <v>19878.55398764219</v>
      </c>
      <c r="M123" s="100"/>
      <c r="N123" s="101"/>
      <c r="O123" s="98"/>
      <c r="P123" s="98"/>
      <c r="Q123" s="102"/>
    </row>
    <row r="124" spans="1:17" s="97" customFormat="1" x14ac:dyDescent="0.25">
      <c r="A124" s="131">
        <f>Données!A124</f>
        <v>5611</v>
      </c>
      <c r="B124" s="251" t="str">
        <f>Données!B124</f>
        <v>Savigny</v>
      </c>
      <c r="C124" s="579">
        <f>Données!AR124</f>
        <v>1</v>
      </c>
      <c r="D124" s="252">
        <f>Données!Z124</f>
        <v>3506</v>
      </c>
      <c r="E124" s="99">
        <f>Données!X124</f>
        <v>69</v>
      </c>
      <c r="F124" s="30">
        <f>VPI!L124</f>
        <v>10082968</v>
      </c>
      <c r="G124" s="7">
        <f t="shared" si="5"/>
        <v>292259.94202898553</v>
      </c>
      <c r="H124" s="25">
        <f t="shared" si="6"/>
        <v>322909.0095738669</v>
      </c>
      <c r="I124" s="7">
        <f t="shared" si="7"/>
        <v>0</v>
      </c>
      <c r="J124" s="7">
        <f>VPI!R124</f>
        <v>157298.88888888891</v>
      </c>
      <c r="K124" s="158">
        <f t="shared" si="8"/>
        <v>176751.92181591474</v>
      </c>
      <c r="L124" s="242">
        <f t="shared" si="9"/>
        <v>176751.92181591474</v>
      </c>
      <c r="M124" s="100"/>
      <c r="N124" s="101"/>
      <c r="O124" s="98"/>
      <c r="P124" s="98"/>
      <c r="Q124" s="102"/>
    </row>
    <row r="125" spans="1:17" s="97" customFormat="1" x14ac:dyDescent="0.25">
      <c r="A125" s="131">
        <f>Données!A125</f>
        <v>5613</v>
      </c>
      <c r="B125" s="251" t="str">
        <f>Données!B125</f>
        <v>Bourg-en-Lavaux</v>
      </c>
      <c r="C125" s="579">
        <f>Données!AR125</f>
        <v>1</v>
      </c>
      <c r="D125" s="252">
        <f>Données!Z125</f>
        <v>5465</v>
      </c>
      <c r="E125" s="99">
        <f>Données!X125</f>
        <v>62.5</v>
      </c>
      <c r="F125" s="30">
        <f>VPI!L125</f>
        <v>20918045.48</v>
      </c>
      <c r="G125" s="7">
        <f t="shared" si="5"/>
        <v>669377.45536000002</v>
      </c>
      <c r="H125" s="25">
        <f t="shared" si="6"/>
        <v>503336.49096439889</v>
      </c>
      <c r="I125" s="7">
        <f t="shared" si="7"/>
        <v>0</v>
      </c>
      <c r="J125" s="7">
        <f>VPI!R125</f>
        <v>362275.1242133333</v>
      </c>
      <c r="K125" s="158">
        <f t="shared" si="8"/>
        <v>407077.41092841857</v>
      </c>
      <c r="L125" s="242">
        <f t="shared" si="9"/>
        <v>407077.41092841857</v>
      </c>
      <c r="M125" s="100"/>
      <c r="N125" s="101"/>
      <c r="O125" s="98"/>
      <c r="P125" s="98"/>
      <c r="Q125" s="102"/>
    </row>
    <row r="126" spans="1:17" s="97" customFormat="1" x14ac:dyDescent="0.25">
      <c r="A126" s="131">
        <f>Données!A126</f>
        <v>5621</v>
      </c>
      <c r="B126" s="251" t="str">
        <f>Données!B126</f>
        <v>Aclens</v>
      </c>
      <c r="C126" s="579">
        <f>Données!AR126</f>
        <v>0</v>
      </c>
      <c r="D126" s="252">
        <f>Données!Z126</f>
        <v>587</v>
      </c>
      <c r="E126" s="99">
        <f>Données!X126</f>
        <v>60</v>
      </c>
      <c r="F126" s="30">
        <f>VPI!L126</f>
        <v>1527106.8800000001</v>
      </c>
      <c r="G126" s="7">
        <f t="shared" si="5"/>
        <v>50903.562666666672</v>
      </c>
      <c r="H126" s="25">
        <f t="shared" si="6"/>
        <v>54063.773137438635</v>
      </c>
      <c r="I126" s="7">
        <f t="shared" si="7"/>
        <v>50903.562666666672</v>
      </c>
      <c r="J126" s="7">
        <f>VPI!R126</f>
        <v>31275.873303030305</v>
      </c>
      <c r="K126" s="158">
        <f t="shared" si="8"/>
        <v>35143.7365631141</v>
      </c>
      <c r="L126" s="242">
        <f t="shared" si="9"/>
        <v>86047.299229780765</v>
      </c>
      <c r="M126" s="100"/>
      <c r="N126" s="101"/>
      <c r="O126" s="98"/>
      <c r="P126" s="98"/>
      <c r="Q126" s="102"/>
    </row>
    <row r="127" spans="1:17" s="97" customFormat="1" x14ac:dyDescent="0.25">
      <c r="A127" s="131">
        <f>Données!A127</f>
        <v>5622</v>
      </c>
      <c r="B127" s="251" t="str">
        <f>Données!B127</f>
        <v>Bremblens</v>
      </c>
      <c r="C127" s="579">
        <f>Données!AR127</f>
        <v>0</v>
      </c>
      <c r="D127" s="252">
        <f>Données!Z127</f>
        <v>615</v>
      </c>
      <c r="E127" s="99">
        <f>Données!X127</f>
        <v>68</v>
      </c>
      <c r="F127" s="30">
        <f>VPI!L127</f>
        <v>1841835.84</v>
      </c>
      <c r="G127" s="7">
        <f t="shared" si="5"/>
        <v>54171.642352941177</v>
      </c>
      <c r="H127" s="25">
        <f t="shared" si="6"/>
        <v>56642.624326277277</v>
      </c>
      <c r="I127" s="7">
        <f t="shared" si="7"/>
        <v>54171.642352941177</v>
      </c>
      <c r="J127" s="7">
        <f>VPI!R127</f>
        <v>29645.912352941177</v>
      </c>
      <c r="K127" s="158">
        <f t="shared" si="8"/>
        <v>33312.199592648583</v>
      </c>
      <c r="L127" s="242">
        <f t="shared" si="9"/>
        <v>87483.841945589753</v>
      </c>
      <c r="M127" s="100"/>
      <c r="N127" s="101"/>
      <c r="O127" s="98"/>
      <c r="P127" s="98"/>
      <c r="Q127" s="102"/>
    </row>
    <row r="128" spans="1:17" s="97" customFormat="1" x14ac:dyDescent="0.25">
      <c r="A128" s="131">
        <f>Données!A128</f>
        <v>5623</v>
      </c>
      <c r="B128" s="251" t="str">
        <f>Données!B128</f>
        <v>Buchillon</v>
      </c>
      <c r="C128" s="579">
        <f>Données!AR128</f>
        <v>1</v>
      </c>
      <c r="D128" s="252">
        <f>Données!Z128</f>
        <v>686</v>
      </c>
      <c r="E128" s="99">
        <f>Données!X128</f>
        <v>52</v>
      </c>
      <c r="F128" s="30">
        <f>VPI!L128</f>
        <v>4947240.6100000003</v>
      </c>
      <c r="G128" s="7">
        <f t="shared" si="5"/>
        <v>190278.48500000002</v>
      </c>
      <c r="H128" s="25">
        <f t="shared" si="6"/>
        <v>63181.854126546685</v>
      </c>
      <c r="I128" s="7">
        <f t="shared" si="7"/>
        <v>0</v>
      </c>
      <c r="J128" s="7">
        <f>VPI!R128</f>
        <v>102629.43480769232</v>
      </c>
      <c r="K128" s="158">
        <f t="shared" si="8"/>
        <v>115321.53828469985</v>
      </c>
      <c r="L128" s="242">
        <f t="shared" si="9"/>
        <v>115321.53828469985</v>
      </c>
      <c r="M128" s="100"/>
      <c r="N128" s="101"/>
      <c r="O128" s="98"/>
      <c r="P128" s="98"/>
      <c r="Q128" s="102"/>
    </row>
    <row r="129" spans="1:17" s="97" customFormat="1" x14ac:dyDescent="0.25">
      <c r="A129" s="131">
        <f>Données!A129</f>
        <v>5624</v>
      </c>
      <c r="B129" s="251" t="str">
        <f>Données!B129</f>
        <v>Bussigny</v>
      </c>
      <c r="C129" s="579">
        <f>Données!AR129</f>
        <v>1</v>
      </c>
      <c r="D129" s="252">
        <f>Données!Z129</f>
        <v>11667</v>
      </c>
      <c r="E129" s="99">
        <f>Données!X129</f>
        <v>62.5</v>
      </c>
      <c r="F129" s="30">
        <f>VPI!L129</f>
        <v>24814911.850000001</v>
      </c>
      <c r="G129" s="7">
        <f t="shared" si="5"/>
        <v>794077.17920000001</v>
      </c>
      <c r="H129" s="25">
        <f t="shared" si="6"/>
        <v>1074552.0292921576</v>
      </c>
      <c r="I129" s="7">
        <f t="shared" si="7"/>
        <v>0</v>
      </c>
      <c r="J129" s="7">
        <f>VPI!R129</f>
        <v>450667.46672000003</v>
      </c>
      <c r="K129" s="158">
        <f t="shared" si="8"/>
        <v>506401.16662830714</v>
      </c>
      <c r="L129" s="242">
        <f t="shared" si="9"/>
        <v>506401.16662830714</v>
      </c>
      <c r="M129" s="100"/>
      <c r="N129" s="101"/>
      <c r="O129" s="98"/>
      <c r="P129" s="98"/>
      <c r="Q129" s="102"/>
    </row>
    <row r="130" spans="1:17" s="97" customFormat="1" x14ac:dyDescent="0.25">
      <c r="A130" s="131">
        <f>Données!A130</f>
        <v>5627</v>
      </c>
      <c r="B130" s="251" t="str">
        <f>Données!B130</f>
        <v>Chavannes-près-Renens</v>
      </c>
      <c r="C130" s="579">
        <f>Données!AR130</f>
        <v>1</v>
      </c>
      <c r="D130" s="252">
        <f>Données!Z130</f>
        <v>9771</v>
      </c>
      <c r="E130" s="99">
        <f>Données!X130</f>
        <v>77.5</v>
      </c>
      <c r="F130" s="30">
        <f>VPI!L130</f>
        <v>13777969.960000001</v>
      </c>
      <c r="G130" s="7">
        <f t="shared" si="5"/>
        <v>355560.51509677421</v>
      </c>
      <c r="H130" s="25">
        <f t="shared" si="6"/>
        <v>899926.96307651268</v>
      </c>
      <c r="I130" s="7">
        <f t="shared" si="7"/>
        <v>0</v>
      </c>
      <c r="J130" s="7">
        <f>VPI!R130</f>
        <v>202046.51840860216</v>
      </c>
      <c r="K130" s="158">
        <f t="shared" si="8"/>
        <v>227033.45635302589</v>
      </c>
      <c r="L130" s="242">
        <f t="shared" si="9"/>
        <v>227033.45635302589</v>
      </c>
      <c r="M130" s="100"/>
      <c r="N130" s="101"/>
      <c r="O130" s="98"/>
      <c r="P130" s="98"/>
      <c r="Q130" s="102"/>
    </row>
    <row r="131" spans="1:17" s="97" customFormat="1" x14ac:dyDescent="0.25">
      <c r="A131" s="131">
        <f>Données!A131</f>
        <v>5628</v>
      </c>
      <c r="B131" s="251" t="str">
        <f>Données!B131</f>
        <v>Chigny</v>
      </c>
      <c r="C131" s="579">
        <f>Données!AR131</f>
        <v>0</v>
      </c>
      <c r="D131" s="252">
        <f>Données!Z131</f>
        <v>420</v>
      </c>
      <c r="E131" s="99">
        <f>Données!X131</f>
        <v>62</v>
      </c>
      <c r="F131" s="30">
        <f>VPI!L131</f>
        <v>1849012.04</v>
      </c>
      <c r="G131" s="7">
        <f t="shared" si="5"/>
        <v>59645.549677419353</v>
      </c>
      <c r="H131" s="25">
        <f t="shared" si="6"/>
        <v>38682.767832579601</v>
      </c>
      <c r="I131" s="7">
        <f t="shared" si="7"/>
        <v>38682.767832579601</v>
      </c>
      <c r="J131" s="7">
        <f>VPI!R131</f>
        <v>31766.144193548385</v>
      </c>
      <c r="K131" s="158">
        <f t="shared" si="8"/>
        <v>35694.638878582344</v>
      </c>
      <c r="L131" s="242">
        <f t="shared" si="9"/>
        <v>74377.406711161952</v>
      </c>
      <c r="M131" s="100"/>
      <c r="N131" s="101"/>
      <c r="O131" s="98"/>
      <c r="P131" s="98"/>
      <c r="Q131" s="102"/>
    </row>
    <row r="132" spans="1:17" s="97" customFormat="1" x14ac:dyDescent="0.25">
      <c r="A132" s="131">
        <f>Données!A132</f>
        <v>5629</v>
      </c>
      <c r="B132" s="251" t="str">
        <f>Données!B132</f>
        <v>Clarmont</v>
      </c>
      <c r="C132" s="579">
        <f>Données!AR132</f>
        <v>0</v>
      </c>
      <c r="D132" s="252">
        <f>Données!Z132</f>
        <v>228</v>
      </c>
      <c r="E132" s="99">
        <f>Données!X132</f>
        <v>72</v>
      </c>
      <c r="F132" s="30">
        <f>VPI!L132</f>
        <v>538101.56000000017</v>
      </c>
      <c r="G132" s="7">
        <f t="shared" si="5"/>
        <v>14947.265555555561</v>
      </c>
      <c r="H132" s="25">
        <f t="shared" si="6"/>
        <v>20999.216823400355</v>
      </c>
      <c r="I132" s="7">
        <f t="shared" si="7"/>
        <v>14947.265555555561</v>
      </c>
      <c r="J132" s="7">
        <f>VPI!R132</f>
        <v>8028.6466666666693</v>
      </c>
      <c r="K132" s="158">
        <f t="shared" si="8"/>
        <v>9021.5432412664086</v>
      </c>
      <c r="L132" s="242">
        <f t="shared" si="9"/>
        <v>23968.80879682197</v>
      </c>
      <c r="M132" s="100"/>
      <c r="N132" s="101"/>
      <c r="O132" s="98"/>
      <c r="P132" s="98"/>
      <c r="Q132" s="102"/>
    </row>
    <row r="133" spans="1:17" s="97" customFormat="1" x14ac:dyDescent="0.25">
      <c r="A133" s="131">
        <f>Données!A133</f>
        <v>5631</v>
      </c>
      <c r="B133" s="251" t="str">
        <f>Données!B133</f>
        <v>Denens</v>
      </c>
      <c r="C133" s="579">
        <f>Données!AR133</f>
        <v>0</v>
      </c>
      <c r="D133" s="252">
        <f>Données!Z133</f>
        <v>742</v>
      </c>
      <c r="E133" s="99">
        <f>Données!X133</f>
        <v>65</v>
      </c>
      <c r="F133" s="30">
        <f>VPI!L133</f>
        <v>2816824.3</v>
      </c>
      <c r="G133" s="7">
        <f t="shared" si="5"/>
        <v>86671.516923076924</v>
      </c>
      <c r="H133" s="25">
        <f t="shared" si="6"/>
        <v>68339.556504223961</v>
      </c>
      <c r="I133" s="7">
        <f t="shared" si="7"/>
        <v>68339.556504223961</v>
      </c>
      <c r="J133" s="7">
        <f>VPI!R133</f>
        <v>46857.544615384613</v>
      </c>
      <c r="K133" s="158">
        <f t="shared" si="8"/>
        <v>52652.381214176668</v>
      </c>
      <c r="L133" s="242">
        <f t="shared" si="9"/>
        <v>120991.93771840063</v>
      </c>
      <c r="M133" s="100"/>
      <c r="N133" s="101"/>
      <c r="O133" s="98"/>
      <c r="P133" s="98"/>
      <c r="Q133" s="102"/>
    </row>
    <row r="134" spans="1:17" s="97" customFormat="1" x14ac:dyDescent="0.25">
      <c r="A134" s="131">
        <f>Données!A134</f>
        <v>5632</v>
      </c>
      <c r="B134" s="251" t="str">
        <f>Données!B134</f>
        <v>Denges</v>
      </c>
      <c r="C134" s="579">
        <f>Données!AR134</f>
        <v>0</v>
      </c>
      <c r="D134" s="252">
        <f>Données!Z134</f>
        <v>1837</v>
      </c>
      <c r="E134" s="99">
        <f>Données!X134</f>
        <v>62</v>
      </c>
      <c r="F134" s="30">
        <f>VPI!L134</f>
        <v>4815856.1500000004</v>
      </c>
      <c r="G134" s="7">
        <f t="shared" si="5"/>
        <v>155350.19838709678</v>
      </c>
      <c r="H134" s="25">
        <f t="shared" si="6"/>
        <v>169191.05835344936</v>
      </c>
      <c r="I134" s="7">
        <f t="shared" si="7"/>
        <v>155350.19838709678</v>
      </c>
      <c r="J134" s="7">
        <f>VPI!R134</f>
        <v>84931.199193548397</v>
      </c>
      <c r="K134" s="158">
        <f t="shared" si="8"/>
        <v>95434.575448233372</v>
      </c>
      <c r="L134" s="242">
        <f t="shared" si="9"/>
        <v>250784.77383533015</v>
      </c>
      <c r="M134" s="100"/>
      <c r="N134" s="101"/>
      <c r="O134" s="98"/>
      <c r="P134" s="98"/>
      <c r="Q134" s="102"/>
    </row>
    <row r="135" spans="1:17" s="97" customFormat="1" x14ac:dyDescent="0.25">
      <c r="A135" s="131">
        <f>Données!A135</f>
        <v>5633</v>
      </c>
      <c r="B135" s="251" t="str">
        <f>Données!B135</f>
        <v>Echandens</v>
      </c>
      <c r="C135" s="579">
        <f>Données!AR135</f>
        <v>0</v>
      </c>
      <c r="D135" s="252">
        <f>Données!Z135</f>
        <v>3004</v>
      </c>
      <c r="E135" s="99">
        <f>Données!X135</f>
        <v>60.5</v>
      </c>
      <c r="F135" s="30">
        <f>VPI!L135</f>
        <v>8452988</v>
      </c>
      <c r="G135" s="7">
        <f t="shared" ref="G135:G198" si="10">F135/E135*2</f>
        <v>279437.61983471073</v>
      </c>
      <c r="H135" s="25">
        <f t="shared" ref="H135:H198" si="11">+$G$306/$D$306*D135</f>
        <v>276673.89183111698</v>
      </c>
      <c r="I135" s="7">
        <f t="shared" ref="I135:I198" si="12">IF(C135=1,0,IF(H135&gt;G135,G135,H135))</f>
        <v>276673.89183111698</v>
      </c>
      <c r="J135" s="7">
        <f>VPI!R135</f>
        <v>152816.5752066116</v>
      </c>
      <c r="K135" s="158">
        <f t="shared" ref="K135:K198" si="13">+$K$5*J135</f>
        <v>171715.28383887277</v>
      </c>
      <c r="L135" s="242">
        <f t="shared" ref="L135:L198" si="14">+K135+I135</f>
        <v>448389.17566998978</v>
      </c>
      <c r="M135" s="100"/>
      <c r="N135" s="101"/>
      <c r="O135" s="98"/>
      <c r="P135" s="98"/>
      <c r="Q135" s="102"/>
    </row>
    <row r="136" spans="1:17" s="97" customFormat="1" x14ac:dyDescent="0.25">
      <c r="A136" s="131">
        <f>Données!A136</f>
        <v>5634</v>
      </c>
      <c r="B136" s="251" t="str">
        <f>Données!B136</f>
        <v>Echichens</v>
      </c>
      <c r="C136" s="579">
        <f>Données!AR136</f>
        <v>0</v>
      </c>
      <c r="D136" s="252">
        <f>Données!Z136</f>
        <v>3218</v>
      </c>
      <c r="E136" s="99">
        <f>Données!X136</f>
        <v>66</v>
      </c>
      <c r="F136" s="30">
        <f>VPI!L136</f>
        <v>10565369.42</v>
      </c>
      <c r="G136" s="7">
        <f t="shared" si="10"/>
        <v>320162.70969696972</v>
      </c>
      <c r="H136" s="25">
        <f t="shared" si="11"/>
        <v>296383.68306009803</v>
      </c>
      <c r="I136" s="7">
        <f t="shared" si="12"/>
        <v>296383.68306009803</v>
      </c>
      <c r="J136" s="7">
        <f>VPI!R136</f>
        <v>172315.76318181818</v>
      </c>
      <c r="K136" s="158">
        <f t="shared" si="13"/>
        <v>193625.92143340819</v>
      </c>
      <c r="L136" s="242">
        <f t="shared" si="14"/>
        <v>490009.60449350625</v>
      </c>
      <c r="M136" s="100"/>
      <c r="N136" s="101"/>
      <c r="O136" s="98"/>
      <c r="P136" s="98"/>
      <c r="Q136" s="102"/>
    </row>
    <row r="137" spans="1:17" s="97" customFormat="1" x14ac:dyDescent="0.25">
      <c r="A137" s="131">
        <f>Données!A137</f>
        <v>5635</v>
      </c>
      <c r="B137" s="251" t="str">
        <f>Données!B137</f>
        <v>Ecublens</v>
      </c>
      <c r="C137" s="579">
        <f>Données!AR137</f>
        <v>1</v>
      </c>
      <c r="D137" s="252">
        <f>Données!Z137</f>
        <v>13391</v>
      </c>
      <c r="E137" s="99">
        <f>Données!X137</f>
        <v>62.5</v>
      </c>
      <c r="F137" s="30">
        <f>VPI!L137</f>
        <v>30676156.66</v>
      </c>
      <c r="G137" s="7">
        <f t="shared" si="10"/>
        <v>981637.01312000002</v>
      </c>
      <c r="H137" s="25">
        <f t="shared" si="11"/>
        <v>1233335.5810620796</v>
      </c>
      <c r="I137" s="7">
        <f t="shared" si="12"/>
        <v>0</v>
      </c>
      <c r="J137" s="7">
        <f>VPI!R137</f>
        <v>544882.47829333332</v>
      </c>
      <c r="K137" s="158">
        <f t="shared" si="13"/>
        <v>612267.67641184572</v>
      </c>
      <c r="L137" s="242">
        <f t="shared" si="14"/>
        <v>612267.67641184572</v>
      </c>
      <c r="M137" s="100"/>
      <c r="N137" s="101"/>
      <c r="O137" s="98"/>
      <c r="P137" s="98"/>
      <c r="Q137" s="102"/>
    </row>
    <row r="138" spans="1:17" s="97" customFormat="1" x14ac:dyDescent="0.25">
      <c r="A138" s="131">
        <f>Données!A138</f>
        <v>5636</v>
      </c>
      <c r="B138" s="251" t="str">
        <f>Données!B138</f>
        <v>Etoy</v>
      </c>
      <c r="C138" s="579">
        <f>Données!AR138</f>
        <v>0</v>
      </c>
      <c r="D138" s="252">
        <f>Données!Z138</f>
        <v>2966</v>
      </c>
      <c r="E138" s="99">
        <f>Données!X138</f>
        <v>60</v>
      </c>
      <c r="F138" s="30">
        <f>VPI!L138</f>
        <v>11404187.129999999</v>
      </c>
      <c r="G138" s="7">
        <f t="shared" si="10"/>
        <v>380139.57099999994</v>
      </c>
      <c r="H138" s="25">
        <f t="shared" si="11"/>
        <v>273174.02236055024</v>
      </c>
      <c r="I138" s="7">
        <f t="shared" si="12"/>
        <v>273174.02236055024</v>
      </c>
      <c r="J138" s="7">
        <f>VPI!R138</f>
        <v>214499.46883333332</v>
      </c>
      <c r="K138" s="158">
        <f t="shared" si="13"/>
        <v>241026.45360429268</v>
      </c>
      <c r="L138" s="242">
        <f t="shared" si="14"/>
        <v>514200.47596484295</v>
      </c>
      <c r="M138" s="100"/>
      <c r="N138" s="101"/>
      <c r="O138" s="98"/>
      <c r="P138" s="98"/>
      <c r="Q138" s="102"/>
    </row>
    <row r="139" spans="1:17" s="97" customFormat="1" x14ac:dyDescent="0.25">
      <c r="A139" s="131">
        <f>Données!A139</f>
        <v>5637</v>
      </c>
      <c r="B139" s="251" t="str">
        <f>Données!B139</f>
        <v>Lavigny</v>
      </c>
      <c r="C139" s="579">
        <f>Données!AR139</f>
        <v>0</v>
      </c>
      <c r="D139" s="252">
        <f>Données!Z139</f>
        <v>1100</v>
      </c>
      <c r="E139" s="99">
        <f>Données!X139</f>
        <v>73</v>
      </c>
      <c r="F139" s="30">
        <f>VPI!L139</f>
        <v>2514931.69</v>
      </c>
      <c r="G139" s="7">
        <f t="shared" si="10"/>
        <v>68902.238082191776</v>
      </c>
      <c r="H139" s="25">
        <f t="shared" si="11"/>
        <v>101312.01099008945</v>
      </c>
      <c r="I139" s="7">
        <f t="shared" si="12"/>
        <v>68902.238082191776</v>
      </c>
      <c r="J139" s="7">
        <f>VPI!R139</f>
        <v>37437.327945205478</v>
      </c>
      <c r="K139" s="158">
        <f t="shared" si="13"/>
        <v>42067.173574518049</v>
      </c>
      <c r="L139" s="242">
        <f t="shared" si="14"/>
        <v>110969.41165670982</v>
      </c>
      <c r="M139" s="100"/>
      <c r="N139" s="101"/>
      <c r="O139" s="98"/>
      <c r="P139" s="98"/>
      <c r="Q139" s="102"/>
    </row>
    <row r="140" spans="1:17" s="97" customFormat="1" x14ac:dyDescent="0.25">
      <c r="A140" s="131">
        <f>Données!A140</f>
        <v>5638</v>
      </c>
      <c r="B140" s="251" t="str">
        <f>Données!B140</f>
        <v>Lonay</v>
      </c>
      <c r="C140" s="579">
        <f>Données!AR140</f>
        <v>0</v>
      </c>
      <c r="D140" s="252">
        <f>Données!Z140</f>
        <v>2733</v>
      </c>
      <c r="E140" s="99">
        <f>Données!X140</f>
        <v>55</v>
      </c>
      <c r="F140" s="30">
        <f>VPI!L140</f>
        <v>7778600.6300000008</v>
      </c>
      <c r="G140" s="7">
        <f t="shared" si="10"/>
        <v>282858.20472727274</v>
      </c>
      <c r="H140" s="25">
        <f t="shared" si="11"/>
        <v>251714.29639628585</v>
      </c>
      <c r="I140" s="7">
        <f t="shared" si="12"/>
        <v>251714.29639628585</v>
      </c>
      <c r="J140" s="7">
        <f>VPI!R140</f>
        <v>156370.75327272728</v>
      </c>
      <c r="K140" s="158">
        <f t="shared" si="13"/>
        <v>175709.00438006275</v>
      </c>
      <c r="L140" s="242">
        <f t="shared" si="14"/>
        <v>427423.30077634857</v>
      </c>
      <c r="M140" s="100"/>
      <c r="N140" s="101"/>
      <c r="O140" s="98"/>
      <c r="P140" s="98"/>
      <c r="Q140" s="102"/>
    </row>
    <row r="141" spans="1:17" s="97" customFormat="1" x14ac:dyDescent="0.25">
      <c r="A141" s="131">
        <f>Données!A141</f>
        <v>5639</v>
      </c>
      <c r="B141" s="251" t="str">
        <f>Données!B141</f>
        <v>Lully</v>
      </c>
      <c r="C141" s="579">
        <f>Données!AR141</f>
        <v>0</v>
      </c>
      <c r="D141" s="252">
        <f>Données!Z141</f>
        <v>838</v>
      </c>
      <c r="E141" s="99">
        <f>Données!X141</f>
        <v>61</v>
      </c>
      <c r="F141" s="30">
        <f>VPI!L141</f>
        <v>3183696.5700000003</v>
      </c>
      <c r="G141" s="7">
        <f t="shared" si="10"/>
        <v>104383.49409836066</v>
      </c>
      <c r="H141" s="25">
        <f t="shared" si="11"/>
        <v>77181.332008813595</v>
      </c>
      <c r="I141" s="7">
        <f t="shared" si="12"/>
        <v>77181.332008813595</v>
      </c>
      <c r="J141" s="7">
        <f>VPI!R141</f>
        <v>55829.926885245906</v>
      </c>
      <c r="K141" s="158">
        <f t="shared" si="13"/>
        <v>62734.371116757888</v>
      </c>
      <c r="L141" s="242">
        <f t="shared" si="14"/>
        <v>139915.70312557148</v>
      </c>
      <c r="M141" s="100"/>
      <c r="N141" s="101"/>
      <c r="O141" s="98"/>
      <c r="P141" s="98"/>
      <c r="Q141" s="102"/>
    </row>
    <row r="142" spans="1:17" s="97" customFormat="1" x14ac:dyDescent="0.25">
      <c r="A142" s="131">
        <f>Données!A142</f>
        <v>5640</v>
      </c>
      <c r="B142" s="251" t="str">
        <f>Données!B142</f>
        <v>Lussy-sur-Morges</v>
      </c>
      <c r="C142" s="579">
        <f>Données!AR142</f>
        <v>1</v>
      </c>
      <c r="D142" s="252">
        <f>Données!Z142</f>
        <v>719</v>
      </c>
      <c r="E142" s="99">
        <f>Données!X142</f>
        <v>61.5</v>
      </c>
      <c r="F142" s="30">
        <f>VPI!L142</f>
        <v>3659787.42</v>
      </c>
      <c r="G142" s="7">
        <f t="shared" si="10"/>
        <v>119017.47707317072</v>
      </c>
      <c r="H142" s="25">
        <f t="shared" si="11"/>
        <v>66221.214456249363</v>
      </c>
      <c r="I142" s="7">
        <f t="shared" si="12"/>
        <v>0</v>
      </c>
      <c r="J142" s="7">
        <f>VPI!R142</f>
        <v>63303.13934959349</v>
      </c>
      <c r="K142" s="158">
        <f t="shared" si="13"/>
        <v>71131.790033970523</v>
      </c>
      <c r="L142" s="242">
        <f t="shared" si="14"/>
        <v>71131.790033970523</v>
      </c>
      <c r="M142" s="100"/>
      <c r="N142" s="101"/>
      <c r="O142" s="98"/>
      <c r="P142" s="98"/>
      <c r="Q142" s="102"/>
    </row>
    <row r="143" spans="1:17" s="97" customFormat="1" x14ac:dyDescent="0.25">
      <c r="A143" s="131">
        <f>Données!A143</f>
        <v>5642</v>
      </c>
      <c r="B143" s="251" t="str">
        <f>Données!B143</f>
        <v>Morges</v>
      </c>
      <c r="C143" s="579">
        <f>Données!AR143</f>
        <v>1</v>
      </c>
      <c r="D143" s="252">
        <f>Données!Z143</f>
        <v>17715</v>
      </c>
      <c r="E143" s="99">
        <f>Données!X143</f>
        <v>67</v>
      </c>
      <c r="F143" s="30">
        <f>VPI!L143</f>
        <v>66610538.379999995</v>
      </c>
      <c r="G143" s="7">
        <f t="shared" si="10"/>
        <v>1988374.2799999998</v>
      </c>
      <c r="H143" s="25">
        <f t="shared" si="11"/>
        <v>1631583.8860813039</v>
      </c>
      <c r="I143" s="7">
        <f t="shared" si="12"/>
        <v>0</v>
      </c>
      <c r="J143" s="7">
        <f>VPI!R143</f>
        <v>1061989.5101492535</v>
      </c>
      <c r="K143" s="158">
        <f t="shared" si="13"/>
        <v>1193324.938231535</v>
      </c>
      <c r="L143" s="242">
        <f t="shared" si="14"/>
        <v>1193324.938231535</v>
      </c>
      <c r="M143" s="100"/>
      <c r="N143" s="101"/>
      <c r="O143" s="98"/>
      <c r="P143" s="98"/>
      <c r="Q143" s="102"/>
    </row>
    <row r="144" spans="1:17" s="97" customFormat="1" x14ac:dyDescent="0.25">
      <c r="A144" s="131">
        <f>Données!A144</f>
        <v>5643</v>
      </c>
      <c r="B144" s="251" t="str">
        <f>Données!B144</f>
        <v>Préverenges</v>
      </c>
      <c r="C144" s="579">
        <f>Données!AR144</f>
        <v>1</v>
      </c>
      <c r="D144" s="252">
        <f>Données!Z144</f>
        <v>5273</v>
      </c>
      <c r="E144" s="99">
        <f>Données!X144</f>
        <v>65</v>
      </c>
      <c r="F144" s="30">
        <f>VPI!L144</f>
        <v>15286385.900000002</v>
      </c>
      <c r="G144" s="7">
        <f t="shared" si="10"/>
        <v>470350.33538461546</v>
      </c>
      <c r="H144" s="25">
        <f t="shared" si="11"/>
        <v>485652.93995521963</v>
      </c>
      <c r="I144" s="7">
        <f t="shared" si="12"/>
        <v>0</v>
      </c>
      <c r="J144" s="7">
        <f>VPI!R144</f>
        <v>254683.39384615389</v>
      </c>
      <c r="K144" s="158">
        <f t="shared" si="13"/>
        <v>286179.89379890007</v>
      </c>
      <c r="L144" s="242">
        <f t="shared" si="14"/>
        <v>286179.89379890007</v>
      </c>
      <c r="M144" s="100"/>
      <c r="N144" s="101"/>
      <c r="O144" s="98"/>
      <c r="P144" s="98"/>
      <c r="Q144" s="102"/>
    </row>
    <row r="145" spans="1:17" s="97" customFormat="1" x14ac:dyDescent="0.25">
      <c r="A145" s="131">
        <f>Données!A145</f>
        <v>5645</v>
      </c>
      <c r="B145" s="251" t="str">
        <f>Données!B145</f>
        <v>Romanel-sur-Morges</v>
      </c>
      <c r="C145" s="579">
        <f>Données!AR145</f>
        <v>0</v>
      </c>
      <c r="D145" s="252">
        <f>Données!Z145</f>
        <v>454</v>
      </c>
      <c r="E145" s="99">
        <f>Données!X145</f>
        <v>56</v>
      </c>
      <c r="F145" s="30">
        <f>VPI!L145</f>
        <v>1397073.4200000002</v>
      </c>
      <c r="G145" s="7">
        <f t="shared" si="10"/>
        <v>49895.479285714289</v>
      </c>
      <c r="H145" s="25">
        <f t="shared" si="11"/>
        <v>41814.229990455096</v>
      </c>
      <c r="I145" s="7">
        <f t="shared" si="12"/>
        <v>41814.229990455096</v>
      </c>
      <c r="J145" s="7">
        <f>VPI!R145</f>
        <v>28308.714642857147</v>
      </c>
      <c r="K145" s="158">
        <f t="shared" si="13"/>
        <v>31809.631667504847</v>
      </c>
      <c r="L145" s="242">
        <f t="shared" si="14"/>
        <v>73623.861657959947</v>
      </c>
      <c r="M145" s="100"/>
      <c r="N145" s="101"/>
      <c r="O145" s="98"/>
      <c r="P145" s="98"/>
      <c r="Q145" s="102"/>
    </row>
    <row r="146" spans="1:17" s="97" customFormat="1" x14ac:dyDescent="0.25">
      <c r="A146" s="131">
        <f>Données!A146</f>
        <v>5646</v>
      </c>
      <c r="B146" s="251" t="str">
        <f>Données!B146</f>
        <v>Saint-Prex</v>
      </c>
      <c r="C146" s="579">
        <f>Données!AR146</f>
        <v>1</v>
      </c>
      <c r="D146" s="252">
        <f>Données!Z146</f>
        <v>5868</v>
      </c>
      <c r="E146" s="99">
        <f>Données!X146</f>
        <v>59</v>
      </c>
      <c r="F146" s="30">
        <f>VPI!L146</f>
        <v>25604773.530000005</v>
      </c>
      <c r="G146" s="7">
        <f t="shared" si="10"/>
        <v>867958.42474576284</v>
      </c>
      <c r="H146" s="25">
        <f t="shared" si="11"/>
        <v>540453.52771804074</v>
      </c>
      <c r="I146" s="7">
        <f t="shared" si="12"/>
        <v>0</v>
      </c>
      <c r="J146" s="7">
        <f>VPI!R146</f>
        <v>465798.68426553684</v>
      </c>
      <c r="K146" s="158">
        <f t="shared" si="13"/>
        <v>523403.65024074691</v>
      </c>
      <c r="L146" s="242">
        <f t="shared" si="14"/>
        <v>523403.65024074691</v>
      </c>
      <c r="M146" s="100"/>
      <c r="N146" s="101"/>
      <c r="O146" s="98"/>
      <c r="P146" s="98"/>
      <c r="Q146" s="102"/>
    </row>
    <row r="147" spans="1:17" s="97" customFormat="1" x14ac:dyDescent="0.25">
      <c r="A147" s="131">
        <f>Données!A147</f>
        <v>5648</v>
      </c>
      <c r="B147" s="251" t="str">
        <f>Données!B147</f>
        <v>Saint-Sulpice</v>
      </c>
      <c r="C147" s="579">
        <f>Données!AR147</f>
        <v>1</v>
      </c>
      <c r="D147" s="252">
        <f>Données!Z147</f>
        <v>5157</v>
      </c>
      <c r="E147" s="99">
        <f>Données!X147</f>
        <v>55</v>
      </c>
      <c r="F147" s="30">
        <f>VPI!L147</f>
        <v>21331092.150000002</v>
      </c>
      <c r="G147" s="7">
        <f t="shared" si="10"/>
        <v>775676.07818181824</v>
      </c>
      <c r="H147" s="25">
        <f t="shared" si="11"/>
        <v>474969.12788717385</v>
      </c>
      <c r="I147" s="7">
        <f t="shared" si="12"/>
        <v>0</v>
      </c>
      <c r="J147" s="7">
        <f>VPI!R147</f>
        <v>424880.94159090909</v>
      </c>
      <c r="K147" s="158">
        <f t="shared" si="13"/>
        <v>477425.6417169983</v>
      </c>
      <c r="L147" s="242">
        <f t="shared" si="14"/>
        <v>477425.6417169983</v>
      </c>
      <c r="M147" s="100"/>
      <c r="N147" s="101"/>
      <c r="O147" s="98"/>
      <c r="P147" s="98"/>
      <c r="Q147" s="102"/>
    </row>
    <row r="148" spans="1:17" s="97" customFormat="1" x14ac:dyDescent="0.25">
      <c r="A148" s="131">
        <f>Données!A148</f>
        <v>5649</v>
      </c>
      <c r="B148" s="251" t="str">
        <f>Données!B148</f>
        <v>Tolochenaz</v>
      </c>
      <c r="C148" s="579">
        <f>Données!AR148</f>
        <v>1</v>
      </c>
      <c r="D148" s="252">
        <f>Données!Z148</f>
        <v>1934</v>
      </c>
      <c r="E148" s="99">
        <f>Données!X148</f>
        <v>64</v>
      </c>
      <c r="F148" s="30">
        <f>VPI!L148</f>
        <v>26964675.23</v>
      </c>
      <c r="G148" s="7">
        <f t="shared" si="10"/>
        <v>842646.10093750001</v>
      </c>
      <c r="H148" s="25">
        <f t="shared" si="11"/>
        <v>178124.9356862118</v>
      </c>
      <c r="I148" s="7">
        <f t="shared" si="12"/>
        <v>0</v>
      </c>
      <c r="J148" s="7">
        <f>VPI!R148</f>
        <v>431976.43718750001</v>
      </c>
      <c r="K148" s="158">
        <f t="shared" si="13"/>
        <v>485398.6318111603</v>
      </c>
      <c r="L148" s="242">
        <f t="shared" si="14"/>
        <v>485398.6318111603</v>
      </c>
      <c r="M148" s="100"/>
      <c r="N148" s="101"/>
      <c r="O148" s="98"/>
      <c r="P148" s="98"/>
      <c r="Q148" s="102"/>
    </row>
    <row r="149" spans="1:17" s="97" customFormat="1" x14ac:dyDescent="0.25">
      <c r="A149" s="131">
        <f>Données!A149</f>
        <v>5650</v>
      </c>
      <c r="B149" s="251" t="str">
        <f>Données!B149</f>
        <v>Vaux-sur-Morges</v>
      </c>
      <c r="C149" s="579">
        <f>Données!AR149</f>
        <v>0</v>
      </c>
      <c r="D149" s="252">
        <f>Données!Z149</f>
        <v>185</v>
      </c>
      <c r="E149" s="99">
        <f>Données!X149</f>
        <v>56</v>
      </c>
      <c r="F149" s="30">
        <f>VPI!L149</f>
        <v>6480183.7800000003</v>
      </c>
      <c r="G149" s="7">
        <f t="shared" si="10"/>
        <v>231435.13500000001</v>
      </c>
      <c r="H149" s="25">
        <f t="shared" si="11"/>
        <v>17038.838211969589</v>
      </c>
      <c r="I149" s="7">
        <f t="shared" si="12"/>
        <v>17038.838211969589</v>
      </c>
      <c r="J149" s="7">
        <f>VPI!R149</f>
        <v>116547.05321428573</v>
      </c>
      <c r="K149" s="158">
        <f t="shared" si="13"/>
        <v>130960.33788361869</v>
      </c>
      <c r="L149" s="242">
        <f t="shared" si="14"/>
        <v>147999.17609558828</v>
      </c>
      <c r="M149" s="100"/>
      <c r="N149" s="101"/>
      <c r="O149" s="98"/>
      <c r="P149" s="98"/>
      <c r="Q149" s="102"/>
    </row>
    <row r="150" spans="1:17" s="97" customFormat="1" x14ac:dyDescent="0.25">
      <c r="A150" s="131">
        <f>Données!A150</f>
        <v>5651</v>
      </c>
      <c r="B150" s="251" t="str">
        <f>Données!B150</f>
        <v>Villars-Sainte-Croix</v>
      </c>
      <c r="C150" s="579">
        <f>Données!AR150</f>
        <v>1</v>
      </c>
      <c r="D150" s="252">
        <f>Données!Z150</f>
        <v>955</v>
      </c>
      <c r="E150" s="99">
        <f>Données!X150</f>
        <v>60.5</v>
      </c>
      <c r="F150" s="30">
        <f>VPI!L150</f>
        <v>3355411.47</v>
      </c>
      <c r="G150" s="7">
        <f t="shared" si="10"/>
        <v>110922.69322314051</v>
      </c>
      <c r="H150" s="25">
        <f t="shared" si="11"/>
        <v>87957.245905032192</v>
      </c>
      <c r="I150" s="7">
        <f t="shared" si="12"/>
        <v>0</v>
      </c>
      <c r="J150" s="7">
        <f>VPI!R150</f>
        <v>62685.817685950416</v>
      </c>
      <c r="K150" s="158">
        <f t="shared" si="13"/>
        <v>70438.124673723854</v>
      </c>
      <c r="L150" s="242">
        <f t="shared" si="14"/>
        <v>70438.124673723854</v>
      </c>
      <c r="M150" s="100"/>
      <c r="N150" s="101"/>
      <c r="O150" s="98"/>
      <c r="P150" s="98"/>
      <c r="Q150" s="102"/>
    </row>
    <row r="151" spans="1:17" s="97" customFormat="1" x14ac:dyDescent="0.25">
      <c r="A151" s="131">
        <f>Données!A151</f>
        <v>5652</v>
      </c>
      <c r="B151" s="251" t="str">
        <f>Données!B151</f>
        <v>Villars-sous-Yens</v>
      </c>
      <c r="C151" s="579">
        <f>Données!AR151</f>
        <v>0</v>
      </c>
      <c r="D151" s="252">
        <f>Données!Z151</f>
        <v>602</v>
      </c>
      <c r="E151" s="99">
        <f>Données!X151</f>
        <v>74</v>
      </c>
      <c r="F151" s="30">
        <f>VPI!L151</f>
        <v>1900494.53</v>
      </c>
      <c r="G151" s="7">
        <f t="shared" si="10"/>
        <v>51364.717027027029</v>
      </c>
      <c r="H151" s="25">
        <f t="shared" si="11"/>
        <v>55445.300560030766</v>
      </c>
      <c r="I151" s="7">
        <f t="shared" si="12"/>
        <v>51364.717027027029</v>
      </c>
      <c r="J151" s="7">
        <f>VPI!R151</f>
        <v>27337.435990990991</v>
      </c>
      <c r="K151" s="158">
        <f t="shared" si="13"/>
        <v>30718.235729817203</v>
      </c>
      <c r="L151" s="242">
        <f t="shared" si="14"/>
        <v>82082.952756844228</v>
      </c>
      <c r="M151" s="100"/>
      <c r="N151" s="101"/>
      <c r="O151" s="98"/>
      <c r="P151" s="98"/>
      <c r="Q151" s="102"/>
    </row>
    <row r="152" spans="1:17" s="97" customFormat="1" x14ac:dyDescent="0.25">
      <c r="A152" s="131">
        <f>Données!A152</f>
        <v>5653</v>
      </c>
      <c r="B152" s="251" t="str">
        <f>Données!B152</f>
        <v>Vufflens-le-Château</v>
      </c>
      <c r="C152" s="579">
        <f>Données!AR152</f>
        <v>0</v>
      </c>
      <c r="D152" s="252">
        <f>Données!Z152</f>
        <v>838</v>
      </c>
      <c r="E152" s="99">
        <f>Données!X152</f>
        <v>60.5</v>
      </c>
      <c r="F152" s="30">
        <f>VPI!L152</f>
        <v>4334861.75</v>
      </c>
      <c r="G152" s="7">
        <f t="shared" si="10"/>
        <v>143301.21487603305</v>
      </c>
      <c r="H152" s="25">
        <f t="shared" si="11"/>
        <v>77181.332008813595</v>
      </c>
      <c r="I152" s="7">
        <f t="shared" si="12"/>
        <v>77181.332008813595</v>
      </c>
      <c r="J152" s="7">
        <f>VPI!R152</f>
        <v>76227.69876033059</v>
      </c>
      <c r="K152" s="158">
        <f t="shared" si="13"/>
        <v>85654.719792777702</v>
      </c>
      <c r="L152" s="242">
        <f t="shared" si="14"/>
        <v>162836.0518015913</v>
      </c>
      <c r="M152" s="100"/>
      <c r="N152" s="101"/>
      <c r="O152" s="98"/>
      <c r="P152" s="98"/>
      <c r="Q152" s="102"/>
    </row>
    <row r="153" spans="1:17" s="97" customFormat="1" x14ac:dyDescent="0.25">
      <c r="A153" s="131">
        <f>Données!A153</f>
        <v>5654</v>
      </c>
      <c r="B153" s="251" t="str">
        <f>Données!B153</f>
        <v>Vullierens</v>
      </c>
      <c r="C153" s="579">
        <f>Données!AR153</f>
        <v>0</v>
      </c>
      <c r="D153" s="252">
        <f>Données!Z153</f>
        <v>548</v>
      </c>
      <c r="E153" s="99">
        <f>Données!X153</f>
        <v>76</v>
      </c>
      <c r="F153" s="30">
        <f>VPI!L153</f>
        <v>1632049.3700000003</v>
      </c>
      <c r="G153" s="7">
        <f t="shared" si="10"/>
        <v>42948.667631578959</v>
      </c>
      <c r="H153" s="25">
        <f t="shared" si="11"/>
        <v>50471.801838699103</v>
      </c>
      <c r="I153" s="7">
        <f t="shared" si="12"/>
        <v>42948.667631578959</v>
      </c>
      <c r="J153" s="7">
        <f>VPI!R153</f>
        <v>23074.815394736848</v>
      </c>
      <c r="K153" s="158">
        <f t="shared" si="13"/>
        <v>25928.460114223264</v>
      </c>
      <c r="L153" s="242">
        <f t="shared" si="14"/>
        <v>68877.127745802223</v>
      </c>
      <c r="M153" s="100"/>
      <c r="N153" s="101"/>
      <c r="O153" s="98"/>
      <c r="P153" s="98"/>
      <c r="Q153" s="102"/>
    </row>
    <row r="154" spans="1:17" s="97" customFormat="1" x14ac:dyDescent="0.25">
      <c r="A154" s="131">
        <f>Données!A154</f>
        <v>5655</v>
      </c>
      <c r="B154" s="251" t="str">
        <f>Données!B154</f>
        <v>Yens</v>
      </c>
      <c r="C154" s="579">
        <f>Données!AR154</f>
        <v>0</v>
      </c>
      <c r="D154" s="252">
        <f>Données!Z154</f>
        <v>1502</v>
      </c>
      <c r="E154" s="99">
        <f>Données!X154</f>
        <v>70</v>
      </c>
      <c r="F154" s="30">
        <f>VPI!L154</f>
        <v>6540613.3200000003</v>
      </c>
      <c r="G154" s="7">
        <f t="shared" si="10"/>
        <v>186874.66628571428</v>
      </c>
      <c r="H154" s="25">
        <f t="shared" si="11"/>
        <v>138336.94591555849</v>
      </c>
      <c r="I154" s="7">
        <f t="shared" si="12"/>
        <v>138336.94591555849</v>
      </c>
      <c r="J154" s="7">
        <f>VPI!R154</f>
        <v>99930.986000000004</v>
      </c>
      <c r="K154" s="158">
        <f t="shared" si="13"/>
        <v>112289.37438290403</v>
      </c>
      <c r="L154" s="242">
        <f t="shared" si="14"/>
        <v>250626.32029846252</v>
      </c>
      <c r="M154" s="100"/>
      <c r="N154" s="101"/>
      <c r="O154" s="98"/>
      <c r="P154" s="98"/>
      <c r="Q154" s="102"/>
    </row>
    <row r="155" spans="1:17" s="97" customFormat="1" x14ac:dyDescent="0.25">
      <c r="A155" s="131">
        <f>Données!A155</f>
        <v>5656</v>
      </c>
      <c r="B155" s="251" t="str">
        <f>Données!B155</f>
        <v>Hautemorges</v>
      </c>
      <c r="C155" s="579">
        <f>Données!AR155</f>
        <v>0</v>
      </c>
      <c r="D155" s="252">
        <f>Données!Z155</f>
        <v>4387</v>
      </c>
      <c r="E155" s="99">
        <f>Données!X155</f>
        <v>71</v>
      </c>
      <c r="F155" s="30">
        <f>VPI!L155</f>
        <v>11384625.15</v>
      </c>
      <c r="G155" s="7">
        <f t="shared" si="10"/>
        <v>320693.66619718313</v>
      </c>
      <c r="H155" s="25">
        <f t="shared" si="11"/>
        <v>404050.72019411123</v>
      </c>
      <c r="I155" s="7">
        <f t="shared" si="12"/>
        <v>320693.66619718313</v>
      </c>
      <c r="J155" s="7">
        <f>VPI!R155</f>
        <v>173869.73802816903</v>
      </c>
      <c r="K155" s="158">
        <f t="shared" si="13"/>
        <v>195372.07515697402</v>
      </c>
      <c r="L155" s="242">
        <f t="shared" si="14"/>
        <v>516065.74135415716</v>
      </c>
      <c r="M155" s="100"/>
      <c r="N155" s="101"/>
      <c r="O155" s="98"/>
      <c r="P155" s="98"/>
      <c r="Q155" s="102"/>
    </row>
    <row r="156" spans="1:17" s="97" customFormat="1" x14ac:dyDescent="0.25">
      <c r="A156" s="131">
        <f>Données!A156</f>
        <v>5661</v>
      </c>
      <c r="B156" s="251" t="str">
        <f>Données!B156</f>
        <v>Boulens</v>
      </c>
      <c r="C156" s="579">
        <f>Données!AR156</f>
        <v>0</v>
      </c>
      <c r="D156" s="252">
        <f>Données!Z156</f>
        <v>368</v>
      </c>
      <c r="E156" s="99">
        <f>Données!X156</f>
        <v>71.5</v>
      </c>
      <c r="F156" s="30">
        <f>VPI!L156</f>
        <v>655480.60999999987</v>
      </c>
      <c r="G156" s="7">
        <f t="shared" si="10"/>
        <v>18335.121958041953</v>
      </c>
      <c r="H156" s="25">
        <f t="shared" si="11"/>
        <v>33893.472767593557</v>
      </c>
      <c r="I156" s="7">
        <f t="shared" si="12"/>
        <v>18335.121958041953</v>
      </c>
      <c r="J156" s="7">
        <f>VPI!R156</f>
        <v>10070.839300699299</v>
      </c>
      <c r="K156" s="158">
        <f t="shared" si="13"/>
        <v>11316.292271811339</v>
      </c>
      <c r="L156" s="242">
        <f t="shared" si="14"/>
        <v>29651.41422985329</v>
      </c>
      <c r="M156" s="100"/>
      <c r="N156" s="101"/>
      <c r="O156" s="98"/>
      <c r="P156" s="98"/>
      <c r="Q156" s="102"/>
    </row>
    <row r="157" spans="1:17" s="97" customFormat="1" x14ac:dyDescent="0.25">
      <c r="A157" s="131">
        <f>Données!A157</f>
        <v>5663</v>
      </c>
      <c r="B157" s="251" t="str">
        <f>Données!B157</f>
        <v>Bussy-sur-Moudon</v>
      </c>
      <c r="C157" s="579">
        <f>Données!AR157</f>
        <v>0</v>
      </c>
      <c r="D157" s="252">
        <f>Données!Z157</f>
        <v>262</v>
      </c>
      <c r="E157" s="99">
        <f>Données!X157</f>
        <v>78.5</v>
      </c>
      <c r="F157" s="30">
        <f>VPI!L157</f>
        <v>418997.80000000005</v>
      </c>
      <c r="G157" s="7">
        <f t="shared" si="10"/>
        <v>10675.103184713376</v>
      </c>
      <c r="H157" s="25">
        <f t="shared" si="11"/>
        <v>24130.678981275847</v>
      </c>
      <c r="I157" s="7">
        <f t="shared" si="12"/>
        <v>10675.103184713376</v>
      </c>
      <c r="J157" s="7">
        <f>VPI!R157</f>
        <v>5846.5050955414026</v>
      </c>
      <c r="K157" s="158">
        <f t="shared" si="13"/>
        <v>6569.5378959315449</v>
      </c>
      <c r="L157" s="242">
        <f t="shared" si="14"/>
        <v>17244.64108064492</v>
      </c>
      <c r="M157" s="100"/>
      <c r="N157" s="101"/>
      <c r="O157" s="98"/>
      <c r="P157" s="98"/>
      <c r="Q157" s="102"/>
    </row>
    <row r="158" spans="1:17" s="97" customFormat="1" x14ac:dyDescent="0.25">
      <c r="A158" s="131">
        <f>Données!A158</f>
        <v>5665</v>
      </c>
      <c r="B158" s="251" t="str">
        <f>Données!B158</f>
        <v>Chavannes-sur-Moudon</v>
      </c>
      <c r="C158" s="579">
        <f>Données!AR158</f>
        <v>0</v>
      </c>
      <c r="D158" s="252">
        <f>Données!Z158</f>
        <v>229</v>
      </c>
      <c r="E158" s="99">
        <f>Données!X158</f>
        <v>70</v>
      </c>
      <c r="F158" s="30">
        <f>VPI!L158</f>
        <v>427785.28</v>
      </c>
      <c r="G158" s="7">
        <f t="shared" si="10"/>
        <v>12222.436571428572</v>
      </c>
      <c r="H158" s="25">
        <f t="shared" si="11"/>
        <v>21091.318651573165</v>
      </c>
      <c r="I158" s="7">
        <f t="shared" si="12"/>
        <v>12222.436571428572</v>
      </c>
      <c r="J158" s="7">
        <f>VPI!R158</f>
        <v>6553.0082857142861</v>
      </c>
      <c r="K158" s="158">
        <f t="shared" si="13"/>
        <v>7363.4137936840098</v>
      </c>
      <c r="L158" s="242">
        <f t="shared" si="14"/>
        <v>19585.850365112583</v>
      </c>
      <c r="M158" s="100"/>
      <c r="N158" s="101"/>
      <c r="O158" s="98"/>
      <c r="P158" s="98"/>
      <c r="Q158" s="102"/>
    </row>
    <row r="159" spans="1:17" s="97" customFormat="1" x14ac:dyDescent="0.25">
      <c r="A159" s="131">
        <f>Données!A159</f>
        <v>5669</v>
      </c>
      <c r="B159" s="251" t="str">
        <f>Données!B159</f>
        <v>Curtilles</v>
      </c>
      <c r="C159" s="579">
        <f>Données!AR159</f>
        <v>0</v>
      </c>
      <c r="D159" s="252">
        <f>Données!Z159</f>
        <v>308</v>
      </c>
      <c r="E159" s="99">
        <f>Données!X159</f>
        <v>73</v>
      </c>
      <c r="F159" s="30">
        <f>VPI!L159</f>
        <v>649197.79</v>
      </c>
      <c r="G159" s="7">
        <f t="shared" si="10"/>
        <v>17786.240821917811</v>
      </c>
      <c r="H159" s="25">
        <f t="shared" si="11"/>
        <v>28367.363077225044</v>
      </c>
      <c r="I159" s="7">
        <f t="shared" si="12"/>
        <v>17786.240821917811</v>
      </c>
      <c r="J159" s="7">
        <f>VPI!R159</f>
        <v>9589.3382191780838</v>
      </c>
      <c r="K159" s="158">
        <f t="shared" si="13"/>
        <v>10775.244320891401</v>
      </c>
      <c r="L159" s="242">
        <f t="shared" si="14"/>
        <v>28561.485142809212</v>
      </c>
      <c r="M159" s="100"/>
      <c r="N159" s="101"/>
      <c r="O159" s="98"/>
      <c r="P159" s="98"/>
      <c r="Q159" s="102"/>
    </row>
    <row r="160" spans="1:17" s="97" customFormat="1" x14ac:dyDescent="0.25">
      <c r="A160" s="131">
        <f>Données!A160</f>
        <v>5671</v>
      </c>
      <c r="B160" s="251" t="str">
        <f>Données!B160</f>
        <v>Dompierre</v>
      </c>
      <c r="C160" s="579">
        <f>Données!AR160</f>
        <v>0</v>
      </c>
      <c r="D160" s="252">
        <f>Données!Z160</f>
        <v>240</v>
      </c>
      <c r="E160" s="99">
        <f>Données!X160</f>
        <v>78</v>
      </c>
      <c r="F160" s="30">
        <f>VPI!L160</f>
        <v>433622.47</v>
      </c>
      <c r="G160" s="7">
        <f t="shared" si="10"/>
        <v>11118.524871794871</v>
      </c>
      <c r="H160" s="25">
        <f t="shared" si="11"/>
        <v>22104.438761474059</v>
      </c>
      <c r="I160" s="7">
        <f t="shared" si="12"/>
        <v>11118.524871794871</v>
      </c>
      <c r="J160" s="7">
        <f>VPI!R160</f>
        <v>6077.1303846153842</v>
      </c>
      <c r="K160" s="158">
        <f t="shared" si="13"/>
        <v>6828.6844375957471</v>
      </c>
      <c r="L160" s="242">
        <f t="shared" si="14"/>
        <v>17947.209309390619</v>
      </c>
      <c r="M160" s="100"/>
      <c r="N160" s="101"/>
      <c r="O160" s="98"/>
      <c r="P160" s="98"/>
      <c r="Q160" s="102"/>
    </row>
    <row r="161" spans="1:17" s="97" customFormat="1" x14ac:dyDescent="0.25">
      <c r="A161" s="131">
        <f>Données!A161</f>
        <v>5673</v>
      </c>
      <c r="B161" s="251" t="str">
        <f>Données!B161</f>
        <v>Hermenches</v>
      </c>
      <c r="C161" s="579">
        <f>Données!AR161</f>
        <v>0</v>
      </c>
      <c r="D161" s="252">
        <f>Données!Z161</f>
        <v>373</v>
      </c>
      <c r="E161" s="99">
        <f>Données!X161</f>
        <v>73.5</v>
      </c>
      <c r="F161" s="30">
        <f>VPI!L161</f>
        <v>683865.92</v>
      </c>
      <c r="G161" s="7">
        <f t="shared" si="10"/>
        <v>18608.596462585036</v>
      </c>
      <c r="H161" s="25">
        <f t="shared" si="11"/>
        <v>34353.981908457601</v>
      </c>
      <c r="I161" s="7">
        <f t="shared" si="12"/>
        <v>18608.596462585036</v>
      </c>
      <c r="J161" s="7">
        <f>VPI!R161</f>
        <v>10021.842448979593</v>
      </c>
      <c r="K161" s="158">
        <f t="shared" si="13"/>
        <v>11261.236017024283</v>
      </c>
      <c r="L161" s="242">
        <f t="shared" si="14"/>
        <v>29869.832479609318</v>
      </c>
      <c r="M161" s="100"/>
      <c r="N161" s="101"/>
      <c r="O161" s="98"/>
      <c r="P161" s="98"/>
      <c r="Q161" s="102"/>
    </row>
    <row r="162" spans="1:17" s="97" customFormat="1" x14ac:dyDescent="0.25">
      <c r="A162" s="131">
        <f>Données!A162</f>
        <v>5674</v>
      </c>
      <c r="B162" s="251" t="str">
        <f>Données!B162</f>
        <v>Lovatens</v>
      </c>
      <c r="C162" s="579">
        <f>Données!AR162</f>
        <v>0</v>
      </c>
      <c r="D162" s="252">
        <f>Données!Z162</f>
        <v>146</v>
      </c>
      <c r="E162" s="99">
        <f>Données!X162</f>
        <v>75</v>
      </c>
      <c r="F162" s="30">
        <f>VPI!L162</f>
        <v>291218.51999999996</v>
      </c>
      <c r="G162" s="7">
        <f t="shared" si="10"/>
        <v>7765.8271999999988</v>
      </c>
      <c r="H162" s="25">
        <f t="shared" si="11"/>
        <v>13446.866913230053</v>
      </c>
      <c r="I162" s="7">
        <f t="shared" si="12"/>
        <v>7765.8271999999988</v>
      </c>
      <c r="J162" s="7">
        <f>VPI!R162</f>
        <v>4190.698742857142</v>
      </c>
      <c r="K162" s="158">
        <f t="shared" si="13"/>
        <v>4708.9592417576159</v>
      </c>
      <c r="L162" s="242">
        <f t="shared" si="14"/>
        <v>12474.786441757615</v>
      </c>
      <c r="M162" s="100"/>
      <c r="N162" s="101"/>
      <c r="O162" s="98"/>
      <c r="P162" s="98"/>
      <c r="Q162" s="102"/>
    </row>
    <row r="163" spans="1:17" s="97" customFormat="1" x14ac:dyDescent="0.25">
      <c r="A163" s="131">
        <f>Données!A163</f>
        <v>5675</v>
      </c>
      <c r="B163" s="251" t="str">
        <f>Données!B163</f>
        <v>Lucens</v>
      </c>
      <c r="C163" s="579">
        <f>Données!AR163</f>
        <v>0</v>
      </c>
      <c r="D163" s="252">
        <f>Données!Z163</f>
        <v>4734</v>
      </c>
      <c r="E163" s="99">
        <f>Données!X163</f>
        <v>69.5</v>
      </c>
      <c r="F163" s="30">
        <f>VPI!L163</f>
        <v>5884652.4000000004</v>
      </c>
      <c r="G163" s="7">
        <f t="shared" si="10"/>
        <v>169342.51510791367</v>
      </c>
      <c r="H163" s="144">
        <f t="shared" si="11"/>
        <v>436010.05457007582</v>
      </c>
      <c r="I163" s="7">
        <f t="shared" si="12"/>
        <v>169342.51510791367</v>
      </c>
      <c r="J163" s="7">
        <f>VPI!R163</f>
        <v>96219.295291039889</v>
      </c>
      <c r="K163" s="158">
        <f t="shared" si="13"/>
        <v>108118.66173115488</v>
      </c>
      <c r="L163" s="242">
        <f t="shared" si="14"/>
        <v>277461.17683906853</v>
      </c>
      <c r="M163" s="100"/>
      <c r="N163" s="101"/>
      <c r="O163" s="98"/>
      <c r="P163" s="98"/>
      <c r="Q163" s="102"/>
    </row>
    <row r="164" spans="1:17" s="97" customFormat="1" x14ac:dyDescent="0.25">
      <c r="A164" s="131">
        <f>Données!A164</f>
        <v>5678</v>
      </c>
      <c r="B164" s="251" t="str">
        <f>Données!B164</f>
        <v>Moudon</v>
      </c>
      <c r="C164" s="579">
        <f>Données!AR164</f>
        <v>0</v>
      </c>
      <c r="D164" s="252">
        <f>Données!Z164</f>
        <v>6651</v>
      </c>
      <c r="E164" s="99">
        <f>Données!X164</f>
        <v>72.5</v>
      </c>
      <c r="F164" s="30">
        <f>VPI!L164</f>
        <v>9390635.9800000004</v>
      </c>
      <c r="G164" s="7">
        <f t="shared" si="10"/>
        <v>259052.02703448277</v>
      </c>
      <c r="H164" s="25">
        <f t="shared" si="11"/>
        <v>612569.25917734986</v>
      </c>
      <c r="I164" s="7">
        <f t="shared" si="12"/>
        <v>259052.02703448277</v>
      </c>
      <c r="J164" s="7">
        <f>VPI!R164</f>
        <v>144507.28937931036</v>
      </c>
      <c r="K164" s="158">
        <f t="shared" si="13"/>
        <v>162378.39500725063</v>
      </c>
      <c r="L164" s="242">
        <f t="shared" si="14"/>
        <v>421430.4220417334</v>
      </c>
      <c r="M164" s="100"/>
      <c r="N164" s="101"/>
      <c r="O164" s="98"/>
      <c r="P164" s="98"/>
      <c r="Q164" s="102"/>
    </row>
    <row r="165" spans="1:17" s="97" customFormat="1" x14ac:dyDescent="0.25">
      <c r="A165" s="131">
        <f>Données!A165</f>
        <v>5680</v>
      </c>
      <c r="B165" s="251" t="str">
        <f>Données!B165</f>
        <v>Ogens</v>
      </c>
      <c r="C165" s="579">
        <f>Données!AR165</f>
        <v>0</v>
      </c>
      <c r="D165" s="252">
        <f>Données!Z165</f>
        <v>341</v>
      </c>
      <c r="E165" s="99">
        <f>Données!X165</f>
        <v>78</v>
      </c>
      <c r="F165" s="30">
        <f>VPI!L165</f>
        <v>641766.10000000009</v>
      </c>
      <c r="G165" s="7">
        <f t="shared" si="10"/>
        <v>16455.541025641029</v>
      </c>
      <c r="H165" s="25">
        <f t="shared" si="11"/>
        <v>31406.723406927726</v>
      </c>
      <c r="I165" s="7">
        <f t="shared" si="12"/>
        <v>16455.541025641029</v>
      </c>
      <c r="J165" s="7">
        <f>VPI!R165</f>
        <v>9088.9604700854707</v>
      </c>
      <c r="K165" s="158">
        <f t="shared" si="13"/>
        <v>10212.985239401549</v>
      </c>
      <c r="L165" s="242">
        <f t="shared" si="14"/>
        <v>26668.526265042579</v>
      </c>
      <c r="M165" s="100"/>
      <c r="N165" s="101"/>
      <c r="O165" s="98"/>
      <c r="P165" s="98"/>
      <c r="Q165" s="102"/>
    </row>
    <row r="166" spans="1:17" s="97" customFormat="1" x14ac:dyDescent="0.25">
      <c r="A166" s="131">
        <f>Données!A166</f>
        <v>5683</v>
      </c>
      <c r="B166" s="251" t="str">
        <f>Données!B166</f>
        <v>Prévonloup</v>
      </c>
      <c r="C166" s="579">
        <f>Données!AR166</f>
        <v>0</v>
      </c>
      <c r="D166" s="252">
        <f>Données!Z166</f>
        <v>231</v>
      </c>
      <c r="E166" s="99">
        <f>Données!X166</f>
        <v>72.5</v>
      </c>
      <c r="F166" s="30">
        <f>VPI!L166</f>
        <v>208882.23000000004</v>
      </c>
      <c r="G166" s="7">
        <f t="shared" si="10"/>
        <v>5762.2684137931046</v>
      </c>
      <c r="H166" s="25">
        <f t="shared" si="11"/>
        <v>21275.522307918782</v>
      </c>
      <c r="I166" s="7">
        <f t="shared" si="12"/>
        <v>5762.2684137931046</v>
      </c>
      <c r="J166" s="7">
        <f>VPI!R166</f>
        <v>3390.948689655173</v>
      </c>
      <c r="K166" s="158">
        <f t="shared" si="13"/>
        <v>3810.3047129536735</v>
      </c>
      <c r="L166" s="242">
        <f t="shared" si="14"/>
        <v>9572.5731267467781</v>
      </c>
      <c r="M166" s="100"/>
      <c r="N166" s="101"/>
      <c r="O166" s="98"/>
      <c r="P166" s="98"/>
      <c r="Q166" s="102"/>
    </row>
    <row r="167" spans="1:17" s="97" customFormat="1" x14ac:dyDescent="0.25">
      <c r="A167" s="131">
        <f>Données!A167</f>
        <v>5684</v>
      </c>
      <c r="B167" s="251" t="str">
        <f>Données!B167</f>
        <v>Rossenges</v>
      </c>
      <c r="C167" s="579">
        <f>Données!AR167</f>
        <v>0</v>
      </c>
      <c r="D167" s="252">
        <f>Données!Z167</f>
        <v>90</v>
      </c>
      <c r="E167" s="99">
        <f>Données!X167</f>
        <v>65</v>
      </c>
      <c r="F167" s="30">
        <f>VPI!L167</f>
        <v>642690.78999999992</v>
      </c>
      <c r="G167" s="7">
        <f t="shared" si="10"/>
        <v>19775.101230769229</v>
      </c>
      <c r="H167" s="25">
        <f t="shared" si="11"/>
        <v>8289.1645355527726</v>
      </c>
      <c r="I167" s="7">
        <f t="shared" si="12"/>
        <v>8289.1645355527726</v>
      </c>
      <c r="J167" s="7">
        <f>VPI!R167</f>
        <v>10097.406384615384</v>
      </c>
      <c r="K167" s="158">
        <f t="shared" si="13"/>
        <v>11346.144886616072</v>
      </c>
      <c r="L167" s="242">
        <f t="shared" si="14"/>
        <v>19635.309422168844</v>
      </c>
      <c r="M167" s="100"/>
      <c r="N167" s="101"/>
      <c r="O167" s="98"/>
      <c r="P167" s="98"/>
      <c r="Q167" s="102"/>
    </row>
    <row r="168" spans="1:17" s="97" customFormat="1" x14ac:dyDescent="0.25">
      <c r="A168" s="131">
        <f>Données!A168</f>
        <v>5688</v>
      </c>
      <c r="B168" s="251" t="str">
        <f>Données!B168</f>
        <v>Syens</v>
      </c>
      <c r="C168" s="579">
        <f>Données!AR168</f>
        <v>0</v>
      </c>
      <c r="D168" s="252">
        <f>Données!Z168</f>
        <v>151</v>
      </c>
      <c r="E168" s="99">
        <f>Données!X168</f>
        <v>65</v>
      </c>
      <c r="F168" s="30">
        <f>VPI!L168</f>
        <v>309604.67000000004</v>
      </c>
      <c r="G168" s="7">
        <f t="shared" si="10"/>
        <v>9526.2975384615402</v>
      </c>
      <c r="H168" s="25">
        <f t="shared" si="11"/>
        <v>13907.376054094097</v>
      </c>
      <c r="I168" s="7">
        <f t="shared" si="12"/>
        <v>9526.2975384615402</v>
      </c>
      <c r="J168" s="7">
        <f>VPI!R168</f>
        <v>5159.2410769230773</v>
      </c>
      <c r="K168" s="158">
        <f t="shared" si="13"/>
        <v>5797.2804633216811</v>
      </c>
      <c r="L168" s="242">
        <f t="shared" si="14"/>
        <v>15323.578001783222</v>
      </c>
      <c r="M168" s="100"/>
      <c r="N168" s="101"/>
      <c r="O168" s="98"/>
      <c r="P168" s="98"/>
      <c r="Q168" s="102"/>
    </row>
    <row r="169" spans="1:17" s="97" customFormat="1" x14ac:dyDescent="0.25">
      <c r="A169" s="131">
        <f>Données!A169</f>
        <v>5690</v>
      </c>
      <c r="B169" s="251" t="str">
        <f>Données!B169</f>
        <v>Villars-le-Comte</v>
      </c>
      <c r="C169" s="579">
        <f>Données!AR169</f>
        <v>0</v>
      </c>
      <c r="D169" s="252">
        <f>Données!Z169</f>
        <v>132</v>
      </c>
      <c r="E169" s="99">
        <f>Données!X169</f>
        <v>68</v>
      </c>
      <c r="F169" s="30">
        <f>VPI!L169</f>
        <v>263939.85000000003</v>
      </c>
      <c r="G169" s="7">
        <f t="shared" si="10"/>
        <v>7762.9367647058834</v>
      </c>
      <c r="H169" s="25">
        <f t="shared" si="11"/>
        <v>12157.441318810732</v>
      </c>
      <c r="I169" s="7">
        <f t="shared" si="12"/>
        <v>7762.9367647058834</v>
      </c>
      <c r="J169" s="7">
        <f>VPI!R169</f>
        <v>4239.3419117647063</v>
      </c>
      <c r="K169" s="158">
        <f t="shared" si="13"/>
        <v>4763.6180740504578</v>
      </c>
      <c r="L169" s="242">
        <f t="shared" si="14"/>
        <v>12526.554838756341</v>
      </c>
      <c r="M169" s="100"/>
      <c r="N169" s="101"/>
      <c r="O169" s="98"/>
      <c r="P169" s="98"/>
      <c r="Q169" s="102"/>
    </row>
    <row r="170" spans="1:17" s="97" customFormat="1" x14ac:dyDescent="0.25">
      <c r="A170" s="131">
        <f>Données!A170</f>
        <v>5692</v>
      </c>
      <c r="B170" s="251" t="str">
        <f>Données!B170</f>
        <v>Vucherens</v>
      </c>
      <c r="C170" s="579">
        <f>Données!AR170</f>
        <v>0</v>
      </c>
      <c r="D170" s="252">
        <f>Données!Z170</f>
        <v>622</v>
      </c>
      <c r="E170" s="99">
        <f>Données!X170</f>
        <v>75</v>
      </c>
      <c r="F170" s="30">
        <f>VPI!L170</f>
        <v>1342477.2899999998</v>
      </c>
      <c r="G170" s="7">
        <f t="shared" si="10"/>
        <v>35799.394399999997</v>
      </c>
      <c r="H170" s="25">
        <f t="shared" si="11"/>
        <v>57287.337123486941</v>
      </c>
      <c r="I170" s="7">
        <f t="shared" si="12"/>
        <v>35799.394399999997</v>
      </c>
      <c r="J170" s="7">
        <f>VPI!R170</f>
        <v>19521.023866666663</v>
      </c>
      <c r="K170" s="158">
        <f t="shared" si="13"/>
        <v>21935.173913942348</v>
      </c>
      <c r="L170" s="242">
        <f t="shared" si="14"/>
        <v>57734.568313942349</v>
      </c>
      <c r="M170" s="100"/>
      <c r="N170" s="101"/>
      <c r="O170" s="98"/>
      <c r="P170" s="98"/>
      <c r="Q170" s="102"/>
    </row>
    <row r="171" spans="1:17" s="97" customFormat="1" x14ac:dyDescent="0.25">
      <c r="A171" s="131">
        <f>Données!A171</f>
        <v>5693</v>
      </c>
      <c r="B171" s="251" t="str">
        <f>Données!B171</f>
        <v>Montanaire</v>
      </c>
      <c r="C171" s="579">
        <f>Données!AR171</f>
        <v>0</v>
      </c>
      <c r="D171" s="252">
        <f>Données!Z171</f>
        <v>2861</v>
      </c>
      <c r="E171" s="99">
        <f>Données!X171</f>
        <v>70</v>
      </c>
      <c r="F171" s="30">
        <f>VPI!L171</f>
        <v>4928363.21</v>
      </c>
      <c r="G171" s="7">
        <f t="shared" si="10"/>
        <v>140810.37742857143</v>
      </c>
      <c r="H171" s="25">
        <f t="shared" si="11"/>
        <v>263503.33040240535</v>
      </c>
      <c r="I171" s="7">
        <f t="shared" si="12"/>
        <v>140810.37742857143</v>
      </c>
      <c r="J171" s="7">
        <f>VPI!R171</f>
        <v>77215.400857142857</v>
      </c>
      <c r="K171" s="158">
        <f t="shared" si="13"/>
        <v>86764.570250249744</v>
      </c>
      <c r="L171" s="242">
        <f t="shared" si="14"/>
        <v>227574.94767882116</v>
      </c>
      <c r="M171" s="100"/>
      <c r="N171" s="101"/>
      <c r="O171" s="98"/>
      <c r="P171" s="98"/>
      <c r="Q171" s="102"/>
    </row>
    <row r="172" spans="1:17" s="97" customFormat="1" x14ac:dyDescent="0.25">
      <c r="A172" s="131">
        <f>Données!A172</f>
        <v>5701</v>
      </c>
      <c r="B172" s="251" t="str">
        <f>Données!B172</f>
        <v>Arnex-sur-Nyon</v>
      </c>
      <c r="C172" s="579">
        <f>Données!AR172</f>
        <v>0</v>
      </c>
      <c r="D172" s="252">
        <f>Données!Z172</f>
        <v>267</v>
      </c>
      <c r="E172" s="99">
        <f>Données!X172</f>
        <v>68</v>
      </c>
      <c r="F172" s="30">
        <f>VPI!L172</f>
        <v>1445139.4699999997</v>
      </c>
      <c r="G172" s="7">
        <f t="shared" si="10"/>
        <v>42504.102058823519</v>
      </c>
      <c r="H172" s="25">
        <f t="shared" si="11"/>
        <v>24591.188122139891</v>
      </c>
      <c r="I172" s="7">
        <f t="shared" si="12"/>
        <v>24591.188122139891</v>
      </c>
      <c r="J172" s="7">
        <f>VPI!R172</f>
        <v>22528.026764705879</v>
      </c>
      <c r="K172" s="158">
        <f t="shared" si="13"/>
        <v>25314.050553750574</v>
      </c>
      <c r="L172" s="242">
        <f t="shared" si="14"/>
        <v>49905.238675890461</v>
      </c>
      <c r="M172" s="100"/>
      <c r="N172" s="101"/>
      <c r="O172" s="98"/>
      <c r="P172" s="98"/>
      <c r="Q172" s="102"/>
    </row>
    <row r="173" spans="1:17" s="97" customFormat="1" x14ac:dyDescent="0.25">
      <c r="A173" s="131">
        <f>Données!A173</f>
        <v>5702</v>
      </c>
      <c r="B173" s="251" t="str">
        <f>Données!B173</f>
        <v>Arzier-Le Muids</v>
      </c>
      <c r="C173" s="579">
        <f>Données!AR173</f>
        <v>0</v>
      </c>
      <c r="D173" s="252">
        <f>Données!Z173</f>
        <v>2968</v>
      </c>
      <c r="E173" s="99">
        <f>Données!X173</f>
        <v>64</v>
      </c>
      <c r="F173" s="30">
        <f>VPI!L173</f>
        <v>11171649.100000001</v>
      </c>
      <c r="G173" s="7">
        <f t="shared" si="10"/>
        <v>349114.03437500005</v>
      </c>
      <c r="H173" s="25">
        <f t="shared" si="11"/>
        <v>273358.22601689585</v>
      </c>
      <c r="I173" s="7">
        <f t="shared" si="12"/>
        <v>273358.22601689585</v>
      </c>
      <c r="J173" s="7">
        <f>VPI!R173</f>
        <v>189129.79401041669</v>
      </c>
      <c r="K173" s="158">
        <f t="shared" si="13"/>
        <v>212519.33055676246</v>
      </c>
      <c r="L173" s="242">
        <f t="shared" si="14"/>
        <v>485877.55657365831</v>
      </c>
      <c r="M173" s="100"/>
      <c r="N173" s="101"/>
      <c r="O173" s="98"/>
      <c r="P173" s="98"/>
      <c r="Q173" s="102"/>
    </row>
    <row r="174" spans="1:17" s="97" customFormat="1" x14ac:dyDescent="0.25">
      <c r="A174" s="131">
        <f>Données!A174</f>
        <v>5703</v>
      </c>
      <c r="B174" s="251" t="str">
        <f>Données!B174</f>
        <v>Bassins</v>
      </c>
      <c r="C174" s="579">
        <f>Données!AR174</f>
        <v>0</v>
      </c>
      <c r="D174" s="252">
        <f>Données!Z174</f>
        <v>1484</v>
      </c>
      <c r="E174" s="99">
        <f>Données!X174</f>
        <v>72.5</v>
      </c>
      <c r="F174" s="30">
        <f>VPI!L174</f>
        <v>4703051.2599999988</v>
      </c>
      <c r="G174" s="7">
        <f t="shared" si="10"/>
        <v>129739.34510344824</v>
      </c>
      <c r="H174" s="25">
        <f t="shared" si="11"/>
        <v>136679.11300844792</v>
      </c>
      <c r="I174" s="7">
        <f t="shared" si="12"/>
        <v>129739.34510344824</v>
      </c>
      <c r="J174" s="7">
        <f>VPI!R174</f>
        <v>69884.65087684727</v>
      </c>
      <c r="K174" s="158">
        <f t="shared" si="13"/>
        <v>78527.232043210766</v>
      </c>
      <c r="L174" s="242">
        <f t="shared" si="14"/>
        <v>208266.57714665902</v>
      </c>
      <c r="M174" s="100"/>
      <c r="N174" s="101"/>
      <c r="O174" s="98"/>
      <c r="P174" s="98"/>
      <c r="Q174" s="102"/>
    </row>
    <row r="175" spans="1:17" s="97" customFormat="1" x14ac:dyDescent="0.25">
      <c r="A175" s="131">
        <f>Données!A175</f>
        <v>5704</v>
      </c>
      <c r="B175" s="251" t="str">
        <f>Données!B175</f>
        <v>Begnins</v>
      </c>
      <c r="C175" s="579">
        <f>Données!AR175</f>
        <v>0</v>
      </c>
      <c r="D175" s="252">
        <f>Données!Z175</f>
        <v>2041</v>
      </c>
      <c r="E175" s="99">
        <f>Données!X175</f>
        <v>62.5</v>
      </c>
      <c r="F175" s="30">
        <f>VPI!L175</f>
        <v>8872859.910000002</v>
      </c>
      <c r="G175" s="7">
        <f t="shared" si="10"/>
        <v>283931.51712000009</v>
      </c>
      <c r="H175" s="25">
        <f t="shared" si="11"/>
        <v>187979.83130070232</v>
      </c>
      <c r="I175" s="7">
        <f t="shared" si="12"/>
        <v>187979.83130070232</v>
      </c>
      <c r="J175" s="7">
        <f>VPI!R175</f>
        <v>151723.65322666671</v>
      </c>
      <c r="K175" s="158">
        <f t="shared" si="13"/>
        <v>170487.20103603383</v>
      </c>
      <c r="L175" s="242">
        <f t="shared" si="14"/>
        <v>358467.03233673616</v>
      </c>
      <c r="M175" s="100"/>
      <c r="N175" s="101"/>
      <c r="O175" s="98"/>
      <c r="P175" s="98"/>
      <c r="Q175" s="102"/>
    </row>
    <row r="176" spans="1:17" s="97" customFormat="1" x14ac:dyDescent="0.25">
      <c r="A176" s="131">
        <f>Données!A176</f>
        <v>5705</v>
      </c>
      <c r="B176" s="251" t="str">
        <f>Données!B176</f>
        <v>Bogis-Bossey</v>
      </c>
      <c r="C176" s="579">
        <f>Données!AR176</f>
        <v>0</v>
      </c>
      <c r="D176" s="252">
        <f>Données!Z176</f>
        <v>990</v>
      </c>
      <c r="E176" s="99">
        <f>Données!X176</f>
        <v>71</v>
      </c>
      <c r="F176" s="30">
        <f>VPI!L176</f>
        <v>4016092.17</v>
      </c>
      <c r="G176" s="7">
        <f t="shared" si="10"/>
        <v>113129.35690140845</v>
      </c>
      <c r="H176" s="25">
        <f t="shared" si="11"/>
        <v>91180.809891080498</v>
      </c>
      <c r="I176" s="7">
        <f t="shared" si="12"/>
        <v>91180.809891080498</v>
      </c>
      <c r="J176" s="7">
        <f>VPI!R176</f>
        <v>60210.898873239443</v>
      </c>
      <c r="K176" s="158">
        <f t="shared" si="13"/>
        <v>67657.134549921873</v>
      </c>
      <c r="L176" s="242">
        <f t="shared" si="14"/>
        <v>158837.94444100239</v>
      </c>
      <c r="M176" s="100"/>
      <c r="N176" s="101"/>
      <c r="O176" s="98"/>
      <c r="P176" s="98"/>
      <c r="Q176" s="102"/>
    </row>
    <row r="177" spans="1:17" s="97" customFormat="1" x14ac:dyDescent="0.25">
      <c r="A177" s="131">
        <f>Données!A177</f>
        <v>5706</v>
      </c>
      <c r="B177" s="251" t="str">
        <f>Données!B177</f>
        <v>Borex</v>
      </c>
      <c r="C177" s="579">
        <f>Données!AR177</f>
        <v>0</v>
      </c>
      <c r="D177" s="252">
        <f>Données!Z177</f>
        <v>1144</v>
      </c>
      <c r="E177" s="99">
        <f>Données!X177</f>
        <v>57</v>
      </c>
      <c r="F177" s="30">
        <f>VPI!L177</f>
        <v>3628585.68</v>
      </c>
      <c r="G177" s="7">
        <f t="shared" si="10"/>
        <v>127318.79578947369</v>
      </c>
      <c r="H177" s="25">
        <f t="shared" si="11"/>
        <v>105364.49142969302</v>
      </c>
      <c r="I177" s="7">
        <f t="shared" si="12"/>
        <v>105364.49142969302</v>
      </c>
      <c r="J177" s="7">
        <f>VPI!R177</f>
        <v>69165.019824561401</v>
      </c>
      <c r="K177" s="158">
        <f t="shared" si="13"/>
        <v>77718.604770708</v>
      </c>
      <c r="L177" s="242">
        <f t="shared" si="14"/>
        <v>183083.09620040102</v>
      </c>
      <c r="M177" s="100"/>
      <c r="N177" s="101"/>
      <c r="O177" s="98"/>
      <c r="P177" s="98"/>
      <c r="Q177" s="102"/>
    </row>
    <row r="178" spans="1:17" s="97" customFormat="1" x14ac:dyDescent="0.25">
      <c r="A178" s="131">
        <f>Données!A178</f>
        <v>5707</v>
      </c>
      <c r="B178" s="251" t="str">
        <f>Données!B178</f>
        <v>Chavannes-de-Bogis</v>
      </c>
      <c r="C178" s="579">
        <f>Données!AR178</f>
        <v>0</v>
      </c>
      <c r="D178" s="252">
        <f>Données!Z178</f>
        <v>1388</v>
      </c>
      <c r="E178" s="99">
        <f>Données!X178</f>
        <v>58</v>
      </c>
      <c r="F178" s="30">
        <f>VPI!L178</f>
        <v>5226286.5799999991</v>
      </c>
      <c r="G178" s="7">
        <f t="shared" si="10"/>
        <v>180216.77862068961</v>
      </c>
      <c r="H178" s="25">
        <f t="shared" si="11"/>
        <v>127837.3375038583</v>
      </c>
      <c r="I178" s="7">
        <f t="shared" si="12"/>
        <v>127837.3375038583</v>
      </c>
      <c r="J178" s="7">
        <f>VPI!R178</f>
        <v>100327.22695402298</v>
      </c>
      <c r="K178" s="158">
        <f t="shared" si="13"/>
        <v>112734.61815175992</v>
      </c>
      <c r="L178" s="242">
        <f t="shared" si="14"/>
        <v>240571.95565561822</v>
      </c>
      <c r="M178" s="100"/>
      <c r="N178" s="101"/>
      <c r="O178" s="98"/>
      <c r="P178" s="98"/>
      <c r="Q178" s="102"/>
    </row>
    <row r="179" spans="1:17" s="97" customFormat="1" x14ac:dyDescent="0.25">
      <c r="A179" s="131">
        <f>Données!A179</f>
        <v>5708</v>
      </c>
      <c r="B179" s="251" t="str">
        <f>Données!B179</f>
        <v>Chavannes-des-Bois</v>
      </c>
      <c r="C179" s="579">
        <f>Données!AR179</f>
        <v>0</v>
      </c>
      <c r="D179" s="252">
        <f>Données!Z179</f>
        <v>982</v>
      </c>
      <c r="E179" s="99">
        <f>Données!X179</f>
        <v>68</v>
      </c>
      <c r="F179" s="30">
        <f>VPI!L179</f>
        <v>4464494.9399999995</v>
      </c>
      <c r="G179" s="7">
        <f t="shared" si="10"/>
        <v>131308.67470588232</v>
      </c>
      <c r="H179" s="25">
        <f t="shared" si="11"/>
        <v>90443.995265698031</v>
      </c>
      <c r="I179" s="7">
        <f t="shared" si="12"/>
        <v>90443.995265698031</v>
      </c>
      <c r="J179" s="7">
        <f>VPI!R179</f>
        <v>70377.065294117638</v>
      </c>
      <c r="K179" s="158">
        <f t="shared" si="13"/>
        <v>79080.542973740477</v>
      </c>
      <c r="L179" s="242">
        <f t="shared" si="14"/>
        <v>169524.53823943849</v>
      </c>
      <c r="M179" s="100"/>
      <c r="N179" s="101"/>
      <c r="O179" s="98"/>
      <c r="P179" s="98"/>
      <c r="Q179" s="102"/>
    </row>
    <row r="180" spans="1:17" s="97" customFormat="1" x14ac:dyDescent="0.25">
      <c r="A180" s="131">
        <f>Données!A180</f>
        <v>5709</v>
      </c>
      <c r="B180" s="251" t="str">
        <f>Données!B180</f>
        <v>Chéserex</v>
      </c>
      <c r="C180" s="579">
        <f>Données!AR180</f>
        <v>0</v>
      </c>
      <c r="D180" s="252">
        <f>Données!Z180</f>
        <v>1277</v>
      </c>
      <c r="E180" s="99">
        <f>Données!X180</f>
        <v>59</v>
      </c>
      <c r="F180" s="30">
        <f>VPI!L180</f>
        <v>6105786.2199999997</v>
      </c>
      <c r="G180" s="7">
        <f t="shared" si="10"/>
        <v>206975.80406779659</v>
      </c>
      <c r="H180" s="25">
        <f t="shared" si="11"/>
        <v>117614.03457667655</v>
      </c>
      <c r="I180" s="7">
        <f t="shared" si="12"/>
        <v>117614.03457667655</v>
      </c>
      <c r="J180" s="7">
        <f>VPI!R180</f>
        <v>110900.39440677965</v>
      </c>
      <c r="K180" s="158">
        <f t="shared" si="13"/>
        <v>124615.36111286441</v>
      </c>
      <c r="L180" s="242">
        <f t="shared" si="14"/>
        <v>242229.39568954095</v>
      </c>
      <c r="M180" s="100"/>
      <c r="N180" s="101"/>
      <c r="O180" s="98"/>
      <c r="P180" s="98"/>
      <c r="Q180" s="102"/>
    </row>
    <row r="181" spans="1:17" s="97" customFormat="1" x14ac:dyDescent="0.25">
      <c r="A181" s="131">
        <f>Données!A181</f>
        <v>5710</v>
      </c>
      <c r="B181" s="251" t="str">
        <f>Données!B181</f>
        <v>Coinsins</v>
      </c>
      <c r="C181" s="579">
        <f>Données!AR181</f>
        <v>0</v>
      </c>
      <c r="D181" s="252">
        <f>Données!Z181</f>
        <v>517</v>
      </c>
      <c r="E181" s="99">
        <f>Données!X181</f>
        <v>49</v>
      </c>
      <c r="F181" s="30">
        <f>VPI!L181</f>
        <v>1122719.3599999999</v>
      </c>
      <c r="G181" s="7">
        <f t="shared" si="10"/>
        <v>45825.279999999992</v>
      </c>
      <c r="H181" s="25">
        <f t="shared" si="11"/>
        <v>47616.645165342037</v>
      </c>
      <c r="I181" s="7">
        <f t="shared" si="12"/>
        <v>45825.279999999992</v>
      </c>
      <c r="J181" s="7">
        <f>VPI!R181</f>
        <v>25704.31551020408</v>
      </c>
      <c r="K181" s="158">
        <f t="shared" si="13"/>
        <v>28883.148491916141</v>
      </c>
      <c r="L181" s="242">
        <f t="shared" si="14"/>
        <v>74708.428491916129</v>
      </c>
      <c r="M181" s="100"/>
      <c r="N181" s="101"/>
      <c r="O181" s="98"/>
      <c r="P181" s="98"/>
      <c r="Q181" s="102"/>
    </row>
    <row r="182" spans="1:17" s="97" customFormat="1" x14ac:dyDescent="0.25">
      <c r="A182" s="131">
        <f>Données!A182</f>
        <v>5711</v>
      </c>
      <c r="B182" s="251" t="str">
        <f>Données!B182</f>
        <v>Commugny</v>
      </c>
      <c r="C182" s="579">
        <f>Données!AR182</f>
        <v>0</v>
      </c>
      <c r="D182" s="252">
        <f>Données!Z182</f>
        <v>2987</v>
      </c>
      <c r="E182" s="99">
        <f>Données!X182</f>
        <v>57</v>
      </c>
      <c r="F182" s="30">
        <f>VPI!L182</f>
        <v>15760182.130000001</v>
      </c>
      <c r="G182" s="7">
        <f t="shared" si="10"/>
        <v>552988.84666666668</v>
      </c>
      <c r="H182" s="25">
        <f t="shared" si="11"/>
        <v>275108.16075217922</v>
      </c>
      <c r="I182" s="7">
        <f t="shared" si="12"/>
        <v>275108.16075217922</v>
      </c>
      <c r="J182" s="7">
        <f>VPI!R182</f>
        <v>294735.07522267208</v>
      </c>
      <c r="K182" s="158">
        <f t="shared" si="13"/>
        <v>331184.73588814592</v>
      </c>
      <c r="L182" s="242">
        <f t="shared" si="14"/>
        <v>606292.8966403252</v>
      </c>
      <c r="M182" s="100"/>
      <c r="N182" s="101"/>
      <c r="O182" s="98"/>
      <c r="P182" s="98"/>
      <c r="Q182" s="102"/>
    </row>
    <row r="183" spans="1:17" s="97" customFormat="1" x14ac:dyDescent="0.25">
      <c r="A183" s="131">
        <f>Données!A183</f>
        <v>5712</v>
      </c>
      <c r="B183" s="251" t="str">
        <f>Données!B183</f>
        <v>Coppet</v>
      </c>
      <c r="C183" s="579">
        <f>Données!AR183</f>
        <v>0</v>
      </c>
      <c r="D183" s="252">
        <f>Données!Z183</f>
        <v>3216</v>
      </c>
      <c r="E183" s="99">
        <f>Données!X183</f>
        <v>57</v>
      </c>
      <c r="F183" s="30">
        <f>VPI!L183</f>
        <v>24755053.310000002</v>
      </c>
      <c r="G183" s="7">
        <f t="shared" si="10"/>
        <v>868598.3617543861</v>
      </c>
      <c r="H183" s="25">
        <f t="shared" si="11"/>
        <v>296199.47940375237</v>
      </c>
      <c r="I183" s="7">
        <f t="shared" si="12"/>
        <v>296199.47940375237</v>
      </c>
      <c r="J183" s="7">
        <f>VPI!R183</f>
        <v>457797.09461988311</v>
      </c>
      <c r="K183" s="158">
        <f t="shared" si="13"/>
        <v>514412.51014152705</v>
      </c>
      <c r="L183" s="242">
        <f t="shared" si="14"/>
        <v>810611.98954527942</v>
      </c>
      <c r="M183" s="100"/>
      <c r="N183" s="101"/>
      <c r="O183" s="98"/>
      <c r="P183" s="98"/>
      <c r="Q183" s="102"/>
    </row>
    <row r="184" spans="1:17" s="97" customFormat="1" x14ac:dyDescent="0.25">
      <c r="A184" s="131">
        <f>Données!A184</f>
        <v>5713</v>
      </c>
      <c r="B184" s="251" t="str">
        <f>Données!B184</f>
        <v>Crans</v>
      </c>
      <c r="C184" s="579">
        <f>Données!AR184</f>
        <v>1</v>
      </c>
      <c r="D184" s="252">
        <f>Données!Z184</f>
        <v>2455</v>
      </c>
      <c r="E184" s="99">
        <f>Données!X184</f>
        <v>59</v>
      </c>
      <c r="F184" s="30">
        <f>VPI!L184</f>
        <v>15831054.399999999</v>
      </c>
      <c r="G184" s="7">
        <f t="shared" si="10"/>
        <v>536645.91186440678</v>
      </c>
      <c r="H184" s="25">
        <f t="shared" si="11"/>
        <v>226109.98816424506</v>
      </c>
      <c r="I184" s="7">
        <f t="shared" si="12"/>
        <v>0</v>
      </c>
      <c r="J184" s="7">
        <f>VPI!R184</f>
        <v>285226.41440677963</v>
      </c>
      <c r="K184" s="158">
        <f t="shared" si="13"/>
        <v>320500.14628311794</v>
      </c>
      <c r="L184" s="242">
        <f t="shared" si="14"/>
        <v>320500.14628311794</v>
      </c>
      <c r="M184" s="100"/>
      <c r="N184" s="101"/>
      <c r="O184" s="98"/>
      <c r="P184" s="98"/>
      <c r="Q184" s="102"/>
    </row>
    <row r="185" spans="1:17" s="97" customFormat="1" x14ac:dyDescent="0.25">
      <c r="A185" s="131">
        <f>Données!A185</f>
        <v>5714</v>
      </c>
      <c r="B185" s="251" t="str">
        <f>Données!B185</f>
        <v>Crassier</v>
      </c>
      <c r="C185" s="579">
        <f>Données!AR185</f>
        <v>0</v>
      </c>
      <c r="D185" s="252">
        <f>Données!Z185</f>
        <v>1274</v>
      </c>
      <c r="E185" s="99">
        <f>Données!X185</f>
        <v>66.5</v>
      </c>
      <c r="F185" s="30">
        <f>VPI!L185</f>
        <v>4124896.0599999996</v>
      </c>
      <c r="G185" s="7">
        <f t="shared" si="10"/>
        <v>124057.02436090224</v>
      </c>
      <c r="H185" s="25">
        <f t="shared" si="11"/>
        <v>117337.72909215813</v>
      </c>
      <c r="I185" s="7">
        <f t="shared" si="12"/>
        <v>117337.72909215813</v>
      </c>
      <c r="J185" s="7">
        <f>VPI!R185</f>
        <v>67017.221203007502</v>
      </c>
      <c r="K185" s="158">
        <f t="shared" si="13"/>
        <v>75305.189541173982</v>
      </c>
      <c r="L185" s="242">
        <f t="shared" si="14"/>
        <v>192642.91863333213</v>
      </c>
      <c r="M185" s="100"/>
      <c r="N185" s="101"/>
      <c r="O185" s="98"/>
      <c r="P185" s="98"/>
      <c r="Q185" s="102"/>
    </row>
    <row r="186" spans="1:17" s="97" customFormat="1" x14ac:dyDescent="0.25">
      <c r="A186" s="131">
        <f>Données!A186</f>
        <v>5715</v>
      </c>
      <c r="B186" s="251" t="str">
        <f>Données!B186</f>
        <v>Duillier</v>
      </c>
      <c r="C186" s="579">
        <f>Données!AR186</f>
        <v>0</v>
      </c>
      <c r="D186" s="252">
        <f>Données!Z186</f>
        <v>1143</v>
      </c>
      <c r="E186" s="99">
        <f>Données!X186</f>
        <v>66</v>
      </c>
      <c r="F186" s="30">
        <f>VPI!L186</f>
        <v>3547326.2399999998</v>
      </c>
      <c r="G186" s="7">
        <f t="shared" si="10"/>
        <v>107494.73454545454</v>
      </c>
      <c r="H186" s="25">
        <f t="shared" si="11"/>
        <v>105272.3896015202</v>
      </c>
      <c r="I186" s="7">
        <f t="shared" si="12"/>
        <v>105272.3896015202</v>
      </c>
      <c r="J186" s="7">
        <f>VPI!R186</f>
        <v>58499.436969696966</v>
      </c>
      <c r="K186" s="158">
        <f t="shared" si="13"/>
        <v>65734.017465607714</v>
      </c>
      <c r="L186" s="242">
        <f t="shared" si="14"/>
        <v>171006.40706712793</v>
      </c>
      <c r="M186" s="100"/>
      <c r="N186" s="101"/>
      <c r="O186" s="98"/>
      <c r="P186" s="98"/>
      <c r="Q186" s="102"/>
    </row>
    <row r="187" spans="1:17" s="97" customFormat="1" x14ac:dyDescent="0.25">
      <c r="A187" s="131">
        <f>Données!A187</f>
        <v>5716</v>
      </c>
      <c r="B187" s="251" t="str">
        <f>Données!B187</f>
        <v>Eysins</v>
      </c>
      <c r="C187" s="579">
        <f>Données!AR187</f>
        <v>0</v>
      </c>
      <c r="D187" s="252">
        <f>Données!Z187</f>
        <v>1772</v>
      </c>
      <c r="E187" s="99">
        <f>Données!X187</f>
        <v>59.5</v>
      </c>
      <c r="F187" s="30">
        <f>VPI!L187</f>
        <v>22357629.449999999</v>
      </c>
      <c r="G187" s="7">
        <f t="shared" si="10"/>
        <v>751516.95630252094</v>
      </c>
      <c r="H187" s="25">
        <f t="shared" si="11"/>
        <v>163204.4395222168</v>
      </c>
      <c r="I187" s="7">
        <f t="shared" si="12"/>
        <v>163204.4395222168</v>
      </c>
      <c r="J187" s="7">
        <f>VPI!R187</f>
        <v>387894.76554621849</v>
      </c>
      <c r="K187" s="158">
        <f t="shared" si="13"/>
        <v>435865.41365245922</v>
      </c>
      <c r="L187" s="242">
        <f t="shared" si="14"/>
        <v>599069.85317467595</v>
      </c>
      <c r="M187" s="100"/>
      <c r="N187" s="101"/>
      <c r="O187" s="98"/>
      <c r="P187" s="98"/>
      <c r="Q187" s="102"/>
    </row>
    <row r="188" spans="1:17" s="97" customFormat="1" x14ac:dyDescent="0.25">
      <c r="A188" s="131">
        <f>Données!A188</f>
        <v>5717</v>
      </c>
      <c r="B188" s="251" t="str">
        <f>Données!B188</f>
        <v>Founex</v>
      </c>
      <c r="C188" s="579">
        <f>Données!AR188</f>
        <v>0</v>
      </c>
      <c r="D188" s="252">
        <f>Données!Z188</f>
        <v>3748</v>
      </c>
      <c r="E188" s="99">
        <f>Données!X188</f>
        <v>57</v>
      </c>
      <c r="F188" s="30">
        <f>VPI!L188</f>
        <v>20669122.730000004</v>
      </c>
      <c r="G188" s="7">
        <f t="shared" si="10"/>
        <v>725232.37649122823</v>
      </c>
      <c r="H188" s="25">
        <f t="shared" si="11"/>
        <v>345197.65199168655</v>
      </c>
      <c r="I188" s="7">
        <f t="shared" si="12"/>
        <v>345197.65199168655</v>
      </c>
      <c r="J188" s="7">
        <f>VPI!R188</f>
        <v>389506.02859649126</v>
      </c>
      <c r="K188" s="158">
        <f t="shared" si="13"/>
        <v>437675.94036818104</v>
      </c>
      <c r="L188" s="242">
        <f t="shared" si="14"/>
        <v>782873.59235986765</v>
      </c>
      <c r="M188" s="100"/>
      <c r="N188" s="101"/>
      <c r="O188" s="98"/>
      <c r="P188" s="98"/>
      <c r="Q188" s="102"/>
    </row>
    <row r="189" spans="1:17" s="97" customFormat="1" x14ac:dyDescent="0.25">
      <c r="A189" s="131">
        <f>Données!A189</f>
        <v>5718</v>
      </c>
      <c r="B189" s="251" t="str">
        <f>Données!B189</f>
        <v>Genolier</v>
      </c>
      <c r="C189" s="579">
        <f>Données!AR189</f>
        <v>0</v>
      </c>
      <c r="D189" s="252">
        <f>Données!Z189</f>
        <v>2012</v>
      </c>
      <c r="E189" s="99">
        <f>Données!X189</f>
        <v>52</v>
      </c>
      <c r="F189" s="30">
        <f>VPI!L189</f>
        <v>11657837.200000001</v>
      </c>
      <c r="G189" s="7">
        <f t="shared" si="10"/>
        <v>448378.35384615388</v>
      </c>
      <c r="H189" s="25">
        <f t="shared" si="11"/>
        <v>185308.87828369086</v>
      </c>
      <c r="I189" s="7">
        <f t="shared" si="12"/>
        <v>185308.87828369086</v>
      </c>
      <c r="J189" s="7">
        <f>VPI!R189</f>
        <v>239613.31826923083</v>
      </c>
      <c r="K189" s="158">
        <f t="shared" si="13"/>
        <v>269246.11353543133</v>
      </c>
      <c r="L189" s="242">
        <f t="shared" si="14"/>
        <v>454554.99181912222</v>
      </c>
      <c r="M189" s="100"/>
      <c r="N189" s="101"/>
      <c r="O189" s="98"/>
      <c r="P189" s="98"/>
      <c r="Q189" s="102"/>
    </row>
    <row r="190" spans="1:17" s="97" customFormat="1" x14ac:dyDescent="0.25">
      <c r="A190" s="131">
        <f>Données!A190</f>
        <v>5719</v>
      </c>
      <c r="B190" s="251" t="str">
        <f>Données!B190</f>
        <v>Gingins</v>
      </c>
      <c r="C190" s="579">
        <f>Données!AR190</f>
        <v>0</v>
      </c>
      <c r="D190" s="252">
        <f>Données!Z190</f>
        <v>1253</v>
      </c>
      <c r="E190" s="99">
        <f>Données!X190</f>
        <v>60</v>
      </c>
      <c r="F190" s="30">
        <f>VPI!L190</f>
        <v>9920690.379999999</v>
      </c>
      <c r="G190" s="7">
        <f t="shared" si="10"/>
        <v>330689.67933333328</v>
      </c>
      <c r="H190" s="25">
        <f t="shared" si="11"/>
        <v>115403.59070052915</v>
      </c>
      <c r="I190" s="7">
        <f t="shared" si="12"/>
        <v>115403.59070052915</v>
      </c>
      <c r="J190" s="7">
        <f>VPI!R190</f>
        <v>173273.6891111111</v>
      </c>
      <c r="K190" s="158">
        <f t="shared" si="13"/>
        <v>194702.31332756465</v>
      </c>
      <c r="L190" s="242">
        <f t="shared" si="14"/>
        <v>310105.90402809379</v>
      </c>
      <c r="M190" s="100"/>
      <c r="N190" s="101"/>
      <c r="O190" s="98"/>
      <c r="P190" s="98"/>
      <c r="Q190" s="102"/>
    </row>
    <row r="191" spans="1:17" s="97" customFormat="1" x14ac:dyDescent="0.25">
      <c r="A191" s="131">
        <f>Données!A191</f>
        <v>5720</v>
      </c>
      <c r="B191" s="251" t="str">
        <f>Données!B191</f>
        <v>Givrins</v>
      </c>
      <c r="C191" s="579">
        <f>Données!AR191</f>
        <v>0</v>
      </c>
      <c r="D191" s="252">
        <f>Données!Z191</f>
        <v>1071</v>
      </c>
      <c r="E191" s="99">
        <f>Données!X191</f>
        <v>67</v>
      </c>
      <c r="F191" s="30">
        <f>VPI!L191</f>
        <v>4841076.4000000004</v>
      </c>
      <c r="G191" s="7">
        <f t="shared" si="10"/>
        <v>144509.74328358209</v>
      </c>
      <c r="H191" s="25">
        <f t="shared" si="11"/>
        <v>98641.057973077986</v>
      </c>
      <c r="I191" s="7">
        <f t="shared" si="12"/>
        <v>98641.057973077986</v>
      </c>
      <c r="J191" s="7">
        <f>VPI!R191</f>
        <v>77350.1792703151</v>
      </c>
      <c r="K191" s="158">
        <f t="shared" si="13"/>
        <v>86916.016606392281</v>
      </c>
      <c r="L191" s="242">
        <f t="shared" si="14"/>
        <v>185557.07457947027</v>
      </c>
      <c r="M191" s="100"/>
      <c r="N191" s="101"/>
      <c r="O191" s="98"/>
      <c r="P191" s="98"/>
      <c r="Q191" s="102"/>
    </row>
    <row r="192" spans="1:17" s="97" customFormat="1" x14ac:dyDescent="0.25">
      <c r="A192" s="131">
        <f>Données!A192</f>
        <v>5721</v>
      </c>
      <c r="B192" s="251" t="str">
        <f>Données!B192</f>
        <v>Gland</v>
      </c>
      <c r="C192" s="579">
        <f>Données!AR192</f>
        <v>0</v>
      </c>
      <c r="D192" s="252">
        <f>Données!Z192</f>
        <v>13968</v>
      </c>
      <c r="E192" s="99">
        <f>Données!X192</f>
        <v>61</v>
      </c>
      <c r="F192" s="30">
        <f>VPI!L192</f>
        <v>40753727.809999995</v>
      </c>
      <c r="G192" s="7">
        <f t="shared" si="10"/>
        <v>1336187.7970491801</v>
      </c>
      <c r="H192" s="25">
        <f t="shared" si="11"/>
        <v>1286478.3359177902</v>
      </c>
      <c r="I192" s="7">
        <f t="shared" si="12"/>
        <v>1286478.3359177902</v>
      </c>
      <c r="J192" s="7">
        <f>VPI!R192</f>
        <v>727883.96163934411</v>
      </c>
      <c r="K192" s="158">
        <f t="shared" si="13"/>
        <v>817900.81282527989</v>
      </c>
      <c r="L192" s="242">
        <f t="shared" si="14"/>
        <v>2104379.1487430702</v>
      </c>
      <c r="M192" s="100"/>
      <c r="N192" s="101"/>
      <c r="O192" s="98"/>
      <c r="P192" s="98"/>
      <c r="Q192" s="102"/>
    </row>
    <row r="193" spans="1:17" s="97" customFormat="1" x14ac:dyDescent="0.25">
      <c r="A193" s="131">
        <f>Données!A193</f>
        <v>5722</v>
      </c>
      <c r="B193" s="251" t="str">
        <f>Données!B193</f>
        <v>Grens</v>
      </c>
      <c r="C193" s="579">
        <f>Données!AR193</f>
        <v>0</v>
      </c>
      <c r="D193" s="252">
        <f>Données!Z193</f>
        <v>394</v>
      </c>
      <c r="E193" s="99">
        <f>Données!X193</f>
        <v>62</v>
      </c>
      <c r="F193" s="30">
        <f>VPI!L193</f>
        <v>1911714.5800000003</v>
      </c>
      <c r="G193" s="7">
        <f t="shared" si="10"/>
        <v>61668.212258064523</v>
      </c>
      <c r="H193" s="25">
        <f t="shared" si="11"/>
        <v>36288.120300086579</v>
      </c>
      <c r="I193" s="7">
        <f t="shared" si="12"/>
        <v>36288.120300086579</v>
      </c>
      <c r="J193" s="7">
        <f>VPI!R193</f>
        <v>33694.831129032267</v>
      </c>
      <c r="K193" s="158">
        <f t="shared" si="13"/>
        <v>37861.845047907693</v>
      </c>
      <c r="L193" s="242">
        <f t="shared" si="14"/>
        <v>74149.965347994264</v>
      </c>
      <c r="M193" s="100"/>
      <c r="N193" s="101"/>
      <c r="O193" s="98"/>
      <c r="P193" s="98"/>
      <c r="Q193" s="102"/>
    </row>
    <row r="194" spans="1:17" s="97" customFormat="1" x14ac:dyDescent="0.25">
      <c r="A194" s="131">
        <f>Données!A194</f>
        <v>5723</v>
      </c>
      <c r="B194" s="251" t="str">
        <f>Données!B194</f>
        <v>Mies</v>
      </c>
      <c r="C194" s="579">
        <f>Données!AR194</f>
        <v>0</v>
      </c>
      <c r="D194" s="252">
        <f>Données!Z194</f>
        <v>2163</v>
      </c>
      <c r="E194" s="99">
        <f>Données!X194</f>
        <v>53</v>
      </c>
      <c r="F194" s="30">
        <f>VPI!L194</f>
        <v>13328139.73</v>
      </c>
      <c r="G194" s="7">
        <f t="shared" si="10"/>
        <v>502948.6690566038</v>
      </c>
      <c r="H194" s="25">
        <f t="shared" si="11"/>
        <v>199216.25433778495</v>
      </c>
      <c r="I194" s="7">
        <f t="shared" si="12"/>
        <v>199216.25433778495</v>
      </c>
      <c r="J194" s="7">
        <f>VPI!R194</f>
        <v>272663.2930188679</v>
      </c>
      <c r="K194" s="158">
        <f t="shared" si="13"/>
        <v>306383.3533101647</v>
      </c>
      <c r="L194" s="242">
        <f t="shared" si="14"/>
        <v>505599.60764794966</v>
      </c>
      <c r="M194" s="100"/>
      <c r="N194" s="101"/>
      <c r="O194" s="98"/>
      <c r="P194" s="98"/>
      <c r="Q194" s="102"/>
    </row>
    <row r="195" spans="1:17" s="97" customFormat="1" x14ac:dyDescent="0.25">
      <c r="A195" s="131">
        <f>Données!A195</f>
        <v>5724</v>
      </c>
      <c r="B195" s="251" t="str">
        <f>Données!B195</f>
        <v>Nyon</v>
      </c>
      <c r="C195" s="579">
        <f>Données!AR195</f>
        <v>1</v>
      </c>
      <c r="D195" s="252">
        <f>Données!Z195</f>
        <v>23328</v>
      </c>
      <c r="E195" s="99">
        <f>Données!X195</f>
        <v>61</v>
      </c>
      <c r="F195" s="30">
        <f>VPI!L195</f>
        <v>92717380.420000002</v>
      </c>
      <c r="G195" s="7">
        <f t="shared" si="10"/>
        <v>3039914.1121311476</v>
      </c>
      <c r="H195" s="25">
        <f t="shared" si="11"/>
        <v>2148551.4476152784</v>
      </c>
      <c r="I195" s="7">
        <f t="shared" si="12"/>
        <v>0</v>
      </c>
      <c r="J195" s="7">
        <f>VPI!R195</f>
        <v>1639938.8194535521</v>
      </c>
      <c r="K195" s="158">
        <f t="shared" si="13"/>
        <v>1842748.7952803506</v>
      </c>
      <c r="L195" s="242">
        <f t="shared" si="14"/>
        <v>1842748.7952803506</v>
      </c>
      <c r="M195" s="100"/>
      <c r="N195" s="101"/>
      <c r="O195" s="98"/>
      <c r="P195" s="98"/>
      <c r="Q195" s="102"/>
    </row>
    <row r="196" spans="1:17" s="97" customFormat="1" x14ac:dyDescent="0.25">
      <c r="A196" s="131">
        <f>Données!A196</f>
        <v>5725</v>
      </c>
      <c r="B196" s="251" t="str">
        <f>Données!B196</f>
        <v>Prangins</v>
      </c>
      <c r="C196" s="579">
        <f>Données!AR196</f>
        <v>1</v>
      </c>
      <c r="D196" s="252">
        <f>Données!Z196</f>
        <v>4280</v>
      </c>
      <c r="E196" s="99">
        <f>Données!X196</f>
        <v>55</v>
      </c>
      <c r="F196" s="30">
        <f>VPI!L196</f>
        <v>18907460.969999999</v>
      </c>
      <c r="G196" s="7">
        <f t="shared" si="10"/>
        <v>687544.03527272725</v>
      </c>
      <c r="H196" s="25">
        <f t="shared" si="11"/>
        <v>394195.82457962073</v>
      </c>
      <c r="I196" s="7">
        <f t="shared" si="12"/>
        <v>0</v>
      </c>
      <c r="J196" s="7">
        <f>VPI!R196</f>
        <v>367942.11179220775</v>
      </c>
      <c r="K196" s="158">
        <f t="shared" si="13"/>
        <v>413445.23051410244</v>
      </c>
      <c r="L196" s="242">
        <f t="shared" si="14"/>
        <v>413445.23051410244</v>
      </c>
      <c r="M196" s="100"/>
      <c r="N196" s="101"/>
      <c r="O196" s="98"/>
      <c r="P196" s="98"/>
      <c r="Q196" s="102"/>
    </row>
    <row r="197" spans="1:17" s="97" customFormat="1" x14ac:dyDescent="0.25">
      <c r="A197" s="131">
        <f>Données!A197</f>
        <v>5726</v>
      </c>
      <c r="B197" s="251" t="str">
        <f>Données!B197</f>
        <v>La Rippe</v>
      </c>
      <c r="C197" s="579">
        <f>Données!AR197</f>
        <v>0</v>
      </c>
      <c r="D197" s="252">
        <f>Données!Z197</f>
        <v>1194</v>
      </c>
      <c r="E197" s="99">
        <f>Données!X197</f>
        <v>63.5</v>
      </c>
      <c r="F197" s="30">
        <f>VPI!L197</f>
        <v>4361760.18</v>
      </c>
      <c r="G197" s="7">
        <f t="shared" si="10"/>
        <v>137378.27338582676</v>
      </c>
      <c r="H197" s="25">
        <f t="shared" si="11"/>
        <v>109969.58283833344</v>
      </c>
      <c r="I197" s="7">
        <f t="shared" si="12"/>
        <v>109969.58283833344</v>
      </c>
      <c r="J197" s="7">
        <f>VPI!R197</f>
        <v>73377.861102362207</v>
      </c>
      <c r="K197" s="158">
        <f t="shared" si="13"/>
        <v>82452.444897720532</v>
      </c>
      <c r="L197" s="242">
        <f t="shared" si="14"/>
        <v>192422.02773605398</v>
      </c>
      <c r="M197" s="100"/>
      <c r="N197" s="101"/>
      <c r="O197" s="98"/>
      <c r="P197" s="98"/>
      <c r="Q197" s="102"/>
    </row>
    <row r="198" spans="1:17" s="97" customFormat="1" x14ac:dyDescent="0.25">
      <c r="A198" s="131">
        <f>Données!A198</f>
        <v>5727</v>
      </c>
      <c r="B198" s="251" t="str">
        <f>Données!B198</f>
        <v>Saint-Cergue</v>
      </c>
      <c r="C198" s="579">
        <f>Données!AR198</f>
        <v>0</v>
      </c>
      <c r="D198" s="252">
        <f>Données!Z198</f>
        <v>3012</v>
      </c>
      <c r="E198" s="99">
        <f>Données!X198</f>
        <v>66</v>
      </c>
      <c r="F198" s="30">
        <f>VPI!L198</f>
        <v>6777994.1400000006</v>
      </c>
      <c r="G198" s="7">
        <f t="shared" si="10"/>
        <v>205393.76181818184</v>
      </c>
      <c r="H198" s="25">
        <f t="shared" si="11"/>
        <v>277410.70645649947</v>
      </c>
      <c r="I198" s="7">
        <f t="shared" si="12"/>
        <v>205393.76181818184</v>
      </c>
      <c r="J198" s="7">
        <f>VPI!R198</f>
        <v>111772.64025252526</v>
      </c>
      <c r="K198" s="158">
        <f t="shared" si="13"/>
        <v>125595.47693326531</v>
      </c>
      <c r="L198" s="242">
        <f t="shared" si="14"/>
        <v>330989.23875144718</v>
      </c>
      <c r="M198" s="100"/>
      <c r="N198" s="101"/>
      <c r="O198" s="98"/>
      <c r="P198" s="98"/>
      <c r="Q198" s="102"/>
    </row>
    <row r="199" spans="1:17" s="97" customFormat="1" x14ac:dyDescent="0.25">
      <c r="A199" s="131">
        <f>Données!A199</f>
        <v>5728</v>
      </c>
      <c r="B199" s="251" t="str">
        <f>Données!B199</f>
        <v>Signy-Avenex</v>
      </c>
      <c r="C199" s="579">
        <f>Données!AR199</f>
        <v>0</v>
      </c>
      <c r="D199" s="252">
        <f>Données!Z199</f>
        <v>605</v>
      </c>
      <c r="E199" s="99">
        <f>Données!X199</f>
        <v>58</v>
      </c>
      <c r="F199" s="30">
        <f>VPI!L199</f>
        <v>2273159.4</v>
      </c>
      <c r="G199" s="7">
        <f t="shared" ref="G199:G262" si="15">F199/E199*2</f>
        <v>78384.806896551716</v>
      </c>
      <c r="H199" s="25">
        <f t="shared" ref="H199:H262" si="16">+$G$306/$D$306*D199</f>
        <v>55721.606044549189</v>
      </c>
      <c r="I199" s="7">
        <f t="shared" ref="I199:I262" si="17">IF(C199=1,0,IF(H199&gt;G199,G199,H199))</f>
        <v>55721.606044549189</v>
      </c>
      <c r="J199" s="7">
        <f>VPI!R199</f>
        <v>44453.550862068965</v>
      </c>
      <c r="K199" s="158">
        <f t="shared" ref="K199:K262" si="18">+$K$5*J199</f>
        <v>49951.087397459763</v>
      </c>
      <c r="L199" s="242">
        <f t="shared" ref="L199:L262" si="19">+K199+I199</f>
        <v>105672.69344200895</v>
      </c>
      <c r="M199" s="100"/>
      <c r="N199" s="101"/>
      <c r="O199" s="98"/>
      <c r="P199" s="98"/>
      <c r="Q199" s="102"/>
    </row>
    <row r="200" spans="1:17" s="97" customFormat="1" x14ac:dyDescent="0.25">
      <c r="A200" s="131">
        <f>Données!A200</f>
        <v>5729</v>
      </c>
      <c r="B200" s="251" t="str">
        <f>Données!B200</f>
        <v>Tannay</v>
      </c>
      <c r="C200" s="579">
        <f>Données!AR200</f>
        <v>0</v>
      </c>
      <c r="D200" s="252">
        <f>Données!Z200</f>
        <v>1728</v>
      </c>
      <c r="E200" s="99">
        <f>Données!X200</f>
        <v>60.5</v>
      </c>
      <c r="F200" s="30">
        <f>VPI!L200</f>
        <v>10810862.149999999</v>
      </c>
      <c r="G200" s="7">
        <f t="shared" si="15"/>
        <v>357383.87272727268</v>
      </c>
      <c r="H200" s="25">
        <f t="shared" si="16"/>
        <v>159151.95908261323</v>
      </c>
      <c r="I200" s="7">
        <f t="shared" si="17"/>
        <v>159151.95908261323</v>
      </c>
      <c r="J200" s="7">
        <f>VPI!R200</f>
        <v>189691.13223140492</v>
      </c>
      <c r="K200" s="158">
        <f t="shared" si="18"/>
        <v>213150.08904494529</v>
      </c>
      <c r="L200" s="242">
        <f t="shared" si="19"/>
        <v>372302.04812755855</v>
      </c>
      <c r="M200" s="100"/>
      <c r="N200" s="101"/>
      <c r="O200" s="98"/>
      <c r="P200" s="98"/>
      <c r="Q200" s="102"/>
    </row>
    <row r="201" spans="1:17" s="97" customFormat="1" x14ac:dyDescent="0.25">
      <c r="A201" s="131">
        <f>Données!A201</f>
        <v>5730</v>
      </c>
      <c r="B201" s="251" t="str">
        <f>Données!B201</f>
        <v>Trélex</v>
      </c>
      <c r="C201" s="579">
        <f>Données!AR201</f>
        <v>0</v>
      </c>
      <c r="D201" s="252">
        <f>Données!Z201</f>
        <v>1428</v>
      </c>
      <c r="E201" s="99">
        <f>Données!X201</f>
        <v>55.5</v>
      </c>
      <c r="F201" s="30">
        <f>VPI!L201</f>
        <v>8945126.2100000009</v>
      </c>
      <c r="G201" s="7">
        <f t="shared" si="15"/>
        <v>322346.89045045048</v>
      </c>
      <c r="H201" s="25">
        <f t="shared" si="16"/>
        <v>131521.41063077067</v>
      </c>
      <c r="I201" s="7">
        <f t="shared" si="17"/>
        <v>131521.41063077067</v>
      </c>
      <c r="J201" s="7">
        <f>VPI!R201</f>
        <v>170256.05113113116</v>
      </c>
      <c r="K201" s="158">
        <f t="shared" si="18"/>
        <v>191311.48637339013</v>
      </c>
      <c r="L201" s="242">
        <f t="shared" si="19"/>
        <v>322832.8970041608</v>
      </c>
      <c r="M201" s="100"/>
      <c r="N201" s="101"/>
      <c r="O201" s="98"/>
      <c r="P201" s="98"/>
      <c r="Q201" s="102"/>
    </row>
    <row r="202" spans="1:17" s="97" customFormat="1" x14ac:dyDescent="0.25">
      <c r="A202" s="131">
        <f>Données!A202</f>
        <v>5731</v>
      </c>
      <c r="B202" s="251" t="str">
        <f>Données!B202</f>
        <v>Le Vaud</v>
      </c>
      <c r="C202" s="579">
        <f>Données!AR202</f>
        <v>0</v>
      </c>
      <c r="D202" s="252">
        <f>Données!Z202</f>
        <v>1374</v>
      </c>
      <c r="E202" s="99">
        <f>Données!X202</f>
        <v>71</v>
      </c>
      <c r="F202" s="30">
        <f>VPI!L202</f>
        <v>5008373.37</v>
      </c>
      <c r="G202" s="7">
        <f t="shared" si="15"/>
        <v>141080.94</v>
      </c>
      <c r="H202" s="25">
        <f t="shared" si="16"/>
        <v>126547.91190943899</v>
      </c>
      <c r="I202" s="7">
        <f t="shared" si="17"/>
        <v>126547.91190943899</v>
      </c>
      <c r="J202" s="7">
        <f>VPI!R202</f>
        <v>75089.173286384976</v>
      </c>
      <c r="K202" s="158">
        <f t="shared" si="18"/>
        <v>84375.393746816815</v>
      </c>
      <c r="L202" s="242">
        <f t="shared" si="19"/>
        <v>210923.3056562558</v>
      </c>
      <c r="M202" s="100"/>
      <c r="N202" s="101"/>
      <c r="O202" s="98"/>
      <c r="P202" s="98"/>
      <c r="Q202" s="102"/>
    </row>
    <row r="203" spans="1:17" s="97" customFormat="1" x14ac:dyDescent="0.25">
      <c r="A203" s="131">
        <f>Données!A203</f>
        <v>5732</v>
      </c>
      <c r="B203" s="251" t="str">
        <f>Données!B203</f>
        <v>Vich</v>
      </c>
      <c r="C203" s="579">
        <f>Données!AR203</f>
        <v>0</v>
      </c>
      <c r="D203" s="252">
        <f>Données!Z203</f>
        <v>1179</v>
      </c>
      <c r="E203" s="99">
        <f>Données!X203</f>
        <v>63</v>
      </c>
      <c r="F203" s="30">
        <f>VPI!L203</f>
        <v>4860157.8399999989</v>
      </c>
      <c r="G203" s="7">
        <f t="shared" si="15"/>
        <v>154290.72507936505</v>
      </c>
      <c r="H203" s="25">
        <f t="shared" si="16"/>
        <v>108588.05541574131</v>
      </c>
      <c r="I203" s="7">
        <f t="shared" si="17"/>
        <v>108588.05541574131</v>
      </c>
      <c r="J203" s="7">
        <f>VPI!R203</f>
        <v>83929.487936507925</v>
      </c>
      <c r="K203" s="158">
        <f t="shared" si="18"/>
        <v>94308.98332843394</v>
      </c>
      <c r="L203" s="242">
        <f t="shared" si="19"/>
        <v>202897.03874417525</v>
      </c>
      <c r="M203" s="100"/>
      <c r="N203" s="101"/>
      <c r="O203" s="98"/>
      <c r="P203" s="98"/>
      <c r="Q203" s="102"/>
    </row>
    <row r="204" spans="1:17" s="97" customFormat="1" x14ac:dyDescent="0.25">
      <c r="A204" s="131">
        <f>Données!A204</f>
        <v>5741</v>
      </c>
      <c r="B204" s="251" t="str">
        <f>Données!B204</f>
        <v>L'Abergement</v>
      </c>
      <c r="C204" s="579">
        <f>Données!AR204</f>
        <v>0</v>
      </c>
      <c r="D204" s="252">
        <f>Données!Z204</f>
        <v>270</v>
      </c>
      <c r="E204" s="99">
        <f>Données!X204</f>
        <v>80</v>
      </c>
      <c r="F204" s="30">
        <f>VPI!L204</f>
        <v>599669.00999999989</v>
      </c>
      <c r="G204" s="7">
        <f t="shared" si="15"/>
        <v>14991.725249999998</v>
      </c>
      <c r="H204" s="25">
        <f t="shared" si="16"/>
        <v>24867.493606658318</v>
      </c>
      <c r="I204" s="7">
        <f t="shared" si="17"/>
        <v>14991.725249999998</v>
      </c>
      <c r="J204" s="7">
        <f>VPI!R204</f>
        <v>8081.107937499999</v>
      </c>
      <c r="K204" s="158">
        <f t="shared" si="18"/>
        <v>9080.4923572213611</v>
      </c>
      <c r="L204" s="242">
        <f t="shared" si="19"/>
        <v>24072.217607221359</v>
      </c>
      <c r="M204" s="100"/>
      <c r="N204" s="101"/>
      <c r="O204" s="98"/>
      <c r="P204" s="98"/>
      <c r="Q204" s="102"/>
    </row>
    <row r="205" spans="1:17" s="97" customFormat="1" x14ac:dyDescent="0.25">
      <c r="A205" s="131">
        <f>Données!A205</f>
        <v>5742</v>
      </c>
      <c r="B205" s="251" t="str">
        <f>Données!B205</f>
        <v>Agiez</v>
      </c>
      <c r="C205" s="579">
        <f>Données!AR205</f>
        <v>0</v>
      </c>
      <c r="D205" s="252">
        <f>Données!Z205</f>
        <v>373</v>
      </c>
      <c r="E205" s="99">
        <f>Données!X205</f>
        <v>76</v>
      </c>
      <c r="F205" s="30">
        <f>VPI!L205</f>
        <v>667715.6399999999</v>
      </c>
      <c r="G205" s="7">
        <f t="shared" si="15"/>
        <v>17571.464210526312</v>
      </c>
      <c r="H205" s="25">
        <f t="shared" si="16"/>
        <v>34353.981908457601</v>
      </c>
      <c r="I205" s="7">
        <f t="shared" si="17"/>
        <v>17571.464210526312</v>
      </c>
      <c r="J205" s="7">
        <f>VPI!R205</f>
        <v>9603.6136842105243</v>
      </c>
      <c r="K205" s="158">
        <f t="shared" si="18"/>
        <v>10791.285221733886</v>
      </c>
      <c r="L205" s="242">
        <f t="shared" si="19"/>
        <v>28362.7494322602</v>
      </c>
      <c r="M205" s="100"/>
      <c r="N205" s="101"/>
      <c r="O205" s="98"/>
      <c r="P205" s="98"/>
      <c r="Q205" s="102"/>
    </row>
    <row r="206" spans="1:17" s="97" customFormat="1" x14ac:dyDescent="0.25">
      <c r="A206" s="131">
        <f>Données!A206</f>
        <v>5743</v>
      </c>
      <c r="B206" s="251" t="str">
        <f>Données!B206</f>
        <v>Arnex-sur-Orbe</v>
      </c>
      <c r="C206" s="579">
        <f>Données!AR206</f>
        <v>0</v>
      </c>
      <c r="D206" s="252">
        <f>Données!Z206</f>
        <v>697</v>
      </c>
      <c r="E206" s="99">
        <f>Données!X206</f>
        <v>71</v>
      </c>
      <c r="F206" s="30">
        <f>VPI!L206</f>
        <v>1289923.7400000002</v>
      </c>
      <c r="G206" s="7">
        <f t="shared" si="15"/>
        <v>36335.880000000005</v>
      </c>
      <c r="H206" s="25">
        <f t="shared" si="16"/>
        <v>64194.974236447582</v>
      </c>
      <c r="I206" s="7">
        <f t="shared" si="17"/>
        <v>36335.880000000005</v>
      </c>
      <c r="J206" s="7">
        <f>VPI!R206</f>
        <v>19616.934718309862</v>
      </c>
      <c r="K206" s="158">
        <f t="shared" si="18"/>
        <v>22042.945987036335</v>
      </c>
      <c r="L206" s="242">
        <f t="shared" si="19"/>
        <v>58378.82598703634</v>
      </c>
      <c r="M206" s="100"/>
      <c r="N206" s="101"/>
      <c r="O206" s="98"/>
      <c r="P206" s="98"/>
      <c r="Q206" s="102"/>
    </row>
    <row r="207" spans="1:17" s="97" customFormat="1" x14ac:dyDescent="0.25">
      <c r="A207" s="131">
        <f>Données!A207</f>
        <v>5744</v>
      </c>
      <c r="B207" s="251" t="str">
        <f>Données!B207</f>
        <v>Ballaigues</v>
      </c>
      <c r="C207" s="579">
        <f>Données!AR207</f>
        <v>0</v>
      </c>
      <c r="D207" s="252">
        <f>Données!Z207</f>
        <v>1209</v>
      </c>
      <c r="E207" s="99">
        <f>Données!X207</f>
        <v>65</v>
      </c>
      <c r="F207" s="30">
        <f>VPI!L207</f>
        <v>5069295.6000000006</v>
      </c>
      <c r="G207" s="7">
        <f t="shared" si="15"/>
        <v>155978.32615384617</v>
      </c>
      <c r="H207" s="25">
        <f t="shared" si="16"/>
        <v>111351.11026092558</v>
      </c>
      <c r="I207" s="7">
        <f t="shared" si="17"/>
        <v>111351.11026092558</v>
      </c>
      <c r="J207" s="7">
        <f>VPI!R207</f>
        <v>81085.11846153847</v>
      </c>
      <c r="K207" s="158">
        <f t="shared" si="18"/>
        <v>91112.852862372602</v>
      </c>
      <c r="L207" s="242">
        <f t="shared" si="19"/>
        <v>202463.96312329819</v>
      </c>
      <c r="M207" s="100"/>
      <c r="N207" s="101"/>
      <c r="O207" s="98"/>
      <c r="P207" s="98"/>
      <c r="Q207" s="102"/>
    </row>
    <row r="208" spans="1:17" s="97" customFormat="1" x14ac:dyDescent="0.25">
      <c r="A208" s="131">
        <f>Données!A208</f>
        <v>5745</v>
      </c>
      <c r="B208" s="251" t="str">
        <f>Données!B208</f>
        <v>Baulmes</v>
      </c>
      <c r="C208" s="579">
        <f>Données!AR208</f>
        <v>0</v>
      </c>
      <c r="D208" s="252">
        <f>Données!Z208</f>
        <v>1168</v>
      </c>
      <c r="E208" s="99">
        <f>Données!X208</f>
        <v>76.5</v>
      </c>
      <c r="F208" s="30">
        <f>VPI!L208</f>
        <v>2097824.0699999998</v>
      </c>
      <c r="G208" s="7">
        <f t="shared" si="15"/>
        <v>54845.073725490191</v>
      </c>
      <c r="H208" s="25">
        <f t="shared" si="16"/>
        <v>107574.93530584042</v>
      </c>
      <c r="I208" s="7">
        <f t="shared" si="17"/>
        <v>54845.073725490191</v>
      </c>
      <c r="J208" s="7">
        <f>VPI!R208</f>
        <v>29568.283921568625</v>
      </c>
      <c r="K208" s="158">
        <f t="shared" si="18"/>
        <v>33224.970912715915</v>
      </c>
      <c r="L208" s="242">
        <f t="shared" si="19"/>
        <v>88070.044638206105</v>
      </c>
      <c r="M208" s="100"/>
      <c r="N208" s="101"/>
      <c r="O208" s="98"/>
      <c r="P208" s="98"/>
      <c r="Q208" s="102"/>
    </row>
    <row r="209" spans="1:17" s="97" customFormat="1" x14ac:dyDescent="0.25">
      <c r="A209" s="131">
        <f>Données!A209</f>
        <v>5746</v>
      </c>
      <c r="B209" s="251" t="str">
        <f>Données!B209</f>
        <v>Bavois</v>
      </c>
      <c r="C209" s="579">
        <f>Données!AR209</f>
        <v>0</v>
      </c>
      <c r="D209" s="252">
        <f>Données!Z209</f>
        <v>1041</v>
      </c>
      <c r="E209" s="99">
        <f>Données!X209</f>
        <v>72</v>
      </c>
      <c r="F209" s="30">
        <f>VPI!L209</f>
        <v>2444786.34</v>
      </c>
      <c r="G209" s="7">
        <f t="shared" si="15"/>
        <v>67910.731666666659</v>
      </c>
      <c r="H209" s="25">
        <f t="shared" si="16"/>
        <v>95878.003127893739</v>
      </c>
      <c r="I209" s="7">
        <f t="shared" si="17"/>
        <v>67910.731666666659</v>
      </c>
      <c r="J209" s="7">
        <f>VPI!R209</f>
        <v>37130.012939814806</v>
      </c>
      <c r="K209" s="158">
        <f t="shared" si="18"/>
        <v>41721.853158147926</v>
      </c>
      <c r="L209" s="242">
        <f t="shared" si="19"/>
        <v>109632.58482481458</v>
      </c>
      <c r="M209" s="100"/>
      <c r="N209" s="101"/>
      <c r="O209" s="98"/>
      <c r="P209" s="98"/>
      <c r="Q209" s="102"/>
    </row>
    <row r="210" spans="1:17" s="97" customFormat="1" x14ac:dyDescent="0.25">
      <c r="A210" s="131">
        <f>Données!A210</f>
        <v>5747</v>
      </c>
      <c r="B210" s="251" t="str">
        <f>Données!B210</f>
        <v>Bofflens</v>
      </c>
      <c r="C210" s="579">
        <f>Données!AR210</f>
        <v>0</v>
      </c>
      <c r="D210" s="252">
        <f>Données!Z210</f>
        <v>200</v>
      </c>
      <c r="E210" s="99">
        <f>Données!X210</f>
        <v>69</v>
      </c>
      <c r="F210" s="30">
        <f>VPI!L210</f>
        <v>482297.74999999994</v>
      </c>
      <c r="G210" s="7">
        <f t="shared" si="15"/>
        <v>13979.64492753623</v>
      </c>
      <c r="H210" s="25">
        <f t="shared" si="16"/>
        <v>18420.365634561716</v>
      </c>
      <c r="I210" s="7">
        <f t="shared" si="17"/>
        <v>13979.64492753623</v>
      </c>
      <c r="J210" s="7">
        <f>VPI!R210</f>
        <v>7511.2471014492739</v>
      </c>
      <c r="K210" s="158">
        <f t="shared" si="18"/>
        <v>8440.1572687088301</v>
      </c>
      <c r="L210" s="242">
        <f t="shared" si="19"/>
        <v>22419.802196245058</v>
      </c>
      <c r="M210" s="100"/>
      <c r="N210" s="101"/>
      <c r="O210" s="98"/>
      <c r="P210" s="98"/>
      <c r="Q210" s="102"/>
    </row>
    <row r="211" spans="1:17" s="97" customFormat="1" x14ac:dyDescent="0.25">
      <c r="A211" s="131">
        <f>Données!A211</f>
        <v>5748</v>
      </c>
      <c r="B211" s="251" t="str">
        <f>Données!B211</f>
        <v>Bretonnières</v>
      </c>
      <c r="C211" s="579">
        <f>Données!AR211</f>
        <v>0</v>
      </c>
      <c r="D211" s="252">
        <f>Données!Z211</f>
        <v>261</v>
      </c>
      <c r="E211" s="99">
        <f>Données!X211</f>
        <v>70.5</v>
      </c>
      <c r="F211" s="30">
        <f>VPI!L211</f>
        <v>441950.06000000006</v>
      </c>
      <c r="G211" s="7">
        <f t="shared" si="15"/>
        <v>12537.590354609931</v>
      </c>
      <c r="H211" s="25">
        <f t="shared" si="16"/>
        <v>24038.57715310304</v>
      </c>
      <c r="I211" s="7">
        <f t="shared" si="17"/>
        <v>12537.590354609931</v>
      </c>
      <c r="J211" s="7">
        <f>VPI!R211</f>
        <v>6883.0895035460999</v>
      </c>
      <c r="K211" s="158">
        <f t="shared" si="18"/>
        <v>7734.3159025242185</v>
      </c>
      <c r="L211" s="242">
        <f t="shared" si="19"/>
        <v>20271.906257134149</v>
      </c>
      <c r="M211" s="100"/>
      <c r="N211" s="101"/>
      <c r="O211" s="98"/>
      <c r="P211" s="98"/>
      <c r="Q211" s="102"/>
    </row>
    <row r="212" spans="1:17" s="97" customFormat="1" x14ac:dyDescent="0.25">
      <c r="A212" s="131">
        <f>Données!A212</f>
        <v>5749</v>
      </c>
      <c r="B212" s="251" t="str">
        <f>Données!B212</f>
        <v>Chavornay</v>
      </c>
      <c r="C212" s="579">
        <f>Données!AR212</f>
        <v>0</v>
      </c>
      <c r="D212" s="252">
        <f>Données!Z212</f>
        <v>5442</v>
      </c>
      <c r="E212" s="99">
        <f>Données!X212</f>
        <v>70.5</v>
      </c>
      <c r="F212" s="30">
        <f>VPI!L212</f>
        <v>9979404.4100000001</v>
      </c>
      <c r="G212" s="7">
        <f t="shared" si="15"/>
        <v>283103.67120567377</v>
      </c>
      <c r="H212" s="25">
        <f t="shared" si="16"/>
        <v>501218.14891642431</v>
      </c>
      <c r="I212" s="7">
        <f t="shared" si="17"/>
        <v>283103.67120567377</v>
      </c>
      <c r="J212" s="7">
        <f>VPI!R212</f>
        <v>155929.24482269504</v>
      </c>
      <c r="K212" s="158">
        <f t="shared" si="18"/>
        <v>175212.89491869023</v>
      </c>
      <c r="L212" s="242">
        <f t="shared" si="19"/>
        <v>458316.56612436404</v>
      </c>
      <c r="M212" s="100"/>
      <c r="N212" s="101"/>
      <c r="O212" s="98"/>
      <c r="P212" s="98"/>
      <c r="Q212" s="102"/>
    </row>
    <row r="213" spans="1:17" s="97" customFormat="1" x14ac:dyDescent="0.25">
      <c r="A213" s="131">
        <f>Données!A213</f>
        <v>5750</v>
      </c>
      <c r="B213" s="251" t="str">
        <f>Données!B213</f>
        <v>Les Clées</v>
      </c>
      <c r="C213" s="579">
        <f>Données!AR213</f>
        <v>0</v>
      </c>
      <c r="D213" s="252">
        <f>Données!Z213</f>
        <v>194</v>
      </c>
      <c r="E213" s="99">
        <f>Données!X213</f>
        <v>80</v>
      </c>
      <c r="F213" s="30">
        <f>VPI!L213</f>
        <v>466713.26</v>
      </c>
      <c r="G213" s="7">
        <f t="shared" si="15"/>
        <v>11667.8315</v>
      </c>
      <c r="H213" s="25">
        <f t="shared" si="16"/>
        <v>17867.754665524866</v>
      </c>
      <c r="I213" s="7">
        <f t="shared" si="17"/>
        <v>11667.8315</v>
      </c>
      <c r="J213" s="7">
        <f>VPI!R213</f>
        <v>6153.1082500000002</v>
      </c>
      <c r="K213" s="158">
        <f t="shared" si="18"/>
        <v>6914.0584273108789</v>
      </c>
      <c r="L213" s="242">
        <f t="shared" si="19"/>
        <v>18581.88992731088</v>
      </c>
      <c r="M213" s="100"/>
      <c r="N213" s="101"/>
      <c r="O213" s="98"/>
      <c r="P213" s="98"/>
      <c r="Q213" s="102"/>
    </row>
    <row r="214" spans="1:17" s="97" customFormat="1" x14ac:dyDescent="0.25">
      <c r="A214" s="131">
        <f>Données!A214</f>
        <v>5752</v>
      </c>
      <c r="B214" s="251" t="str">
        <f>Données!B214</f>
        <v>Croy</v>
      </c>
      <c r="C214" s="579">
        <f>Données!AR214</f>
        <v>0</v>
      </c>
      <c r="D214" s="252">
        <f>Données!Z214</f>
        <v>403</v>
      </c>
      <c r="E214" s="99">
        <f>Données!X214</f>
        <v>74</v>
      </c>
      <c r="F214" s="30">
        <f>VPI!L214</f>
        <v>716153.40999999992</v>
      </c>
      <c r="G214" s="7">
        <f t="shared" si="15"/>
        <v>19355.497567567567</v>
      </c>
      <c r="H214" s="25">
        <f t="shared" si="16"/>
        <v>37117.036753641856</v>
      </c>
      <c r="I214" s="7">
        <f t="shared" si="17"/>
        <v>19355.497567567567</v>
      </c>
      <c r="J214" s="7">
        <f>VPI!R214</f>
        <v>10564.904768339768</v>
      </c>
      <c r="K214" s="158">
        <f t="shared" si="18"/>
        <v>11871.458436843925</v>
      </c>
      <c r="L214" s="242">
        <f t="shared" si="19"/>
        <v>31226.956004411491</v>
      </c>
      <c r="M214" s="100"/>
      <c r="N214" s="101"/>
      <c r="O214" s="98"/>
      <c r="P214" s="98"/>
      <c r="Q214" s="102"/>
    </row>
    <row r="215" spans="1:17" s="97" customFormat="1" x14ac:dyDescent="0.25">
      <c r="A215" s="131">
        <f>Données!A215</f>
        <v>5754</v>
      </c>
      <c r="B215" s="251" t="str">
        <f>Données!B215</f>
        <v>Juriens</v>
      </c>
      <c r="C215" s="579">
        <f>Données!AR215</f>
        <v>0</v>
      </c>
      <c r="D215" s="252">
        <f>Données!Z215</f>
        <v>348</v>
      </c>
      <c r="E215" s="99">
        <f>Données!X215</f>
        <v>79</v>
      </c>
      <c r="F215" s="30">
        <f>VPI!L215</f>
        <v>656207.49</v>
      </c>
      <c r="G215" s="7">
        <f t="shared" si="15"/>
        <v>16612.847848101264</v>
      </c>
      <c r="H215" s="25">
        <f t="shared" si="16"/>
        <v>32051.436204137386</v>
      </c>
      <c r="I215" s="7">
        <f t="shared" si="17"/>
        <v>16612.847848101264</v>
      </c>
      <c r="J215" s="7">
        <f>VPI!R215</f>
        <v>8959.0606329113925</v>
      </c>
      <c r="K215" s="158">
        <f t="shared" si="18"/>
        <v>10067.020789008571</v>
      </c>
      <c r="L215" s="242">
        <f t="shared" si="19"/>
        <v>26679.868637109837</v>
      </c>
      <c r="M215" s="100"/>
      <c r="N215" s="101"/>
      <c r="O215" s="98"/>
      <c r="P215" s="98"/>
      <c r="Q215" s="102"/>
    </row>
    <row r="216" spans="1:17" s="97" customFormat="1" x14ac:dyDescent="0.25">
      <c r="A216" s="131">
        <f>Données!A216</f>
        <v>5755</v>
      </c>
      <c r="B216" s="251" t="str">
        <f>Données!B216</f>
        <v>Lignerolle</v>
      </c>
      <c r="C216" s="579">
        <f>Données!AR216</f>
        <v>0</v>
      </c>
      <c r="D216" s="252">
        <f>Données!Z216</f>
        <v>463</v>
      </c>
      <c r="E216" s="99">
        <f>Données!X216</f>
        <v>78.5</v>
      </c>
      <c r="F216" s="30">
        <f>VPI!L216</f>
        <v>735153.39999999991</v>
      </c>
      <c r="G216" s="7">
        <f t="shared" si="15"/>
        <v>18730.022929936302</v>
      </c>
      <c r="H216" s="25">
        <f t="shared" si="16"/>
        <v>42643.146444010374</v>
      </c>
      <c r="I216" s="7">
        <f t="shared" si="17"/>
        <v>18730.022929936302</v>
      </c>
      <c r="J216" s="7">
        <f>VPI!R216</f>
        <v>10387.208371246586</v>
      </c>
      <c r="K216" s="158">
        <f t="shared" si="18"/>
        <v>11671.786462630747</v>
      </c>
      <c r="L216" s="242">
        <f t="shared" si="19"/>
        <v>30401.809392567047</v>
      </c>
      <c r="M216" s="100"/>
      <c r="N216" s="101"/>
      <c r="O216" s="98"/>
      <c r="P216" s="98"/>
      <c r="Q216" s="102"/>
    </row>
    <row r="217" spans="1:17" s="97" customFormat="1" x14ac:dyDescent="0.25">
      <c r="A217" s="131">
        <f>Données!A217</f>
        <v>5756</v>
      </c>
      <c r="B217" s="251" t="str">
        <f>Données!B217</f>
        <v>Montcherand</v>
      </c>
      <c r="C217" s="579">
        <f>Données!AR217</f>
        <v>0</v>
      </c>
      <c r="D217" s="252">
        <f>Données!Z217</f>
        <v>489</v>
      </c>
      <c r="E217" s="99">
        <f>Données!X217</f>
        <v>72</v>
      </c>
      <c r="F217" s="30">
        <f>VPI!L217</f>
        <v>1461415.17</v>
      </c>
      <c r="G217" s="7">
        <f t="shared" si="15"/>
        <v>40594.86583333333</v>
      </c>
      <c r="H217" s="25">
        <f t="shared" si="16"/>
        <v>45037.793976503395</v>
      </c>
      <c r="I217" s="7">
        <f t="shared" si="17"/>
        <v>40594.86583333333</v>
      </c>
      <c r="J217" s="7">
        <f>VPI!R217</f>
        <v>21540.691249999996</v>
      </c>
      <c r="K217" s="158">
        <f t="shared" si="18"/>
        <v>24204.612013312813</v>
      </c>
      <c r="L217" s="242">
        <f t="shared" si="19"/>
        <v>64799.477846646143</v>
      </c>
      <c r="M217" s="100"/>
      <c r="N217" s="101"/>
      <c r="O217" s="98"/>
      <c r="P217" s="98"/>
      <c r="Q217" s="102"/>
    </row>
    <row r="218" spans="1:17" s="97" customFormat="1" x14ac:dyDescent="0.25">
      <c r="A218" s="131">
        <f>Données!A218</f>
        <v>5757</v>
      </c>
      <c r="B218" s="251" t="str">
        <f>Données!B218</f>
        <v>Orbe</v>
      </c>
      <c r="C218" s="579">
        <f>Données!AR218</f>
        <v>0</v>
      </c>
      <c r="D218" s="252">
        <f>Données!Z218</f>
        <v>7962</v>
      </c>
      <c r="E218" s="99">
        <f>Données!X218</f>
        <v>75.5</v>
      </c>
      <c r="F218" s="30">
        <f>VPI!L218</f>
        <v>17637373.59</v>
      </c>
      <c r="G218" s="7">
        <f t="shared" si="15"/>
        <v>467215.19443708612</v>
      </c>
      <c r="H218" s="25">
        <f t="shared" si="16"/>
        <v>733314.75591190194</v>
      </c>
      <c r="I218" s="7">
        <f t="shared" si="17"/>
        <v>467215.19443708612</v>
      </c>
      <c r="J218" s="7">
        <f>VPI!R218</f>
        <v>256549.05814569537</v>
      </c>
      <c r="K218" s="158">
        <f t="shared" si="18"/>
        <v>288276.28337123984</v>
      </c>
      <c r="L218" s="242">
        <f t="shared" si="19"/>
        <v>755491.47780832602</v>
      </c>
      <c r="M218" s="100"/>
      <c r="N218" s="101"/>
      <c r="O218" s="98"/>
      <c r="P218" s="98"/>
      <c r="Q218" s="102"/>
    </row>
    <row r="219" spans="1:17" s="97" customFormat="1" x14ac:dyDescent="0.25">
      <c r="A219" s="131">
        <f>Données!A219</f>
        <v>5758</v>
      </c>
      <c r="B219" s="251" t="str">
        <f>Données!B219</f>
        <v>La Praz</v>
      </c>
      <c r="C219" s="579">
        <f>Données!AR219</f>
        <v>0</v>
      </c>
      <c r="D219" s="252">
        <f>Données!Z219</f>
        <v>207</v>
      </c>
      <c r="E219" s="99">
        <f>Données!X219</f>
        <v>83</v>
      </c>
      <c r="F219" s="30">
        <f>VPI!L219</f>
        <v>454799.59000000008</v>
      </c>
      <c r="G219" s="7">
        <f t="shared" si="15"/>
        <v>10959.026265060244</v>
      </c>
      <c r="H219" s="25">
        <f t="shared" si="16"/>
        <v>19065.078431771377</v>
      </c>
      <c r="I219" s="7">
        <f t="shared" si="17"/>
        <v>10959.026265060244</v>
      </c>
      <c r="J219" s="7">
        <f>VPI!R219</f>
        <v>5899.0938554216882</v>
      </c>
      <c r="K219" s="158">
        <f t="shared" si="18"/>
        <v>6628.6302674060944</v>
      </c>
      <c r="L219" s="242">
        <f t="shared" si="19"/>
        <v>17587.656532466339</v>
      </c>
      <c r="M219" s="100"/>
      <c r="N219" s="101"/>
      <c r="O219" s="98"/>
      <c r="P219" s="98"/>
      <c r="Q219" s="102"/>
    </row>
    <row r="220" spans="1:17" s="97" customFormat="1" x14ac:dyDescent="0.25">
      <c r="A220" s="131">
        <f>Données!A220</f>
        <v>5759</v>
      </c>
      <c r="B220" s="251" t="str">
        <f>Données!B220</f>
        <v>Premier</v>
      </c>
      <c r="C220" s="579">
        <f>Données!AR220</f>
        <v>0</v>
      </c>
      <c r="D220" s="252">
        <f>Données!Z220</f>
        <v>228</v>
      </c>
      <c r="E220" s="99">
        <f>Données!X220</f>
        <v>79.5</v>
      </c>
      <c r="F220" s="30">
        <f>VPI!L220</f>
        <v>377609.56999999989</v>
      </c>
      <c r="G220" s="7">
        <f t="shared" si="15"/>
        <v>9499.6118238993677</v>
      </c>
      <c r="H220" s="25">
        <f t="shared" si="16"/>
        <v>20999.216823400355</v>
      </c>
      <c r="I220" s="7">
        <f t="shared" si="17"/>
        <v>9499.6118238993677</v>
      </c>
      <c r="J220" s="7">
        <f>VPI!R220</f>
        <v>5179.7449056603764</v>
      </c>
      <c r="K220" s="158">
        <f t="shared" si="18"/>
        <v>5820.3199848307104</v>
      </c>
      <c r="L220" s="242">
        <f t="shared" si="19"/>
        <v>15319.931808730078</v>
      </c>
      <c r="M220" s="100"/>
      <c r="N220" s="101"/>
      <c r="O220" s="98"/>
      <c r="P220" s="98"/>
      <c r="Q220" s="102"/>
    </row>
    <row r="221" spans="1:17" s="97" customFormat="1" x14ac:dyDescent="0.25">
      <c r="A221" s="131">
        <f>Données!A221</f>
        <v>5760</v>
      </c>
      <c r="B221" s="251" t="str">
        <f>Données!B221</f>
        <v>Rances</v>
      </c>
      <c r="C221" s="579">
        <f>Données!AR221</f>
        <v>0</v>
      </c>
      <c r="D221" s="252">
        <f>Données!Z221</f>
        <v>508</v>
      </c>
      <c r="E221" s="99">
        <f>Données!X221</f>
        <v>76.5</v>
      </c>
      <c r="F221" s="30">
        <f>VPI!L221</f>
        <v>973699.33</v>
      </c>
      <c r="G221" s="7">
        <f t="shared" si="15"/>
        <v>25456.191633986928</v>
      </c>
      <c r="H221" s="25">
        <f t="shared" si="16"/>
        <v>46787.72871178676</v>
      </c>
      <c r="I221" s="7">
        <f t="shared" si="17"/>
        <v>25456.191633986928</v>
      </c>
      <c r="J221" s="7">
        <f>VPI!R221</f>
        <v>13863.335032679737</v>
      </c>
      <c r="K221" s="158">
        <f t="shared" si="18"/>
        <v>15577.803041793304</v>
      </c>
      <c r="L221" s="242">
        <f t="shared" si="19"/>
        <v>41033.994675780232</v>
      </c>
      <c r="M221" s="100"/>
      <c r="N221" s="101"/>
      <c r="O221" s="98"/>
      <c r="P221" s="98"/>
      <c r="Q221" s="102"/>
    </row>
    <row r="222" spans="1:17" s="97" customFormat="1" x14ac:dyDescent="0.25">
      <c r="A222" s="131">
        <f>Données!A222</f>
        <v>5761</v>
      </c>
      <c r="B222" s="251" t="str">
        <f>Données!B222</f>
        <v>Romainmôtier-Envy</v>
      </c>
      <c r="C222" s="579">
        <f>Données!AR222</f>
        <v>0</v>
      </c>
      <c r="D222" s="252">
        <f>Données!Z222</f>
        <v>560</v>
      </c>
      <c r="E222" s="99">
        <f>Données!X222</f>
        <v>81</v>
      </c>
      <c r="F222" s="30">
        <f>VPI!L222</f>
        <v>1046392.2800000001</v>
      </c>
      <c r="G222" s="7">
        <f t="shared" si="15"/>
        <v>25836.846419753088</v>
      </c>
      <c r="H222" s="25">
        <f t="shared" si="16"/>
        <v>51577.023776772803</v>
      </c>
      <c r="I222" s="7">
        <f t="shared" si="17"/>
        <v>25836.846419753088</v>
      </c>
      <c r="J222" s="7">
        <f>VPI!R222</f>
        <v>14116.093355780025</v>
      </c>
      <c r="K222" s="158">
        <f t="shared" si="18"/>
        <v>15861.819792823893</v>
      </c>
      <c r="L222" s="242">
        <f t="shared" si="19"/>
        <v>41698.66621257698</v>
      </c>
      <c r="M222" s="100"/>
      <c r="N222" s="101"/>
      <c r="O222" s="98"/>
      <c r="P222" s="98"/>
      <c r="Q222" s="102"/>
    </row>
    <row r="223" spans="1:17" s="97" customFormat="1" x14ac:dyDescent="0.25">
      <c r="A223" s="131">
        <f>Données!A223</f>
        <v>5762</v>
      </c>
      <c r="B223" s="251" t="str">
        <f>Données!B223</f>
        <v>Sergey</v>
      </c>
      <c r="C223" s="579">
        <f>Données!AR223</f>
        <v>0</v>
      </c>
      <c r="D223" s="252">
        <f>Données!Z223</f>
        <v>133</v>
      </c>
      <c r="E223" s="99">
        <f>Données!X223</f>
        <v>76</v>
      </c>
      <c r="F223" s="30">
        <f>VPI!L223</f>
        <v>244977.41</v>
      </c>
      <c r="G223" s="7">
        <f t="shared" si="15"/>
        <v>6446.7739473684214</v>
      </c>
      <c r="H223" s="25">
        <f t="shared" si="16"/>
        <v>12249.543146983542</v>
      </c>
      <c r="I223" s="7">
        <f t="shared" si="17"/>
        <v>6446.7739473684214</v>
      </c>
      <c r="J223" s="7">
        <f>VPI!R223</f>
        <v>3517.4810526315791</v>
      </c>
      <c r="K223" s="158">
        <f t="shared" si="18"/>
        <v>3952.4852361980975</v>
      </c>
      <c r="L223" s="242">
        <f t="shared" si="19"/>
        <v>10399.259183566519</v>
      </c>
      <c r="M223" s="100"/>
      <c r="N223" s="101"/>
      <c r="O223" s="98"/>
      <c r="P223" s="98"/>
      <c r="Q223" s="102"/>
    </row>
    <row r="224" spans="1:17" s="97" customFormat="1" x14ac:dyDescent="0.25">
      <c r="A224" s="131">
        <f>Données!A224</f>
        <v>5763</v>
      </c>
      <c r="B224" s="251" t="str">
        <f>Données!B224</f>
        <v>Valeyres-sous-Rances</v>
      </c>
      <c r="C224" s="579">
        <f>Données!AR224</f>
        <v>0</v>
      </c>
      <c r="D224" s="252">
        <f>Données!Z224</f>
        <v>583</v>
      </c>
      <c r="E224" s="99">
        <f>Données!X224</f>
        <v>71</v>
      </c>
      <c r="F224" s="30">
        <f>VPI!L224</f>
        <v>1477599.22</v>
      </c>
      <c r="G224" s="7">
        <f t="shared" si="15"/>
        <v>41622.513239436616</v>
      </c>
      <c r="H224" s="25">
        <f t="shared" si="16"/>
        <v>53695.365824747401</v>
      </c>
      <c r="I224" s="7">
        <f t="shared" si="17"/>
        <v>41622.513239436616</v>
      </c>
      <c r="J224" s="7">
        <f>VPI!R224</f>
        <v>22039.299577464786</v>
      </c>
      <c r="K224" s="158">
        <f t="shared" si="18"/>
        <v>24764.882850159429</v>
      </c>
      <c r="L224" s="242">
        <f t="shared" si="19"/>
        <v>66387.396089596048</v>
      </c>
      <c r="M224" s="100"/>
      <c r="N224" s="101"/>
      <c r="O224" s="98"/>
      <c r="P224" s="98"/>
      <c r="Q224" s="102"/>
    </row>
    <row r="225" spans="1:17" s="97" customFormat="1" x14ac:dyDescent="0.25">
      <c r="A225" s="131">
        <f>Données!A225</f>
        <v>5764</v>
      </c>
      <c r="B225" s="251" t="str">
        <f>Données!B225</f>
        <v>Vallorbe</v>
      </c>
      <c r="C225" s="579">
        <f>Données!AR225</f>
        <v>0</v>
      </c>
      <c r="D225" s="252">
        <f>Données!Z225</f>
        <v>4328</v>
      </c>
      <c r="E225" s="99">
        <f>Données!X225</f>
        <v>71.5</v>
      </c>
      <c r="F225" s="30">
        <f>VPI!L225</f>
        <v>6150250.7800000003</v>
      </c>
      <c r="G225" s="7">
        <f t="shared" si="15"/>
        <v>172034.98685314687</v>
      </c>
      <c r="H225" s="25">
        <f t="shared" si="16"/>
        <v>398616.71233191557</v>
      </c>
      <c r="I225" s="7">
        <f t="shared" si="17"/>
        <v>172034.98685314687</v>
      </c>
      <c r="J225" s="7">
        <f>VPI!R225</f>
        <v>94918.330489510496</v>
      </c>
      <c r="K225" s="158">
        <f t="shared" si="18"/>
        <v>106656.80761057296</v>
      </c>
      <c r="L225" s="242">
        <f t="shared" si="19"/>
        <v>278691.79446371982</v>
      </c>
      <c r="M225" s="100"/>
      <c r="N225" s="101"/>
      <c r="O225" s="98"/>
      <c r="P225" s="98"/>
      <c r="Q225" s="102"/>
    </row>
    <row r="226" spans="1:17" s="97" customFormat="1" x14ac:dyDescent="0.25">
      <c r="A226" s="131">
        <f>Données!A226</f>
        <v>5765</v>
      </c>
      <c r="B226" s="251" t="str">
        <f>Données!B226</f>
        <v>Vaulion</v>
      </c>
      <c r="C226" s="579">
        <f>Données!AR226</f>
        <v>0</v>
      </c>
      <c r="D226" s="252">
        <f>Données!Z226</f>
        <v>489</v>
      </c>
      <c r="E226" s="99">
        <f>Données!X226</f>
        <v>81</v>
      </c>
      <c r="F226" s="30">
        <f>VPI!L226</f>
        <v>752700.26</v>
      </c>
      <c r="G226" s="7">
        <f t="shared" si="15"/>
        <v>18585.191604938271</v>
      </c>
      <c r="H226" s="25">
        <f t="shared" si="16"/>
        <v>45037.793976503395</v>
      </c>
      <c r="I226" s="7">
        <f t="shared" si="17"/>
        <v>18585.191604938271</v>
      </c>
      <c r="J226" s="7">
        <f>VPI!R226</f>
        <v>10165.546419753087</v>
      </c>
      <c r="K226" s="158">
        <f t="shared" si="18"/>
        <v>11422.71174762995</v>
      </c>
      <c r="L226" s="242">
        <f t="shared" si="19"/>
        <v>30007.903352568221</v>
      </c>
      <c r="M226" s="100"/>
      <c r="N226" s="101"/>
      <c r="O226" s="98"/>
      <c r="P226" s="98"/>
      <c r="Q226" s="102"/>
    </row>
    <row r="227" spans="1:17" s="97" customFormat="1" x14ac:dyDescent="0.25">
      <c r="A227" s="131">
        <f>Données!A227</f>
        <v>5766</v>
      </c>
      <c r="B227" s="251" t="str">
        <f>Données!B227</f>
        <v>Vuiteboeuf</v>
      </c>
      <c r="C227" s="579">
        <f>Données!AR227</f>
        <v>0</v>
      </c>
      <c r="D227" s="252">
        <f>Données!Z227</f>
        <v>607</v>
      </c>
      <c r="E227" s="99">
        <f>Données!X227</f>
        <v>75</v>
      </c>
      <c r="F227" s="30">
        <f>VPI!L227</f>
        <v>1056139.06</v>
      </c>
      <c r="G227" s="7">
        <f t="shared" si="15"/>
        <v>28163.708266666668</v>
      </c>
      <c r="H227" s="25">
        <f t="shared" si="16"/>
        <v>55905.80970089481</v>
      </c>
      <c r="I227" s="7">
        <f t="shared" si="17"/>
        <v>28163.708266666668</v>
      </c>
      <c r="J227" s="7">
        <f>VPI!R227</f>
        <v>15485.667942857142</v>
      </c>
      <c r="K227" s="158">
        <f t="shared" si="18"/>
        <v>17400.768618502585</v>
      </c>
      <c r="L227" s="242">
        <f t="shared" si="19"/>
        <v>45564.47688516925</v>
      </c>
      <c r="M227" s="100"/>
      <c r="N227" s="101"/>
      <c r="O227" s="98"/>
      <c r="P227" s="98"/>
      <c r="Q227" s="102"/>
    </row>
    <row r="228" spans="1:17" s="97" customFormat="1" x14ac:dyDescent="0.25">
      <c r="A228" s="131">
        <f>Données!A228</f>
        <v>5785</v>
      </c>
      <c r="B228" s="251" t="str">
        <f>Données!B228</f>
        <v>Corcelles-le-Jorat</v>
      </c>
      <c r="C228" s="579">
        <f>Données!AR228</f>
        <v>0</v>
      </c>
      <c r="D228" s="252">
        <f>Données!Z228</f>
        <v>499</v>
      </c>
      <c r="E228" s="99">
        <f>Données!X228</f>
        <v>75</v>
      </c>
      <c r="F228" s="30">
        <f>VPI!L228</f>
        <v>1048185.9100000001</v>
      </c>
      <c r="G228" s="7">
        <f t="shared" si="15"/>
        <v>27951.624266666669</v>
      </c>
      <c r="H228" s="25">
        <f t="shared" si="16"/>
        <v>45958.812258231483</v>
      </c>
      <c r="I228" s="7">
        <f t="shared" si="17"/>
        <v>27951.624266666669</v>
      </c>
      <c r="J228" s="7">
        <f>VPI!R228</f>
        <v>15190.065466666669</v>
      </c>
      <c r="K228" s="158">
        <f t="shared" si="18"/>
        <v>17068.609210834318</v>
      </c>
      <c r="L228" s="242">
        <f t="shared" si="19"/>
        <v>45020.233477500988</v>
      </c>
      <c r="M228" s="100"/>
      <c r="N228" s="101"/>
      <c r="O228" s="98"/>
      <c r="P228" s="98"/>
      <c r="Q228" s="102"/>
    </row>
    <row r="229" spans="1:17" s="97" customFormat="1" x14ac:dyDescent="0.25">
      <c r="A229" s="131">
        <f>Données!A229</f>
        <v>5790</v>
      </c>
      <c r="B229" s="251" t="str">
        <f>Données!B229</f>
        <v>Maracon</v>
      </c>
      <c r="C229" s="579">
        <f>Données!AR229</f>
        <v>0</v>
      </c>
      <c r="D229" s="252">
        <f>Données!Z229</f>
        <v>569</v>
      </c>
      <c r="E229" s="99">
        <f>Données!X229</f>
        <v>74.5</v>
      </c>
      <c r="F229" s="30">
        <f>VPI!L229</f>
        <v>1112231.1699999997</v>
      </c>
      <c r="G229" s="7">
        <f t="shared" si="15"/>
        <v>29858.55489932885</v>
      </c>
      <c r="H229" s="25">
        <f t="shared" si="16"/>
        <v>52405.94023032808</v>
      </c>
      <c r="I229" s="7">
        <f t="shared" si="17"/>
        <v>29858.55489932885</v>
      </c>
      <c r="J229" s="7">
        <f>VPI!R229</f>
        <v>16291.788187919459</v>
      </c>
      <c r="K229" s="158">
        <f t="shared" si="18"/>
        <v>18306.581135907752</v>
      </c>
      <c r="L229" s="242">
        <f t="shared" si="19"/>
        <v>48165.136035236603</v>
      </c>
      <c r="M229" s="100"/>
      <c r="N229" s="101"/>
      <c r="O229" s="98"/>
      <c r="P229" s="98"/>
      <c r="Q229" s="102"/>
    </row>
    <row r="230" spans="1:17" s="97" customFormat="1" x14ac:dyDescent="0.25">
      <c r="A230" s="131">
        <f>Données!A230</f>
        <v>5792</v>
      </c>
      <c r="B230" s="251" t="str">
        <f>Données!B230</f>
        <v>Montpreveyres</v>
      </c>
      <c r="C230" s="579">
        <f>Données!AR230</f>
        <v>0</v>
      </c>
      <c r="D230" s="252">
        <f>Données!Z230</f>
        <v>653</v>
      </c>
      <c r="E230" s="99">
        <f>Données!X230</f>
        <v>74.5</v>
      </c>
      <c r="F230" s="30">
        <f>VPI!L230</f>
        <v>1365454.26</v>
      </c>
      <c r="G230" s="7">
        <f t="shared" si="15"/>
        <v>36656.490201342283</v>
      </c>
      <c r="H230" s="25">
        <f t="shared" si="16"/>
        <v>60142.493796844006</v>
      </c>
      <c r="I230" s="7">
        <f t="shared" si="17"/>
        <v>36656.490201342283</v>
      </c>
      <c r="J230" s="7">
        <f>VPI!R230</f>
        <v>20010.357852348992</v>
      </c>
      <c r="K230" s="158">
        <f t="shared" si="18"/>
        <v>22485.023458272488</v>
      </c>
      <c r="L230" s="242">
        <f t="shared" si="19"/>
        <v>59141.513659614771</v>
      </c>
      <c r="M230" s="100"/>
      <c r="N230" s="101"/>
      <c r="O230" s="98"/>
      <c r="P230" s="98"/>
      <c r="Q230" s="102"/>
    </row>
    <row r="231" spans="1:17" s="97" customFormat="1" x14ac:dyDescent="0.25">
      <c r="A231" s="131">
        <f>Données!A231</f>
        <v>5798</v>
      </c>
      <c r="B231" s="251" t="str">
        <f>Données!B231</f>
        <v>Ropraz</v>
      </c>
      <c r="C231" s="579">
        <f>Données!AR231</f>
        <v>0</v>
      </c>
      <c r="D231" s="252">
        <f>Données!Z231</f>
        <v>529</v>
      </c>
      <c r="E231" s="99">
        <f>Données!X231</f>
        <v>77.5</v>
      </c>
      <c r="F231" s="30">
        <f>VPI!L231</f>
        <v>1101480.5900000001</v>
      </c>
      <c r="G231" s="7">
        <f t="shared" si="15"/>
        <v>28425.305548387099</v>
      </c>
      <c r="H231" s="25">
        <f t="shared" si="16"/>
        <v>48721.867103415738</v>
      </c>
      <c r="I231" s="7">
        <f t="shared" si="17"/>
        <v>28425.305548387099</v>
      </c>
      <c r="J231" s="7">
        <f>VPI!R231</f>
        <v>15645.960516129035</v>
      </c>
      <c r="K231" s="158">
        <f t="shared" si="18"/>
        <v>17580.884451352733</v>
      </c>
      <c r="L231" s="242">
        <f t="shared" si="19"/>
        <v>46006.189999739829</v>
      </c>
      <c r="M231" s="100"/>
      <c r="N231" s="101"/>
      <c r="O231" s="98"/>
      <c r="P231" s="98"/>
      <c r="Q231" s="102"/>
    </row>
    <row r="232" spans="1:17" s="97" customFormat="1" x14ac:dyDescent="0.25">
      <c r="A232" s="131">
        <f>Données!A232</f>
        <v>5799</v>
      </c>
      <c r="B232" s="251" t="str">
        <f>Données!B232</f>
        <v>Servion</v>
      </c>
      <c r="C232" s="579">
        <f>Données!AR232</f>
        <v>0</v>
      </c>
      <c r="D232" s="252">
        <f>Données!Z232</f>
        <v>2228</v>
      </c>
      <c r="E232" s="99">
        <f>Données!X232</f>
        <v>69</v>
      </c>
      <c r="F232" s="30">
        <f>VPI!L232</f>
        <v>5043472.7200000016</v>
      </c>
      <c r="G232" s="7">
        <f t="shared" si="15"/>
        <v>146187.61507246381</v>
      </c>
      <c r="H232" s="25">
        <f t="shared" si="16"/>
        <v>205202.87316901752</v>
      </c>
      <c r="I232" s="7">
        <f t="shared" si="17"/>
        <v>146187.61507246381</v>
      </c>
      <c r="J232" s="7">
        <f>VPI!R232</f>
        <v>79870.61985507248</v>
      </c>
      <c r="K232" s="158">
        <f t="shared" si="18"/>
        <v>89748.158144870526</v>
      </c>
      <c r="L232" s="242">
        <f t="shared" si="19"/>
        <v>235935.77321733435</v>
      </c>
      <c r="M232" s="100"/>
      <c r="N232" s="101"/>
      <c r="O232" s="98"/>
      <c r="P232" s="98"/>
      <c r="Q232" s="102"/>
    </row>
    <row r="233" spans="1:17" s="97" customFormat="1" x14ac:dyDescent="0.25">
      <c r="A233" s="131">
        <f>Données!A233</f>
        <v>5803</v>
      </c>
      <c r="B233" s="251" t="str">
        <f>Données!B233</f>
        <v>Vulliens</v>
      </c>
      <c r="C233" s="579">
        <f>Données!AR233</f>
        <v>0</v>
      </c>
      <c r="D233" s="252">
        <f>Données!Z233</f>
        <v>628</v>
      </c>
      <c r="E233" s="99">
        <f>Données!X233</f>
        <v>74</v>
      </c>
      <c r="F233" s="30">
        <f>VPI!L233</f>
        <v>1254211.0299999998</v>
      </c>
      <c r="G233" s="7">
        <f t="shared" si="15"/>
        <v>33897.595405405402</v>
      </c>
      <c r="H233" s="25">
        <f t="shared" si="16"/>
        <v>57839.948092523788</v>
      </c>
      <c r="I233" s="7">
        <f t="shared" si="17"/>
        <v>33897.595405405402</v>
      </c>
      <c r="J233" s="7">
        <f>VPI!R233</f>
        <v>18493.730135135131</v>
      </c>
      <c r="K233" s="158">
        <f t="shared" si="18"/>
        <v>20780.835554655521</v>
      </c>
      <c r="L233" s="242">
        <f t="shared" si="19"/>
        <v>54678.430960060927</v>
      </c>
      <c r="M233" s="100"/>
      <c r="N233" s="101"/>
      <c r="O233" s="98"/>
      <c r="P233" s="98"/>
      <c r="Q233" s="102"/>
    </row>
    <row r="234" spans="1:17" s="97" customFormat="1" x14ac:dyDescent="0.25">
      <c r="A234" s="131">
        <f>Données!A234</f>
        <v>5804</v>
      </c>
      <c r="B234" s="251" t="str">
        <f>Données!B234</f>
        <v>Jorat-Menthue</v>
      </c>
      <c r="C234" s="579">
        <f>Données!AR234</f>
        <v>0</v>
      </c>
      <c r="D234" s="252">
        <f>Données!Z234</f>
        <v>1576</v>
      </c>
      <c r="E234" s="99">
        <f>Données!X234</f>
        <v>70.5</v>
      </c>
      <c r="F234" s="30">
        <f>VPI!L234</f>
        <v>3104066.4</v>
      </c>
      <c r="G234" s="7">
        <f t="shared" si="15"/>
        <v>88058.621276595746</v>
      </c>
      <c r="H234" s="25">
        <f t="shared" si="16"/>
        <v>145152.48120034632</v>
      </c>
      <c r="I234" s="7">
        <f t="shared" si="17"/>
        <v>88058.621276595746</v>
      </c>
      <c r="J234" s="7">
        <f>VPI!R234</f>
        <v>48159.833333333336</v>
      </c>
      <c r="K234" s="158">
        <f t="shared" si="18"/>
        <v>54115.722978905942</v>
      </c>
      <c r="L234" s="242">
        <f t="shared" si="19"/>
        <v>142174.3442555017</v>
      </c>
      <c r="M234" s="100"/>
      <c r="N234" s="101"/>
      <c r="O234" s="98"/>
      <c r="P234" s="98"/>
      <c r="Q234" s="102"/>
    </row>
    <row r="235" spans="1:17" s="97" customFormat="1" x14ac:dyDescent="0.25">
      <c r="A235" s="131">
        <f>Données!A235</f>
        <v>5805</v>
      </c>
      <c r="B235" s="251" t="str">
        <f>Données!B235</f>
        <v>Oron</v>
      </c>
      <c r="C235" s="579">
        <f>Données!AR235</f>
        <v>0</v>
      </c>
      <c r="D235" s="252">
        <f>Données!Z235</f>
        <v>6345</v>
      </c>
      <c r="E235" s="99">
        <f>Données!X235</f>
        <v>69</v>
      </c>
      <c r="F235" s="30">
        <f>VPI!L235</f>
        <v>11838058.84</v>
      </c>
      <c r="G235" s="7">
        <f t="shared" si="15"/>
        <v>343132.14028985507</v>
      </c>
      <c r="H235" s="25">
        <f t="shared" si="16"/>
        <v>584386.09975647042</v>
      </c>
      <c r="I235" s="7">
        <f t="shared" si="17"/>
        <v>343132.14028985507</v>
      </c>
      <c r="J235" s="7">
        <f>VPI!R235</f>
        <v>189171.20249011857</v>
      </c>
      <c r="K235" s="158">
        <f t="shared" si="18"/>
        <v>212565.85999138516</v>
      </c>
      <c r="L235" s="242">
        <f t="shared" si="19"/>
        <v>555698.00028124021</v>
      </c>
      <c r="M235" s="100"/>
      <c r="N235" s="101"/>
      <c r="O235" s="98"/>
      <c r="P235" s="98"/>
      <c r="Q235" s="102"/>
    </row>
    <row r="236" spans="1:17" s="97" customFormat="1" x14ac:dyDescent="0.25">
      <c r="A236" s="131">
        <f>Données!A236</f>
        <v>5806</v>
      </c>
      <c r="B236" s="251" t="str">
        <f>Données!B236</f>
        <v>Jorat-Mézières</v>
      </c>
      <c r="C236" s="579">
        <f>Données!AR236</f>
        <v>0</v>
      </c>
      <c r="D236" s="252">
        <f>Données!Z236</f>
        <v>3189</v>
      </c>
      <c r="E236" s="99">
        <f>Données!X236</f>
        <v>71</v>
      </c>
      <c r="F236" s="30">
        <f>VPI!L236</f>
        <v>6614697.4900000012</v>
      </c>
      <c r="G236" s="7">
        <f t="shared" si="15"/>
        <v>186329.50676056341</v>
      </c>
      <c r="H236" s="25">
        <f t="shared" si="16"/>
        <v>293712.73004308657</v>
      </c>
      <c r="I236" s="7">
        <f t="shared" si="17"/>
        <v>186329.50676056341</v>
      </c>
      <c r="J236" s="7">
        <f>VPI!R236</f>
        <v>101965.39633802818</v>
      </c>
      <c r="K236" s="158">
        <f t="shared" si="18"/>
        <v>114575.37868686733</v>
      </c>
      <c r="L236" s="242">
        <f t="shared" si="19"/>
        <v>300904.88544743077</v>
      </c>
      <c r="M236" s="100"/>
      <c r="N236" s="101"/>
      <c r="O236" s="98"/>
      <c r="P236" s="98"/>
      <c r="Q236" s="102"/>
    </row>
    <row r="237" spans="1:17" s="97" customFormat="1" x14ac:dyDescent="0.25">
      <c r="A237" s="131">
        <f>Données!A237</f>
        <v>5812</v>
      </c>
      <c r="B237" s="251" t="str">
        <f>Données!B237</f>
        <v>Champtauroz</v>
      </c>
      <c r="C237" s="579">
        <f>Données!AR237</f>
        <v>0</v>
      </c>
      <c r="D237" s="252">
        <f>Données!Z237</f>
        <v>196</v>
      </c>
      <c r="E237" s="99">
        <f>Données!X237</f>
        <v>77</v>
      </c>
      <c r="F237" s="30">
        <f>VPI!L237</f>
        <v>279620.80999999994</v>
      </c>
      <c r="G237" s="7">
        <f t="shared" si="15"/>
        <v>7262.8781818181806</v>
      </c>
      <c r="H237" s="25">
        <f t="shared" si="16"/>
        <v>18051.958321870483</v>
      </c>
      <c r="I237" s="7">
        <f t="shared" si="17"/>
        <v>7262.8781818181806</v>
      </c>
      <c r="J237" s="7">
        <f>VPI!R237</f>
        <v>3968.7312987012979</v>
      </c>
      <c r="K237" s="158">
        <f t="shared" si="18"/>
        <v>4459.5412540512607</v>
      </c>
      <c r="L237" s="242">
        <f t="shared" si="19"/>
        <v>11722.41943586944</v>
      </c>
      <c r="M237" s="100"/>
      <c r="N237" s="101"/>
      <c r="O237" s="98"/>
      <c r="P237" s="98"/>
      <c r="Q237" s="102"/>
    </row>
    <row r="238" spans="1:17" s="97" customFormat="1" x14ac:dyDescent="0.25">
      <c r="A238" s="131">
        <f>Données!A238</f>
        <v>5813</v>
      </c>
      <c r="B238" s="251" t="str">
        <f>Données!B238</f>
        <v>Chevroux</v>
      </c>
      <c r="C238" s="579">
        <f>Données!AR238</f>
        <v>0</v>
      </c>
      <c r="D238" s="252">
        <f>Données!Z238</f>
        <v>495</v>
      </c>
      <c r="E238" s="99">
        <f>Données!X238</f>
        <v>68.5</v>
      </c>
      <c r="F238" s="30">
        <f>VPI!L238</f>
        <v>1212352.42</v>
      </c>
      <c r="G238" s="7">
        <f t="shared" si="15"/>
        <v>35397.15094890511</v>
      </c>
      <c r="H238" s="25">
        <f t="shared" si="16"/>
        <v>45590.404945540249</v>
      </c>
      <c r="I238" s="7">
        <f t="shared" si="17"/>
        <v>35397.15094890511</v>
      </c>
      <c r="J238" s="7">
        <f>VPI!R238</f>
        <v>19281.459294403892</v>
      </c>
      <c r="K238" s="158">
        <f t="shared" si="18"/>
        <v>21665.982574794602</v>
      </c>
      <c r="L238" s="242">
        <f t="shared" si="19"/>
        <v>57063.133523699711</v>
      </c>
      <c r="M238" s="100"/>
      <c r="N238" s="101"/>
      <c r="O238" s="98"/>
      <c r="P238" s="98"/>
      <c r="Q238" s="102"/>
    </row>
    <row r="239" spans="1:17" s="97" customFormat="1" x14ac:dyDescent="0.25">
      <c r="A239" s="131">
        <f>Données!A239</f>
        <v>5816</v>
      </c>
      <c r="B239" s="251" t="str">
        <f>Données!B239</f>
        <v>Corcelles-près-Payerne</v>
      </c>
      <c r="C239" s="579">
        <f>Données!AR239</f>
        <v>0</v>
      </c>
      <c r="D239" s="252">
        <f>Données!Z239</f>
        <v>3004</v>
      </c>
      <c r="E239" s="99">
        <f>Données!X239</f>
        <v>65</v>
      </c>
      <c r="F239" s="30">
        <f>VPI!L239</f>
        <v>4370868.1499999994</v>
      </c>
      <c r="G239" s="7">
        <f t="shared" si="15"/>
        <v>134488.25076923074</v>
      </c>
      <c r="H239" s="25">
        <f t="shared" si="16"/>
        <v>276673.89183111698</v>
      </c>
      <c r="I239" s="7">
        <f t="shared" si="17"/>
        <v>134488.25076923074</v>
      </c>
      <c r="J239" s="7">
        <f>VPI!R239</f>
        <v>73731.873296703299</v>
      </c>
      <c r="K239" s="158">
        <f t="shared" si="18"/>
        <v>82850.237508577789</v>
      </c>
      <c r="L239" s="242">
        <f t="shared" si="19"/>
        <v>217338.48827780853</v>
      </c>
      <c r="M239" s="100"/>
      <c r="N239" s="101"/>
      <c r="O239" s="98"/>
      <c r="P239" s="98"/>
      <c r="Q239" s="102"/>
    </row>
    <row r="240" spans="1:17" s="97" customFormat="1" x14ac:dyDescent="0.25">
      <c r="A240" s="131">
        <f>Données!A240</f>
        <v>5817</v>
      </c>
      <c r="B240" s="251" t="str">
        <f>Données!B240</f>
        <v>Grandcour</v>
      </c>
      <c r="C240" s="579">
        <f>Données!AR240</f>
        <v>0</v>
      </c>
      <c r="D240" s="252">
        <f>Données!Z240</f>
        <v>983</v>
      </c>
      <c r="E240" s="99">
        <f>Données!X240</f>
        <v>72</v>
      </c>
      <c r="F240" s="30">
        <f>VPI!L240</f>
        <v>1800749.3900000004</v>
      </c>
      <c r="G240" s="7">
        <f t="shared" si="15"/>
        <v>50020.816388888896</v>
      </c>
      <c r="H240" s="25">
        <f t="shared" si="16"/>
        <v>90536.097093870834</v>
      </c>
      <c r="I240" s="7">
        <f t="shared" si="17"/>
        <v>50020.816388888896</v>
      </c>
      <c r="J240" s="7">
        <f>VPI!R240</f>
        <v>27223.795694444449</v>
      </c>
      <c r="K240" s="158">
        <f t="shared" si="18"/>
        <v>30590.541624968693</v>
      </c>
      <c r="L240" s="242">
        <f t="shared" si="19"/>
        <v>80611.358013857593</v>
      </c>
      <c r="M240" s="100"/>
      <c r="N240" s="101"/>
      <c r="O240" s="98"/>
      <c r="P240" s="98"/>
      <c r="Q240" s="102"/>
    </row>
    <row r="241" spans="1:17" s="97" customFormat="1" x14ac:dyDescent="0.25">
      <c r="A241" s="131">
        <f>Données!A241</f>
        <v>5819</v>
      </c>
      <c r="B241" s="251" t="str">
        <f>Données!B241</f>
        <v>Henniez</v>
      </c>
      <c r="C241" s="579">
        <f>Données!AR241</f>
        <v>0</v>
      </c>
      <c r="D241" s="252">
        <f>Données!Z241</f>
        <v>468</v>
      </c>
      <c r="E241" s="99">
        <f>Données!X241</f>
        <v>69</v>
      </c>
      <c r="F241" s="30">
        <f>VPI!L241</f>
        <v>920886.02000000014</v>
      </c>
      <c r="G241" s="7">
        <f t="shared" si="15"/>
        <v>26692.348405797104</v>
      </c>
      <c r="H241" s="25">
        <f t="shared" si="16"/>
        <v>43103.655584874417</v>
      </c>
      <c r="I241" s="7">
        <f t="shared" si="17"/>
        <v>26692.348405797104</v>
      </c>
      <c r="J241" s="7">
        <f>VPI!R241</f>
        <v>14881.811884057974</v>
      </c>
      <c r="K241" s="158">
        <f t="shared" si="18"/>
        <v>16722.234144121587</v>
      </c>
      <c r="L241" s="242">
        <f t="shared" si="19"/>
        <v>43414.58254991869</v>
      </c>
      <c r="M241" s="100"/>
      <c r="N241" s="101"/>
      <c r="O241" s="98"/>
      <c r="P241" s="98"/>
      <c r="Q241" s="102"/>
    </row>
    <row r="242" spans="1:17" s="97" customFormat="1" x14ac:dyDescent="0.25">
      <c r="A242" s="131">
        <f>Données!A242</f>
        <v>5821</v>
      </c>
      <c r="B242" s="251" t="str">
        <f>Données!B242</f>
        <v>Missy</v>
      </c>
      <c r="C242" s="579">
        <f>Données!AR242</f>
        <v>0</v>
      </c>
      <c r="D242" s="252">
        <f>Données!Z242</f>
        <v>384</v>
      </c>
      <c r="E242" s="99">
        <f>Données!X242</f>
        <v>69</v>
      </c>
      <c r="F242" s="30">
        <f>VPI!L242</f>
        <v>658044.6100000001</v>
      </c>
      <c r="G242" s="7">
        <f t="shared" si="15"/>
        <v>19073.756811594205</v>
      </c>
      <c r="H242" s="25">
        <f t="shared" si="16"/>
        <v>35367.102018358491</v>
      </c>
      <c r="I242" s="7">
        <f t="shared" si="17"/>
        <v>19073.756811594205</v>
      </c>
      <c r="J242" s="7">
        <f>VPI!R242</f>
        <v>10384.069710144928</v>
      </c>
      <c r="K242" s="158">
        <f t="shared" si="18"/>
        <v>11668.259645718272</v>
      </c>
      <c r="L242" s="242">
        <f t="shared" si="19"/>
        <v>30742.016457312478</v>
      </c>
      <c r="M242" s="100"/>
      <c r="N242" s="101"/>
      <c r="O242" s="98"/>
      <c r="P242" s="98"/>
      <c r="Q242" s="102"/>
    </row>
    <row r="243" spans="1:17" s="97" customFormat="1" x14ac:dyDescent="0.25">
      <c r="A243" s="131">
        <f>Données!A243</f>
        <v>5822</v>
      </c>
      <c r="B243" s="251" t="str">
        <f>Données!B243</f>
        <v>Payerne</v>
      </c>
      <c r="C243" s="579">
        <f>Données!AR243</f>
        <v>0</v>
      </c>
      <c r="D243" s="252">
        <f>Données!Z243</f>
        <v>10802</v>
      </c>
      <c r="E243" s="99">
        <f>Données!X243</f>
        <v>70</v>
      </c>
      <c r="F243" s="30">
        <f>VPI!L243</f>
        <v>15626283.66</v>
      </c>
      <c r="G243" s="7">
        <f t="shared" si="15"/>
        <v>446465.24742857146</v>
      </c>
      <c r="H243" s="144">
        <f t="shared" si="16"/>
        <v>994883.94792267832</v>
      </c>
      <c r="I243" s="7">
        <f t="shared" si="17"/>
        <v>446465.24742857146</v>
      </c>
      <c r="J243" s="7">
        <f>VPI!R243</f>
        <v>250662.19871428571</v>
      </c>
      <c r="K243" s="158">
        <f t="shared" si="18"/>
        <v>281661.40054967848</v>
      </c>
      <c r="L243" s="242">
        <f t="shared" si="19"/>
        <v>728126.64797824994</v>
      </c>
      <c r="M243" s="100"/>
      <c r="N243" s="101"/>
      <c r="O243" s="98"/>
      <c r="P243" s="98"/>
      <c r="Q243" s="102"/>
    </row>
    <row r="244" spans="1:17" s="97" customFormat="1" x14ac:dyDescent="0.25">
      <c r="A244" s="131">
        <f>Données!A244</f>
        <v>5827</v>
      </c>
      <c r="B244" s="251" t="str">
        <f>Données!B244</f>
        <v>Trey</v>
      </c>
      <c r="C244" s="579">
        <f>Données!AR244</f>
        <v>0</v>
      </c>
      <c r="D244" s="252">
        <f>Données!Z244</f>
        <v>318</v>
      </c>
      <c r="E244" s="99">
        <f>Données!X244</f>
        <v>78</v>
      </c>
      <c r="F244" s="30">
        <f>VPI!L244</f>
        <v>626761.35</v>
      </c>
      <c r="G244" s="7">
        <f t="shared" si="15"/>
        <v>16070.803846153845</v>
      </c>
      <c r="H244" s="25">
        <f t="shared" si="16"/>
        <v>29288.381358953127</v>
      </c>
      <c r="I244" s="7">
        <f t="shared" si="17"/>
        <v>16070.803846153845</v>
      </c>
      <c r="J244" s="7">
        <f>VPI!R244</f>
        <v>8694.454487179486</v>
      </c>
      <c r="K244" s="158">
        <f t="shared" si="18"/>
        <v>9769.691004209817</v>
      </c>
      <c r="L244" s="242">
        <f t="shared" si="19"/>
        <v>25840.494850363662</v>
      </c>
      <c r="M244" s="100"/>
      <c r="N244" s="101"/>
      <c r="O244" s="98"/>
      <c r="P244" s="98"/>
      <c r="Q244" s="102"/>
    </row>
    <row r="245" spans="1:17" s="97" customFormat="1" x14ac:dyDescent="0.25">
      <c r="A245" s="131">
        <f>Données!A245</f>
        <v>5828</v>
      </c>
      <c r="B245" s="251" t="str">
        <f>Données!B245</f>
        <v>Treytorrens (Payerne)</v>
      </c>
      <c r="C245" s="579">
        <f>Données!AR245</f>
        <v>0</v>
      </c>
      <c r="D245" s="252">
        <f>Données!Z245</f>
        <v>109</v>
      </c>
      <c r="E245" s="99">
        <f>Données!X245</f>
        <v>81.5</v>
      </c>
      <c r="F245" s="30">
        <f>VPI!L245</f>
        <v>213020.14999999997</v>
      </c>
      <c r="G245" s="7">
        <f t="shared" si="15"/>
        <v>5227.4883435582815</v>
      </c>
      <c r="H245" s="25">
        <f t="shared" si="16"/>
        <v>10039.099270836135</v>
      </c>
      <c r="I245" s="7">
        <f t="shared" si="17"/>
        <v>5227.4883435582815</v>
      </c>
      <c r="J245" s="7">
        <f>VPI!R245</f>
        <v>2843.8202453987728</v>
      </c>
      <c r="K245" s="158">
        <f t="shared" si="18"/>
        <v>3195.513313690959</v>
      </c>
      <c r="L245" s="242">
        <f t="shared" si="19"/>
        <v>8423.0016572492405</v>
      </c>
      <c r="M245" s="100"/>
      <c r="N245" s="101"/>
      <c r="O245" s="98"/>
      <c r="P245" s="98"/>
      <c r="Q245" s="102"/>
    </row>
    <row r="246" spans="1:17" s="97" customFormat="1" x14ac:dyDescent="0.25">
      <c r="A246" s="131">
        <f>Données!A246</f>
        <v>5830</v>
      </c>
      <c r="B246" s="251" t="str">
        <f>Données!B246</f>
        <v>Villarzel</v>
      </c>
      <c r="C246" s="579">
        <f>Données!AR246</f>
        <v>0</v>
      </c>
      <c r="D246" s="252">
        <f>Données!Z246</f>
        <v>524</v>
      </c>
      <c r="E246" s="99">
        <f>Données!X246</f>
        <v>75</v>
      </c>
      <c r="F246" s="30">
        <f>VPI!L246</f>
        <v>1054675.5999999999</v>
      </c>
      <c r="G246" s="7">
        <f t="shared" si="15"/>
        <v>28124.682666666664</v>
      </c>
      <c r="H246" s="25">
        <f t="shared" si="16"/>
        <v>48261.357962551694</v>
      </c>
      <c r="I246" s="7">
        <f t="shared" si="17"/>
        <v>28124.682666666664</v>
      </c>
      <c r="J246" s="7">
        <f>VPI!R246</f>
        <v>15008.365333333331</v>
      </c>
      <c r="K246" s="158">
        <f t="shared" si="18"/>
        <v>16864.438361391378</v>
      </c>
      <c r="L246" s="242">
        <f t="shared" si="19"/>
        <v>44989.121028058042</v>
      </c>
      <c r="M246" s="100"/>
      <c r="N246" s="101"/>
      <c r="O246" s="98"/>
      <c r="P246" s="98"/>
      <c r="Q246" s="102"/>
    </row>
    <row r="247" spans="1:17" s="97" customFormat="1" x14ac:dyDescent="0.25">
      <c r="A247" s="131">
        <f>Données!A247</f>
        <v>5831</v>
      </c>
      <c r="B247" s="251" t="str">
        <f>Données!B247</f>
        <v>Valbroye</v>
      </c>
      <c r="C247" s="579">
        <f>Données!AR247</f>
        <v>0</v>
      </c>
      <c r="D247" s="252">
        <f>Données!Z247</f>
        <v>3435</v>
      </c>
      <c r="E247" s="99">
        <f>Données!X247</f>
        <v>70.5</v>
      </c>
      <c r="F247" s="30">
        <f>VPI!L247</f>
        <v>5538958.9800000004</v>
      </c>
      <c r="G247" s="7">
        <f t="shared" si="15"/>
        <v>157133.5880851064</v>
      </c>
      <c r="H247" s="25">
        <f t="shared" si="16"/>
        <v>316369.77977359749</v>
      </c>
      <c r="I247" s="7">
        <f t="shared" si="17"/>
        <v>157133.5880851064</v>
      </c>
      <c r="J247" s="7">
        <f>VPI!R247</f>
        <v>87116.396643026019</v>
      </c>
      <c r="K247" s="158">
        <f t="shared" si="18"/>
        <v>97890.014590052306</v>
      </c>
      <c r="L247" s="242">
        <f t="shared" si="19"/>
        <v>255023.60267515871</v>
      </c>
      <c r="M247" s="100"/>
      <c r="N247" s="101"/>
      <c r="O247" s="98"/>
      <c r="P247" s="98"/>
      <c r="Q247" s="102"/>
    </row>
    <row r="248" spans="1:17" s="97" customFormat="1" x14ac:dyDescent="0.25">
      <c r="A248" s="131">
        <f>Données!A248</f>
        <v>5841</v>
      </c>
      <c r="B248" s="251" t="str">
        <f>Données!B248</f>
        <v>Château-d'Oex</v>
      </c>
      <c r="C248" s="579">
        <f>Données!AR248</f>
        <v>0</v>
      </c>
      <c r="D248" s="252">
        <f>Données!Z248</f>
        <v>3656</v>
      </c>
      <c r="E248" s="99">
        <f>Données!X248</f>
        <v>81.5</v>
      </c>
      <c r="F248" s="30">
        <f>VPI!L248</f>
        <v>8982897.1900000013</v>
      </c>
      <c r="G248" s="7">
        <f t="shared" si="15"/>
        <v>220439.19484662579</v>
      </c>
      <c r="H248" s="25">
        <f t="shared" si="16"/>
        <v>336724.28379978816</v>
      </c>
      <c r="I248" s="7">
        <f t="shared" si="17"/>
        <v>220439.19484662579</v>
      </c>
      <c r="J248" s="7">
        <f>VPI!R248</f>
        <v>123941.3219631902</v>
      </c>
      <c r="K248" s="158">
        <f t="shared" si="18"/>
        <v>139269.05017665602</v>
      </c>
      <c r="L248" s="242">
        <f t="shared" si="19"/>
        <v>359708.24502328178</v>
      </c>
      <c r="M248" s="100"/>
      <c r="N248" s="101"/>
      <c r="O248" s="98"/>
      <c r="P248" s="98"/>
      <c r="Q248" s="102"/>
    </row>
    <row r="249" spans="1:17" s="97" customFormat="1" x14ac:dyDescent="0.25">
      <c r="A249" s="131">
        <f>Données!A249</f>
        <v>5842</v>
      </c>
      <c r="B249" s="251" t="str">
        <f>Données!B249</f>
        <v>Rossinière</v>
      </c>
      <c r="C249" s="579">
        <f>Données!AR249</f>
        <v>0</v>
      </c>
      <c r="D249" s="252">
        <f>Données!Z249</f>
        <v>499</v>
      </c>
      <c r="E249" s="99">
        <f>Données!X249</f>
        <v>81</v>
      </c>
      <c r="F249" s="30">
        <f>VPI!L249</f>
        <v>1185271.46</v>
      </c>
      <c r="G249" s="7">
        <f t="shared" si="15"/>
        <v>29265.961975308641</v>
      </c>
      <c r="H249" s="25">
        <f t="shared" si="16"/>
        <v>45958.812258231483</v>
      </c>
      <c r="I249" s="7">
        <f t="shared" si="17"/>
        <v>29265.961975308641</v>
      </c>
      <c r="J249" s="7">
        <f>VPI!R249</f>
        <v>15883.310411522634</v>
      </c>
      <c r="K249" s="158">
        <f t="shared" si="18"/>
        <v>17847.587226241743</v>
      </c>
      <c r="L249" s="242">
        <f t="shared" si="19"/>
        <v>47113.549201550384</v>
      </c>
      <c r="M249" s="100"/>
      <c r="N249" s="101"/>
      <c r="O249" s="98"/>
      <c r="P249" s="98"/>
      <c r="Q249" s="102"/>
    </row>
    <row r="250" spans="1:17" s="97" customFormat="1" x14ac:dyDescent="0.25">
      <c r="A250" s="131">
        <f>Données!A250</f>
        <v>5843</v>
      </c>
      <c r="B250" s="251" t="str">
        <f>Données!B250</f>
        <v>Rougemont</v>
      </c>
      <c r="C250" s="579">
        <f>Données!AR250</f>
        <v>0</v>
      </c>
      <c r="D250" s="252">
        <f>Données!Z250</f>
        <v>812</v>
      </c>
      <c r="E250" s="99">
        <f>Données!X250</f>
        <v>79</v>
      </c>
      <c r="F250" s="30">
        <f>VPI!L250</f>
        <v>5970267.25</v>
      </c>
      <c r="G250" s="7">
        <f t="shared" si="15"/>
        <v>151146.00632911394</v>
      </c>
      <c r="H250" s="25">
        <f t="shared" si="16"/>
        <v>74786.684476320574</v>
      </c>
      <c r="I250" s="7">
        <f t="shared" si="17"/>
        <v>74786.684476320574</v>
      </c>
      <c r="J250" s="7">
        <f>VPI!R250</f>
        <v>87174.419831223626</v>
      </c>
      <c r="K250" s="158">
        <f t="shared" si="18"/>
        <v>97955.213461425505</v>
      </c>
      <c r="L250" s="242">
        <f t="shared" si="19"/>
        <v>172741.89793774608</v>
      </c>
      <c r="M250" s="100"/>
      <c r="N250" s="101"/>
      <c r="O250" s="98"/>
      <c r="P250" s="98"/>
      <c r="Q250" s="102"/>
    </row>
    <row r="251" spans="1:17" s="97" customFormat="1" x14ac:dyDescent="0.25">
      <c r="A251" s="131">
        <f>Données!A251</f>
        <v>5851</v>
      </c>
      <c r="B251" s="251" t="str">
        <f>Données!B251</f>
        <v>Allaman</v>
      </c>
      <c r="C251" s="579">
        <f>Données!AR251</f>
        <v>0</v>
      </c>
      <c r="D251" s="252">
        <f>Données!Z251</f>
        <v>430</v>
      </c>
      <c r="E251" s="99">
        <f>Données!X251</f>
        <v>65</v>
      </c>
      <c r="F251" s="30">
        <f>VPI!L251</f>
        <v>1585736.77</v>
      </c>
      <c r="G251" s="7">
        <f t="shared" si="15"/>
        <v>48791.900615384613</v>
      </c>
      <c r="H251" s="25">
        <f t="shared" si="16"/>
        <v>39603.786114307688</v>
      </c>
      <c r="I251" s="7">
        <f t="shared" si="17"/>
        <v>39603.786114307688</v>
      </c>
      <c r="J251" s="7">
        <f>VPI!R251</f>
        <v>27728.701333333334</v>
      </c>
      <c r="K251" s="158">
        <f t="shared" si="18"/>
        <v>31157.88855691264</v>
      </c>
      <c r="L251" s="242">
        <f t="shared" si="19"/>
        <v>70761.674671220331</v>
      </c>
      <c r="M251" s="100"/>
      <c r="N251" s="101"/>
      <c r="O251" s="98"/>
      <c r="P251" s="98"/>
      <c r="Q251" s="102"/>
    </row>
    <row r="252" spans="1:17" s="97" customFormat="1" x14ac:dyDescent="0.25">
      <c r="A252" s="131">
        <f>Données!A252</f>
        <v>5852</v>
      </c>
      <c r="B252" s="251" t="str">
        <f>Données!B252</f>
        <v>Bursinel</v>
      </c>
      <c r="C252" s="579">
        <f>Données!AR252</f>
        <v>0</v>
      </c>
      <c r="D252" s="252">
        <f>Données!Z252</f>
        <v>530</v>
      </c>
      <c r="E252" s="99">
        <f>Données!X252</f>
        <v>62</v>
      </c>
      <c r="F252" s="30">
        <f>VPI!L252</f>
        <v>2449066.3400000003</v>
      </c>
      <c r="G252" s="7">
        <f t="shared" si="15"/>
        <v>79002.140000000014</v>
      </c>
      <c r="H252" s="25">
        <f t="shared" si="16"/>
        <v>48813.968931588548</v>
      </c>
      <c r="I252" s="7">
        <f t="shared" si="17"/>
        <v>48813.968931588548</v>
      </c>
      <c r="J252" s="7">
        <f>VPI!R252</f>
        <v>42943.776182795707</v>
      </c>
      <c r="K252" s="158">
        <f t="shared" si="18"/>
        <v>48254.600041728649</v>
      </c>
      <c r="L252" s="242">
        <f t="shared" si="19"/>
        <v>97068.568973317189</v>
      </c>
      <c r="M252" s="100"/>
      <c r="N252" s="101"/>
      <c r="O252" s="98"/>
      <c r="P252" s="98"/>
      <c r="Q252" s="102"/>
    </row>
    <row r="253" spans="1:17" s="97" customFormat="1" x14ac:dyDescent="0.25">
      <c r="A253" s="131">
        <f>Données!A253</f>
        <v>5853</v>
      </c>
      <c r="B253" s="251" t="str">
        <f>Données!B253</f>
        <v>Bursins</v>
      </c>
      <c r="C253" s="579">
        <f>Données!AR253</f>
        <v>0</v>
      </c>
      <c r="D253" s="252">
        <f>Données!Z253</f>
        <v>825</v>
      </c>
      <c r="E253" s="99">
        <f>Données!X253</f>
        <v>71</v>
      </c>
      <c r="F253" s="30">
        <f>VPI!L253</f>
        <v>2967208.2800000003</v>
      </c>
      <c r="G253" s="7">
        <f t="shared" si="15"/>
        <v>83583.331830985917</v>
      </c>
      <c r="H253" s="25">
        <f t="shared" si="16"/>
        <v>75984.008242567084</v>
      </c>
      <c r="I253" s="7">
        <f t="shared" si="17"/>
        <v>75984.008242567084</v>
      </c>
      <c r="J253" s="7">
        <f>VPI!R253</f>
        <v>44996.737042253524</v>
      </c>
      <c r="K253" s="158">
        <f t="shared" si="18"/>
        <v>50561.448995876934</v>
      </c>
      <c r="L253" s="242">
        <f t="shared" si="19"/>
        <v>126545.45723844401</v>
      </c>
      <c r="M253" s="100"/>
      <c r="N253" s="101"/>
      <c r="O253" s="98"/>
      <c r="P253" s="98"/>
      <c r="Q253" s="102"/>
    </row>
    <row r="254" spans="1:17" s="97" customFormat="1" x14ac:dyDescent="0.25">
      <c r="A254" s="131">
        <f>Données!A254</f>
        <v>5854</v>
      </c>
      <c r="B254" s="251" t="str">
        <f>Données!B254</f>
        <v>Burtigny</v>
      </c>
      <c r="C254" s="579">
        <f>Données!AR254</f>
        <v>0</v>
      </c>
      <c r="D254" s="252">
        <f>Données!Z254</f>
        <v>401</v>
      </c>
      <c r="E254" s="99">
        <f>Données!X254</f>
        <v>75</v>
      </c>
      <c r="F254" s="30">
        <f>VPI!L254</f>
        <v>1164770.1000000001</v>
      </c>
      <c r="G254" s="7">
        <f t="shared" si="15"/>
        <v>31060.536000000004</v>
      </c>
      <c r="H254" s="25">
        <f t="shared" si="16"/>
        <v>36932.833097296243</v>
      </c>
      <c r="I254" s="7">
        <f t="shared" si="17"/>
        <v>31060.536000000004</v>
      </c>
      <c r="J254" s="7">
        <f>VPI!R254</f>
        <v>16635.489777777777</v>
      </c>
      <c r="K254" s="158">
        <f t="shared" si="18"/>
        <v>18692.788037734979</v>
      </c>
      <c r="L254" s="242">
        <f t="shared" si="19"/>
        <v>49753.324037734987</v>
      </c>
      <c r="M254" s="100"/>
      <c r="N254" s="101"/>
      <c r="O254" s="98"/>
      <c r="P254" s="98"/>
      <c r="Q254" s="102"/>
    </row>
    <row r="255" spans="1:17" s="97" customFormat="1" x14ac:dyDescent="0.25">
      <c r="A255" s="131">
        <f>Données!A255</f>
        <v>5855</v>
      </c>
      <c r="B255" s="251" t="str">
        <f>Données!B255</f>
        <v>Dully</v>
      </c>
      <c r="C255" s="579">
        <f>Données!AR255</f>
        <v>0</v>
      </c>
      <c r="D255" s="252">
        <f>Données!Z255</f>
        <v>623</v>
      </c>
      <c r="E255" s="99">
        <f>Données!X255</f>
        <v>53</v>
      </c>
      <c r="F255" s="30">
        <f>VPI!L255</f>
        <v>4835129.3899999997</v>
      </c>
      <c r="G255" s="7">
        <f t="shared" si="15"/>
        <v>182457.71283018866</v>
      </c>
      <c r="H255" s="25">
        <f t="shared" si="16"/>
        <v>57379.438951659744</v>
      </c>
      <c r="I255" s="7">
        <f t="shared" si="17"/>
        <v>57379.438951659744</v>
      </c>
      <c r="J255" s="7">
        <f>VPI!R255</f>
        <v>98996.558301886791</v>
      </c>
      <c r="K255" s="158">
        <f t="shared" si="18"/>
        <v>111239.38672815209</v>
      </c>
      <c r="L255" s="242">
        <f t="shared" si="19"/>
        <v>168618.82567981182</v>
      </c>
      <c r="M255" s="100"/>
      <c r="N255" s="101"/>
      <c r="O255" s="98"/>
      <c r="P255" s="98"/>
      <c r="Q255" s="102"/>
    </row>
    <row r="256" spans="1:17" s="97" customFormat="1" x14ac:dyDescent="0.25">
      <c r="A256" s="131">
        <f>Données!A256</f>
        <v>5856</v>
      </c>
      <c r="B256" s="251" t="str">
        <f>Données!B256</f>
        <v>Essertines-sur-Rolle</v>
      </c>
      <c r="C256" s="579">
        <f>Données!AR256</f>
        <v>0</v>
      </c>
      <c r="D256" s="252">
        <f>Données!Z256</f>
        <v>789</v>
      </c>
      <c r="E256" s="99">
        <f>Données!X256</f>
        <v>66.5</v>
      </c>
      <c r="F256" s="30">
        <f>VPI!L256</f>
        <v>2226357.17</v>
      </c>
      <c r="G256" s="7">
        <f t="shared" si="15"/>
        <v>66958.110375939854</v>
      </c>
      <c r="H256" s="25">
        <f t="shared" si="16"/>
        <v>72668.342428345975</v>
      </c>
      <c r="I256" s="7">
        <f t="shared" si="17"/>
        <v>66958.110375939854</v>
      </c>
      <c r="J256" s="7">
        <f>VPI!R256</f>
        <v>36628.421873915555</v>
      </c>
      <c r="K256" s="158">
        <f t="shared" si="18"/>
        <v>41158.230709892676</v>
      </c>
      <c r="L256" s="242">
        <f t="shared" si="19"/>
        <v>108116.34108583254</v>
      </c>
      <c r="M256" s="100"/>
      <c r="N256" s="101"/>
      <c r="O256" s="98"/>
      <c r="P256" s="98"/>
      <c r="Q256" s="102"/>
    </row>
    <row r="257" spans="1:17" s="97" customFormat="1" x14ac:dyDescent="0.25">
      <c r="A257" s="131">
        <f>Données!A257</f>
        <v>5857</v>
      </c>
      <c r="B257" s="251" t="str">
        <f>Données!B257</f>
        <v>Gilly</v>
      </c>
      <c r="C257" s="579">
        <f>Données!AR257</f>
        <v>0</v>
      </c>
      <c r="D257" s="252">
        <f>Données!Z257</f>
        <v>1441</v>
      </c>
      <c r="E257" s="99">
        <f>Données!X257</f>
        <v>64.5</v>
      </c>
      <c r="F257" s="30">
        <f>VPI!L257</f>
        <v>5785070.7100000009</v>
      </c>
      <c r="G257" s="7">
        <f t="shared" si="15"/>
        <v>179382.03751937987</v>
      </c>
      <c r="H257" s="25">
        <f t="shared" si="16"/>
        <v>132718.73439701716</v>
      </c>
      <c r="I257" s="7">
        <f t="shared" si="17"/>
        <v>132718.73439701716</v>
      </c>
      <c r="J257" s="7">
        <f>VPI!R257</f>
        <v>96678.753643410862</v>
      </c>
      <c r="K257" s="158">
        <f t="shared" si="18"/>
        <v>108634.94094551924</v>
      </c>
      <c r="L257" s="242">
        <f t="shared" si="19"/>
        <v>241353.67534253641</v>
      </c>
      <c r="M257" s="100"/>
      <c r="N257" s="101"/>
      <c r="O257" s="98"/>
      <c r="P257" s="98"/>
      <c r="Q257" s="102"/>
    </row>
    <row r="258" spans="1:17" s="97" customFormat="1" x14ac:dyDescent="0.25">
      <c r="A258" s="131">
        <f>Données!A258</f>
        <v>5858</v>
      </c>
      <c r="B258" s="251" t="str">
        <f>Données!B258</f>
        <v>Luins</v>
      </c>
      <c r="C258" s="579">
        <f>Données!AR258</f>
        <v>0</v>
      </c>
      <c r="D258" s="252">
        <f>Données!Z258</f>
        <v>637</v>
      </c>
      <c r="E258" s="99">
        <f>Données!X258</f>
        <v>58.5</v>
      </c>
      <c r="F258" s="30">
        <f>VPI!L258</f>
        <v>2239312.0299999998</v>
      </c>
      <c r="G258" s="7">
        <f t="shared" si="15"/>
        <v>76557.676239316235</v>
      </c>
      <c r="H258" s="25">
        <f t="shared" si="16"/>
        <v>58668.864546079065</v>
      </c>
      <c r="I258" s="7">
        <f t="shared" si="17"/>
        <v>58668.864546079065</v>
      </c>
      <c r="J258" s="7">
        <f>VPI!R258</f>
        <v>41203.097378917373</v>
      </c>
      <c r="K258" s="158">
        <f t="shared" si="18"/>
        <v>46298.65282542599</v>
      </c>
      <c r="L258" s="242">
        <f t="shared" si="19"/>
        <v>104967.51737150506</v>
      </c>
      <c r="M258" s="100"/>
      <c r="N258" s="101"/>
      <c r="O258" s="98"/>
      <c r="P258" s="98"/>
      <c r="Q258" s="102"/>
    </row>
    <row r="259" spans="1:17" s="97" customFormat="1" x14ac:dyDescent="0.25">
      <c r="A259" s="131">
        <f>Données!A259</f>
        <v>5859</v>
      </c>
      <c r="B259" s="251" t="str">
        <f>Données!B259</f>
        <v>Mont-sur-Rolle</v>
      </c>
      <c r="C259" s="579">
        <f>Données!AR259</f>
        <v>0</v>
      </c>
      <c r="D259" s="252">
        <f>Données!Z259</f>
        <v>2749</v>
      </c>
      <c r="E259" s="99">
        <f>Données!X259</f>
        <v>63.5</v>
      </c>
      <c r="F259" s="30">
        <f>VPI!L259</f>
        <v>10373838.580000004</v>
      </c>
      <c r="G259" s="7">
        <f t="shared" si="15"/>
        <v>326735.07338582689</v>
      </c>
      <c r="H259" s="25">
        <f t="shared" si="16"/>
        <v>253187.92564705078</v>
      </c>
      <c r="I259" s="7">
        <f t="shared" si="17"/>
        <v>253187.92564705078</v>
      </c>
      <c r="J259" s="7">
        <f>VPI!R259</f>
        <v>175152.20519685047</v>
      </c>
      <c r="K259" s="158">
        <f t="shared" si="18"/>
        <v>196813.14405664298</v>
      </c>
      <c r="L259" s="242">
        <f t="shared" si="19"/>
        <v>450001.06970369373</v>
      </c>
      <c r="M259" s="100"/>
      <c r="N259" s="101"/>
      <c r="O259" s="98"/>
      <c r="P259" s="98"/>
      <c r="Q259" s="102"/>
    </row>
    <row r="260" spans="1:17" s="97" customFormat="1" x14ac:dyDescent="0.25">
      <c r="A260" s="131">
        <f>Données!A260</f>
        <v>5860</v>
      </c>
      <c r="B260" s="251" t="str">
        <f>Données!B260</f>
        <v>Perroy</v>
      </c>
      <c r="C260" s="579">
        <f>Données!AR260</f>
        <v>0</v>
      </c>
      <c r="D260" s="252">
        <f>Données!Z260</f>
        <v>1588</v>
      </c>
      <c r="E260" s="99">
        <f>Données!X260</f>
        <v>58.5</v>
      </c>
      <c r="F260" s="30">
        <f>VPI!L260</f>
        <v>6099774.6799999997</v>
      </c>
      <c r="G260" s="7">
        <f t="shared" si="15"/>
        <v>208539.30529914529</v>
      </c>
      <c r="H260" s="25">
        <f t="shared" si="16"/>
        <v>146257.70313842004</v>
      </c>
      <c r="I260" s="7">
        <f t="shared" si="17"/>
        <v>146257.70313842004</v>
      </c>
      <c r="J260" s="7">
        <f>VPI!R260</f>
        <v>114833.15061143985</v>
      </c>
      <c r="K260" s="158">
        <f t="shared" si="18"/>
        <v>129034.47826059051</v>
      </c>
      <c r="L260" s="242">
        <f t="shared" si="19"/>
        <v>275292.18139901053</v>
      </c>
      <c r="M260" s="100"/>
      <c r="N260" s="101"/>
      <c r="O260" s="98"/>
      <c r="P260" s="98"/>
      <c r="Q260" s="102"/>
    </row>
    <row r="261" spans="1:17" s="97" customFormat="1" x14ac:dyDescent="0.25">
      <c r="A261" s="131">
        <f>Données!A261</f>
        <v>5861</v>
      </c>
      <c r="B261" s="251" t="str">
        <f>Données!B261</f>
        <v>Rolle</v>
      </c>
      <c r="C261" s="579">
        <f>Données!AR261</f>
        <v>0</v>
      </c>
      <c r="D261" s="252">
        <f>Données!Z261</f>
        <v>6537</v>
      </c>
      <c r="E261" s="99">
        <f>Données!X261</f>
        <v>59.5</v>
      </c>
      <c r="F261" s="30">
        <f>VPI!L261</f>
        <v>57238414.729999997</v>
      </c>
      <c r="G261" s="7">
        <f t="shared" si="15"/>
        <v>1923980.3270588233</v>
      </c>
      <c r="H261" s="25">
        <f t="shared" si="16"/>
        <v>602069.65076564974</v>
      </c>
      <c r="I261" s="7">
        <f t="shared" si="17"/>
        <v>602069.65076564974</v>
      </c>
      <c r="J261" s="7">
        <f>VPI!R261</f>
        <v>1001631.7391596638</v>
      </c>
      <c r="K261" s="158">
        <f t="shared" si="18"/>
        <v>1125502.7680032975</v>
      </c>
      <c r="L261" s="242">
        <f t="shared" si="19"/>
        <v>1727572.4187689472</v>
      </c>
      <c r="M261" s="100"/>
      <c r="N261" s="101"/>
      <c r="O261" s="98"/>
      <c r="P261" s="98"/>
      <c r="Q261" s="102"/>
    </row>
    <row r="262" spans="1:17" s="97" customFormat="1" x14ac:dyDescent="0.25">
      <c r="A262" s="131">
        <f>Données!A262</f>
        <v>5862</v>
      </c>
      <c r="B262" s="251" t="str">
        <f>Données!B262</f>
        <v>Tartegnin</v>
      </c>
      <c r="C262" s="579">
        <f>Données!AR262</f>
        <v>0</v>
      </c>
      <c r="D262" s="252">
        <f>Données!Z262</f>
        <v>238</v>
      </c>
      <c r="E262" s="99">
        <f>Données!X262</f>
        <v>79</v>
      </c>
      <c r="F262" s="30">
        <f>VPI!L262</f>
        <v>923154.01</v>
      </c>
      <c r="G262" s="7">
        <f t="shared" si="15"/>
        <v>23370.987594936709</v>
      </c>
      <c r="H262" s="25">
        <f t="shared" si="16"/>
        <v>21920.235105128442</v>
      </c>
      <c r="I262" s="7">
        <f t="shared" si="17"/>
        <v>21920.235105128442</v>
      </c>
      <c r="J262" s="7">
        <f>VPI!R262</f>
        <v>12378.270379746835</v>
      </c>
      <c r="K262" s="158">
        <f t="shared" si="18"/>
        <v>13909.081582405321</v>
      </c>
      <c r="L262" s="242">
        <f t="shared" si="19"/>
        <v>35829.316687533763</v>
      </c>
      <c r="M262" s="100"/>
      <c r="N262" s="101"/>
      <c r="O262" s="98"/>
      <c r="P262" s="98"/>
      <c r="Q262" s="102"/>
    </row>
    <row r="263" spans="1:17" s="97" customFormat="1" x14ac:dyDescent="0.25">
      <c r="A263" s="131">
        <f>Données!A263</f>
        <v>5863</v>
      </c>
      <c r="B263" s="251" t="str">
        <f>Données!B263</f>
        <v>Vinzel</v>
      </c>
      <c r="C263" s="579">
        <f>Données!AR263</f>
        <v>0</v>
      </c>
      <c r="D263" s="252">
        <f>Données!Z263</f>
        <v>387</v>
      </c>
      <c r="E263" s="99">
        <f>Données!X263</f>
        <v>65</v>
      </c>
      <c r="F263" s="30">
        <f>VPI!L263</f>
        <v>1206472.0599999998</v>
      </c>
      <c r="G263" s="7">
        <f t="shared" ref="G263:G305" si="20">F263/E263*2</f>
        <v>37122.217230769224</v>
      </c>
      <c r="H263" s="25">
        <f t="shared" ref="H263:H305" si="21">+$G$306/$D$306*D263</f>
        <v>35643.407502876922</v>
      </c>
      <c r="I263" s="7">
        <f t="shared" ref="I263:I305" si="22">IF(C263=1,0,IF(H263&gt;G263,G263,H263))</f>
        <v>35643.407502876922</v>
      </c>
      <c r="J263" s="7">
        <f>VPI!R263</f>
        <v>20119.523999999998</v>
      </c>
      <c r="K263" s="158">
        <f t="shared" ref="K263:K305" si="23">+$K$5*J263</f>
        <v>22607.690099663607</v>
      </c>
      <c r="L263" s="242">
        <f t="shared" ref="L263:L305" si="24">+K263+I263</f>
        <v>58251.097602540525</v>
      </c>
      <c r="M263" s="100"/>
      <c r="N263" s="101"/>
      <c r="O263" s="98"/>
      <c r="P263" s="98"/>
      <c r="Q263" s="102"/>
    </row>
    <row r="264" spans="1:17" s="97" customFormat="1" x14ac:dyDescent="0.25">
      <c r="A264" s="131">
        <f>Données!A264</f>
        <v>5871</v>
      </c>
      <c r="B264" s="251" t="str">
        <f>Données!B264</f>
        <v>L'Abbaye</v>
      </c>
      <c r="C264" s="579">
        <f>Données!AR264</f>
        <v>0</v>
      </c>
      <c r="D264" s="252">
        <f>Données!Z264</f>
        <v>1538</v>
      </c>
      <c r="E264" s="99">
        <f>Données!X264</f>
        <v>77.209999999999994</v>
      </c>
      <c r="F264" s="30">
        <f>VPI!L264</f>
        <v>3556333.76</v>
      </c>
      <c r="G264" s="7">
        <f t="shared" si="20"/>
        <v>92121.066183136907</v>
      </c>
      <c r="H264" s="25">
        <f t="shared" si="21"/>
        <v>141652.6117297796</v>
      </c>
      <c r="I264" s="7">
        <f t="shared" si="22"/>
        <v>92121.066183136907</v>
      </c>
      <c r="J264" s="7">
        <f>VPI!R264</f>
        <v>50137.027069032512</v>
      </c>
      <c r="K264" s="158">
        <f t="shared" si="23"/>
        <v>56337.434747220301</v>
      </c>
      <c r="L264" s="242">
        <f t="shared" si="24"/>
        <v>148458.5009303572</v>
      </c>
      <c r="M264" s="100"/>
      <c r="N264" s="101"/>
      <c r="O264" s="98"/>
      <c r="P264" s="98"/>
      <c r="Q264" s="102"/>
    </row>
    <row r="265" spans="1:17" s="97" customFormat="1" x14ac:dyDescent="0.25">
      <c r="A265" s="131">
        <f>Données!A265</f>
        <v>5872</v>
      </c>
      <c r="B265" s="251" t="str">
        <f>Données!B265</f>
        <v>Le Chenit</v>
      </c>
      <c r="C265" s="579">
        <f>Données!AR265</f>
        <v>0</v>
      </c>
      <c r="D265" s="252">
        <f>Données!Z265</f>
        <v>4760</v>
      </c>
      <c r="E265" s="99">
        <f>Données!X265</f>
        <v>66.33</v>
      </c>
      <c r="F265" s="30">
        <f>VPI!L265</f>
        <v>22972608.410000004</v>
      </c>
      <c r="G265" s="7">
        <f t="shared" si="20"/>
        <v>692676.26745062578</v>
      </c>
      <c r="H265" s="25">
        <f t="shared" si="21"/>
        <v>438404.70210256887</v>
      </c>
      <c r="I265" s="7">
        <f t="shared" si="22"/>
        <v>438404.70210256887</v>
      </c>
      <c r="J265" s="7">
        <f>VPI!R265</f>
        <v>359580.06573194644</v>
      </c>
      <c r="K265" s="158">
        <f t="shared" si="23"/>
        <v>404049.05663198174</v>
      </c>
      <c r="L265" s="242">
        <f t="shared" si="24"/>
        <v>842453.75873455056</v>
      </c>
      <c r="M265" s="100"/>
      <c r="N265" s="101"/>
      <c r="O265" s="98"/>
      <c r="P265" s="98"/>
      <c r="Q265" s="102"/>
    </row>
    <row r="266" spans="1:17" s="97" customFormat="1" x14ac:dyDescent="0.25">
      <c r="A266" s="131">
        <f>Données!A266</f>
        <v>5873</v>
      </c>
      <c r="B266" s="251" t="str">
        <f>Données!B266</f>
        <v>Le Lieu</v>
      </c>
      <c r="C266" s="579">
        <f>Données!AR266</f>
        <v>0</v>
      </c>
      <c r="D266" s="252">
        <f>Données!Z266</f>
        <v>925</v>
      </c>
      <c r="E266" s="99">
        <f>Données!X266</f>
        <v>70</v>
      </c>
      <c r="F266" s="30">
        <f>VPI!L266</f>
        <v>2052361.6800000002</v>
      </c>
      <c r="G266" s="7">
        <f t="shared" si="20"/>
        <v>58638.905142857147</v>
      </c>
      <c r="H266" s="25">
        <f t="shared" si="21"/>
        <v>85194.191059847944</v>
      </c>
      <c r="I266" s="7">
        <f t="shared" si="22"/>
        <v>58638.905142857147</v>
      </c>
      <c r="J266" s="7">
        <f>VPI!R266</f>
        <v>31550.524000000001</v>
      </c>
      <c r="K266" s="158">
        <f t="shared" si="23"/>
        <v>35452.353101097178</v>
      </c>
      <c r="L266" s="242">
        <f t="shared" si="24"/>
        <v>94091.258243954333</v>
      </c>
      <c r="M266" s="100"/>
      <c r="N266" s="101"/>
      <c r="O266" s="98"/>
      <c r="P266" s="98"/>
      <c r="Q266" s="102"/>
    </row>
    <row r="267" spans="1:17" s="97" customFormat="1" x14ac:dyDescent="0.25">
      <c r="A267" s="131">
        <f>Données!A267</f>
        <v>5882</v>
      </c>
      <c r="B267" s="251" t="str">
        <f>Données!B267</f>
        <v>Chardonne</v>
      </c>
      <c r="C267" s="579">
        <f>Données!AR267</f>
        <v>1</v>
      </c>
      <c r="D267" s="252">
        <f>Données!Z267</f>
        <v>3340</v>
      </c>
      <c r="E267" s="99">
        <f>Données!X267</f>
        <v>68</v>
      </c>
      <c r="F267" s="30">
        <f>VPI!L267</f>
        <v>12535877.320000002</v>
      </c>
      <c r="G267" s="7">
        <f t="shared" si="20"/>
        <v>368702.27411764715</v>
      </c>
      <c r="H267" s="25">
        <f t="shared" si="21"/>
        <v>307620.10609718069</v>
      </c>
      <c r="I267" s="7">
        <f t="shared" si="22"/>
        <v>0</v>
      </c>
      <c r="J267" s="7">
        <f>VPI!R267</f>
        <v>202050.46544117649</v>
      </c>
      <c r="K267" s="158">
        <f t="shared" si="23"/>
        <v>227037.89151209095</v>
      </c>
      <c r="L267" s="242">
        <f t="shared" si="24"/>
        <v>227037.89151209095</v>
      </c>
      <c r="M267" s="100"/>
      <c r="N267" s="101"/>
      <c r="O267" s="98"/>
      <c r="P267" s="98"/>
      <c r="Q267" s="102"/>
    </row>
    <row r="268" spans="1:17" s="97" customFormat="1" x14ac:dyDescent="0.25">
      <c r="A268" s="131">
        <f>Données!A268</f>
        <v>5883</v>
      </c>
      <c r="B268" s="251" t="str">
        <f>Données!B268</f>
        <v>Corseaux</v>
      </c>
      <c r="C268" s="579">
        <f>Données!AR268</f>
        <v>1</v>
      </c>
      <c r="D268" s="252">
        <f>Données!Z268</f>
        <v>2322</v>
      </c>
      <c r="E268" s="99">
        <f>Données!X268</f>
        <v>67.5</v>
      </c>
      <c r="F268" s="30">
        <f>VPI!L268</f>
        <v>11900282.77</v>
      </c>
      <c r="G268" s="7">
        <f t="shared" si="20"/>
        <v>352600.97096296295</v>
      </c>
      <c r="H268" s="25">
        <f t="shared" si="21"/>
        <v>213860.44501726152</v>
      </c>
      <c r="I268" s="7">
        <f t="shared" si="22"/>
        <v>0</v>
      </c>
      <c r="J268" s="7">
        <f>VPI!R268</f>
        <v>187748.47585185184</v>
      </c>
      <c r="K268" s="158">
        <f t="shared" si="23"/>
        <v>210967.18584111848</v>
      </c>
      <c r="L268" s="242">
        <f t="shared" si="24"/>
        <v>210967.18584111848</v>
      </c>
      <c r="M268" s="100"/>
      <c r="N268" s="101"/>
      <c r="O268" s="98"/>
      <c r="P268" s="98"/>
      <c r="Q268" s="102"/>
    </row>
    <row r="269" spans="1:17" s="97" customFormat="1" x14ac:dyDescent="0.25">
      <c r="A269" s="131">
        <f>Données!A269</f>
        <v>5884</v>
      </c>
      <c r="B269" s="251" t="str">
        <f>Données!B269</f>
        <v>Corsier-sur-Vevey</v>
      </c>
      <c r="C269" s="579">
        <f>Données!AR269</f>
        <v>1</v>
      </c>
      <c r="D269" s="252">
        <f>Données!Z269</f>
        <v>3389</v>
      </c>
      <c r="E269" s="99">
        <f>Données!X269</f>
        <v>64.5</v>
      </c>
      <c r="F269" s="30">
        <f>VPI!L269</f>
        <v>9302607.4400000013</v>
      </c>
      <c r="G269" s="7">
        <f t="shared" si="20"/>
        <v>288452.94387596904</v>
      </c>
      <c r="H269" s="25">
        <f t="shared" si="21"/>
        <v>312133.09567764826</v>
      </c>
      <c r="I269" s="7">
        <f t="shared" si="22"/>
        <v>0</v>
      </c>
      <c r="J269" s="7">
        <f>VPI!R269</f>
        <v>160309.28653746771</v>
      </c>
      <c r="K269" s="158">
        <f t="shared" si="23"/>
        <v>180134.61303245771</v>
      </c>
      <c r="L269" s="242">
        <f t="shared" si="24"/>
        <v>180134.61303245771</v>
      </c>
      <c r="M269" s="100"/>
      <c r="N269" s="101"/>
      <c r="O269" s="98"/>
      <c r="P269" s="98"/>
      <c r="Q269" s="102"/>
    </row>
    <row r="270" spans="1:17" s="97" customFormat="1" x14ac:dyDescent="0.25">
      <c r="A270" s="131">
        <f>Données!A270</f>
        <v>5885</v>
      </c>
      <c r="B270" s="251" t="str">
        <f>Données!B270</f>
        <v>Jongny</v>
      </c>
      <c r="C270" s="579">
        <f>Données!AR270</f>
        <v>1</v>
      </c>
      <c r="D270" s="252">
        <f>Données!Z270</f>
        <v>1921</v>
      </c>
      <c r="E270" s="99">
        <f>Données!X270</f>
        <v>69.5</v>
      </c>
      <c r="F270" s="30">
        <f>VPI!L270</f>
        <v>6765932.3600000013</v>
      </c>
      <c r="G270" s="7">
        <f t="shared" si="20"/>
        <v>194703.08949640291</v>
      </c>
      <c r="H270" s="25">
        <f t="shared" si="21"/>
        <v>176927.61191996527</v>
      </c>
      <c r="I270" s="7">
        <f t="shared" si="22"/>
        <v>0</v>
      </c>
      <c r="J270" s="7">
        <f>VPI!R270</f>
        <v>105153.24390887292</v>
      </c>
      <c r="K270" s="158">
        <f t="shared" si="23"/>
        <v>118157.46492144343</v>
      </c>
      <c r="L270" s="242">
        <f t="shared" si="24"/>
        <v>118157.46492144343</v>
      </c>
      <c r="M270" s="100"/>
      <c r="N270" s="101"/>
      <c r="O270" s="98"/>
      <c r="P270" s="98"/>
      <c r="Q270" s="102"/>
    </row>
    <row r="271" spans="1:17" s="97" customFormat="1" x14ac:dyDescent="0.25">
      <c r="A271" s="131">
        <f>Données!A271</f>
        <v>5886</v>
      </c>
      <c r="B271" s="251" t="str">
        <f>Données!B271</f>
        <v>Montreux</v>
      </c>
      <c r="C271" s="579">
        <f>Données!AR271</f>
        <v>1</v>
      </c>
      <c r="D271" s="252">
        <f>Données!Z271</f>
        <v>26964</v>
      </c>
      <c r="E271" s="99">
        <f>Données!X271</f>
        <v>65</v>
      </c>
      <c r="F271" s="30">
        <f>VPI!L271</f>
        <v>64429183.74000001</v>
      </c>
      <c r="G271" s="7">
        <f t="shared" si="20"/>
        <v>1982436.422769231</v>
      </c>
      <c r="H271" s="25">
        <f t="shared" si="21"/>
        <v>2483433.6948516108</v>
      </c>
      <c r="I271" s="7">
        <f t="shared" si="22"/>
        <v>0</v>
      </c>
      <c r="J271" s="7">
        <f>VPI!R271</f>
        <v>1120945.0450256411</v>
      </c>
      <c r="K271" s="158">
        <f t="shared" si="23"/>
        <v>1259571.4588820871</v>
      </c>
      <c r="L271" s="242">
        <f t="shared" si="24"/>
        <v>1259571.4588820871</v>
      </c>
      <c r="M271" s="100"/>
      <c r="N271" s="101"/>
      <c r="O271" s="98"/>
      <c r="P271" s="98"/>
      <c r="Q271" s="102"/>
    </row>
    <row r="272" spans="1:17" s="97" customFormat="1" x14ac:dyDescent="0.25">
      <c r="A272" s="131">
        <f>Données!A272</f>
        <v>5889</v>
      </c>
      <c r="B272" s="251" t="str">
        <f>Données!B272</f>
        <v>La Tour-de-Peilz</v>
      </c>
      <c r="C272" s="579">
        <f>Données!AR272</f>
        <v>1</v>
      </c>
      <c r="D272" s="252">
        <f>Données!Z272</f>
        <v>12812</v>
      </c>
      <c r="E272" s="99">
        <f>Données!X272</f>
        <v>64</v>
      </c>
      <c r="F272" s="30">
        <f>VPI!L272</f>
        <v>43569571.040000014</v>
      </c>
      <c r="G272" s="7">
        <f t="shared" si="20"/>
        <v>1361549.0950000004</v>
      </c>
      <c r="H272" s="25">
        <f t="shared" si="21"/>
        <v>1180008.6225500235</v>
      </c>
      <c r="I272" s="7">
        <f t="shared" si="22"/>
        <v>0</v>
      </c>
      <c r="J272" s="7">
        <f>VPI!R272</f>
        <v>728841.71013020864</v>
      </c>
      <c r="K272" s="158">
        <f t="shared" si="23"/>
        <v>818977.00533733366</v>
      </c>
      <c r="L272" s="242">
        <f t="shared" si="24"/>
        <v>818977.00533733366</v>
      </c>
      <c r="M272" s="100"/>
      <c r="N272" s="101"/>
      <c r="O272" s="98"/>
      <c r="P272" s="98"/>
      <c r="Q272" s="102"/>
    </row>
    <row r="273" spans="1:17" s="97" customFormat="1" x14ac:dyDescent="0.25">
      <c r="A273" s="131">
        <f>Données!A273</f>
        <v>5890</v>
      </c>
      <c r="B273" s="251" t="str">
        <f>Données!B273</f>
        <v>Vevey</v>
      </c>
      <c r="C273" s="579">
        <f>Données!AR273</f>
        <v>1</v>
      </c>
      <c r="D273" s="252">
        <f>Données!Z273</f>
        <v>20146</v>
      </c>
      <c r="E273" s="99">
        <f>Données!X273</f>
        <v>74.5</v>
      </c>
      <c r="F273" s="30">
        <f>VPI!L273</f>
        <v>74143278.75</v>
      </c>
      <c r="G273" s="7">
        <f t="shared" si="20"/>
        <v>1990423.5906040268</v>
      </c>
      <c r="H273" s="25">
        <f t="shared" si="21"/>
        <v>1855483.4303694016</v>
      </c>
      <c r="I273" s="7">
        <f t="shared" si="22"/>
        <v>0</v>
      </c>
      <c r="J273" s="7">
        <f>VPI!R273</f>
        <v>1064325.313736018</v>
      </c>
      <c r="K273" s="158">
        <f t="shared" si="23"/>
        <v>1195949.6088561111</v>
      </c>
      <c r="L273" s="242">
        <f t="shared" si="24"/>
        <v>1195949.6088561111</v>
      </c>
      <c r="M273" s="100"/>
      <c r="N273" s="101"/>
      <c r="O273" s="98"/>
      <c r="P273" s="98"/>
      <c r="Q273" s="102"/>
    </row>
    <row r="274" spans="1:17" s="97" customFormat="1" x14ac:dyDescent="0.25">
      <c r="A274" s="131">
        <f>Données!A274</f>
        <v>5891</v>
      </c>
      <c r="B274" s="251" t="str">
        <f>Données!B274</f>
        <v>Veytaux</v>
      </c>
      <c r="C274" s="579">
        <f>Données!AR274</f>
        <v>1</v>
      </c>
      <c r="D274" s="252">
        <f>Données!Z274</f>
        <v>1043</v>
      </c>
      <c r="E274" s="99">
        <f>Données!X274</f>
        <v>67.5</v>
      </c>
      <c r="F274" s="30">
        <f>VPI!L274</f>
        <v>2443822.2799999998</v>
      </c>
      <c r="G274" s="7">
        <f t="shared" si="20"/>
        <v>72409.549037037024</v>
      </c>
      <c r="H274" s="25">
        <f t="shared" si="21"/>
        <v>96062.206784239344</v>
      </c>
      <c r="I274" s="7">
        <f t="shared" si="22"/>
        <v>0</v>
      </c>
      <c r="J274" s="7">
        <f>VPI!R274</f>
        <v>41068.156987654322</v>
      </c>
      <c r="K274" s="158">
        <f t="shared" si="23"/>
        <v>46147.024459486398</v>
      </c>
      <c r="L274" s="242">
        <f t="shared" si="24"/>
        <v>46147.024459486398</v>
      </c>
      <c r="M274" s="100"/>
      <c r="N274" s="101"/>
      <c r="O274" s="98"/>
      <c r="P274" s="98"/>
      <c r="Q274" s="102"/>
    </row>
    <row r="275" spans="1:17" s="97" customFormat="1" x14ac:dyDescent="0.25">
      <c r="A275" s="131">
        <f>Données!A275</f>
        <v>5892</v>
      </c>
      <c r="B275" s="251" t="str">
        <f>Données!B275</f>
        <v>Blonay - Saint-Légier</v>
      </c>
      <c r="C275" s="579">
        <f>Données!AR275</f>
        <v>1</v>
      </c>
      <c r="D275" s="252">
        <f>Données!Z275</f>
        <v>12463</v>
      </c>
      <c r="E275" s="99">
        <f>Données!X275</f>
        <v>68.5</v>
      </c>
      <c r="F275" s="30">
        <f>VPI!L275</f>
        <v>47754332.910000004</v>
      </c>
      <c r="G275" s="7">
        <f t="shared" si="20"/>
        <v>1394287.0922627738</v>
      </c>
      <c r="H275" s="25">
        <f t="shared" si="21"/>
        <v>1147865.0845177134</v>
      </c>
      <c r="I275" s="7">
        <f t="shared" si="22"/>
        <v>0</v>
      </c>
      <c r="J275" s="7">
        <f>VPI!R275</f>
        <v>755904.99576642353</v>
      </c>
      <c r="K275" s="158">
        <f t="shared" si="23"/>
        <v>849387.18674829672</v>
      </c>
      <c r="L275" s="242">
        <f t="shared" si="24"/>
        <v>849387.18674829672</v>
      </c>
      <c r="M275" s="100"/>
      <c r="N275" s="101"/>
      <c r="O275" s="98"/>
      <c r="P275" s="98"/>
      <c r="Q275" s="102"/>
    </row>
    <row r="276" spans="1:17" s="97" customFormat="1" x14ac:dyDescent="0.25">
      <c r="A276" s="131">
        <f>Données!A276</f>
        <v>5902</v>
      </c>
      <c r="B276" s="251" t="str">
        <f>Données!B276</f>
        <v>Belmont-sur-Yverdon</v>
      </c>
      <c r="C276" s="579">
        <f>Données!AR276</f>
        <v>0</v>
      </c>
      <c r="D276" s="252">
        <f>Données!Z276</f>
        <v>445</v>
      </c>
      <c r="E276" s="99">
        <f>Données!X276</f>
        <v>70</v>
      </c>
      <c r="F276" s="30">
        <f>VPI!L276</f>
        <v>790302.62999999989</v>
      </c>
      <c r="G276" s="7">
        <f t="shared" si="20"/>
        <v>22580.075142857138</v>
      </c>
      <c r="H276" s="25">
        <f t="shared" si="21"/>
        <v>40985.313536899819</v>
      </c>
      <c r="I276" s="7">
        <f t="shared" si="22"/>
        <v>22580.075142857138</v>
      </c>
      <c r="J276" s="7">
        <f>VPI!R276</f>
        <v>12357.530428571426</v>
      </c>
      <c r="K276" s="158">
        <f t="shared" si="23"/>
        <v>13885.776737377388</v>
      </c>
      <c r="L276" s="242">
        <f t="shared" si="24"/>
        <v>36465.851880234528</v>
      </c>
      <c r="M276" s="100"/>
      <c r="N276" s="101"/>
      <c r="O276" s="98"/>
      <c r="P276" s="98"/>
      <c r="Q276" s="102"/>
    </row>
    <row r="277" spans="1:17" s="97" customFormat="1" x14ac:dyDescent="0.25">
      <c r="A277" s="131">
        <f>Données!A277</f>
        <v>5903</v>
      </c>
      <c r="B277" s="251" t="str">
        <f>Données!B277</f>
        <v>Bioley-Magnoux</v>
      </c>
      <c r="C277" s="579">
        <f>Données!AR277</f>
        <v>0</v>
      </c>
      <c r="D277" s="252">
        <f>Données!Z277</f>
        <v>257</v>
      </c>
      <c r="E277" s="99">
        <f>Données!X277</f>
        <v>72</v>
      </c>
      <c r="F277" s="30">
        <f>VPI!L277</f>
        <v>462380.66</v>
      </c>
      <c r="G277" s="7">
        <f t="shared" si="20"/>
        <v>12843.907222222222</v>
      </c>
      <c r="H277" s="25">
        <f t="shared" si="21"/>
        <v>23670.169840411807</v>
      </c>
      <c r="I277" s="7">
        <f t="shared" si="22"/>
        <v>12843.907222222222</v>
      </c>
      <c r="J277" s="7">
        <f>VPI!R277</f>
        <v>7020.1331746031747</v>
      </c>
      <c r="K277" s="158">
        <f t="shared" si="23"/>
        <v>7888.307659256564</v>
      </c>
      <c r="L277" s="242">
        <f t="shared" si="24"/>
        <v>20732.214881478787</v>
      </c>
      <c r="M277" s="100"/>
      <c r="N277" s="101"/>
      <c r="O277" s="98"/>
      <c r="P277" s="98"/>
      <c r="Q277" s="102"/>
    </row>
    <row r="278" spans="1:17" s="97" customFormat="1" x14ac:dyDescent="0.25">
      <c r="A278" s="131">
        <f>Données!A278</f>
        <v>5904</v>
      </c>
      <c r="B278" s="251" t="str">
        <f>Données!B278</f>
        <v>Chamblon</v>
      </c>
      <c r="C278" s="579">
        <f>Données!AR278</f>
        <v>1</v>
      </c>
      <c r="D278" s="252">
        <f>Données!Z278</f>
        <v>554</v>
      </c>
      <c r="E278" s="99">
        <f>Données!X278</f>
        <v>66</v>
      </c>
      <c r="F278" s="30">
        <f>VPI!L278</f>
        <v>1022030.6799999999</v>
      </c>
      <c r="G278" s="7">
        <f t="shared" si="20"/>
        <v>30970.626666666663</v>
      </c>
      <c r="H278" s="25">
        <f t="shared" si="21"/>
        <v>51024.412807735956</v>
      </c>
      <c r="I278" s="7">
        <f t="shared" si="22"/>
        <v>0</v>
      </c>
      <c r="J278" s="7">
        <f>VPI!R278</f>
        <v>17094.436818181817</v>
      </c>
      <c r="K278" s="158">
        <f t="shared" si="23"/>
        <v>19208.492706573685</v>
      </c>
      <c r="L278" s="242">
        <f t="shared" si="24"/>
        <v>19208.492706573685</v>
      </c>
      <c r="M278" s="100"/>
      <c r="N278" s="101"/>
      <c r="O278" s="98"/>
      <c r="P278" s="98"/>
      <c r="Q278" s="102"/>
    </row>
    <row r="279" spans="1:17" s="97" customFormat="1" x14ac:dyDescent="0.25">
      <c r="A279" s="131">
        <f>Données!A279</f>
        <v>5905</v>
      </c>
      <c r="B279" s="251" t="str">
        <f>Données!B279</f>
        <v>Champvent</v>
      </c>
      <c r="C279" s="579">
        <f>Données!AR279</f>
        <v>0</v>
      </c>
      <c r="D279" s="252">
        <f>Données!Z279</f>
        <v>725</v>
      </c>
      <c r="E279" s="99">
        <f>Données!X279</f>
        <v>70</v>
      </c>
      <c r="F279" s="30">
        <f>VPI!L279</f>
        <v>1353497.31</v>
      </c>
      <c r="G279" s="7">
        <f t="shared" si="20"/>
        <v>38671.351714285716</v>
      </c>
      <c r="H279" s="25">
        <f t="shared" si="21"/>
        <v>66773.825425286224</v>
      </c>
      <c r="I279" s="7">
        <f t="shared" si="22"/>
        <v>38671.351714285716</v>
      </c>
      <c r="J279" s="7">
        <f>VPI!R279</f>
        <v>21074.306571428569</v>
      </c>
      <c r="K279" s="158">
        <f t="shared" si="23"/>
        <v>23680.549899299876</v>
      </c>
      <c r="L279" s="242">
        <f t="shared" si="24"/>
        <v>62351.901613585593</v>
      </c>
      <c r="M279" s="100"/>
      <c r="N279" s="101"/>
      <c r="O279" s="98"/>
      <c r="P279" s="98"/>
      <c r="Q279" s="102"/>
    </row>
    <row r="280" spans="1:17" s="97" customFormat="1" x14ac:dyDescent="0.25">
      <c r="A280" s="131">
        <f>Données!A280</f>
        <v>5907</v>
      </c>
      <c r="B280" s="251" t="str">
        <f>Données!B280</f>
        <v>Chavannes-le-Chêne</v>
      </c>
      <c r="C280" s="579">
        <f>Données!AR280</f>
        <v>0</v>
      </c>
      <c r="D280" s="252">
        <f>Données!Z280</f>
        <v>322</v>
      </c>
      <c r="E280" s="99">
        <f>Données!X280</f>
        <v>75</v>
      </c>
      <c r="F280" s="30">
        <f>VPI!L280</f>
        <v>527165.51</v>
      </c>
      <c r="G280" s="7">
        <f t="shared" si="20"/>
        <v>14057.746933333334</v>
      </c>
      <c r="H280" s="25">
        <f t="shared" si="21"/>
        <v>29656.788671644365</v>
      </c>
      <c r="I280" s="7">
        <f t="shared" si="22"/>
        <v>14057.746933333334</v>
      </c>
      <c r="J280" s="7">
        <f>VPI!R280</f>
        <v>7797.3521333333319</v>
      </c>
      <c r="K280" s="158">
        <f t="shared" si="23"/>
        <v>8761.644690418665</v>
      </c>
      <c r="L280" s="242">
        <f t="shared" si="24"/>
        <v>22819.391623751999</v>
      </c>
      <c r="M280" s="100"/>
      <c r="N280" s="101"/>
      <c r="O280" s="98"/>
      <c r="P280" s="98"/>
      <c r="Q280" s="102"/>
    </row>
    <row r="281" spans="1:17" s="97" customFormat="1" x14ac:dyDescent="0.25">
      <c r="A281" s="131">
        <f>Données!A281</f>
        <v>5908</v>
      </c>
      <c r="B281" s="251" t="str">
        <f>Données!B281</f>
        <v>Chêne-Pâquier</v>
      </c>
      <c r="C281" s="579">
        <f>Données!AR281</f>
        <v>0</v>
      </c>
      <c r="D281" s="252">
        <f>Données!Z281</f>
        <v>173</v>
      </c>
      <c r="E281" s="99">
        <f>Données!X281</f>
        <v>75</v>
      </c>
      <c r="F281" s="30">
        <f>VPI!L281</f>
        <v>394995.22</v>
      </c>
      <c r="G281" s="7">
        <f t="shared" si="20"/>
        <v>10533.205866666665</v>
      </c>
      <c r="H281" s="25">
        <f t="shared" si="21"/>
        <v>15933.616273895885</v>
      </c>
      <c r="I281" s="7">
        <f t="shared" si="22"/>
        <v>10533.205866666665</v>
      </c>
      <c r="J281" s="7">
        <f>VPI!R281</f>
        <v>5664.0389333333333</v>
      </c>
      <c r="K281" s="158">
        <f t="shared" si="23"/>
        <v>6364.5062834105438</v>
      </c>
      <c r="L281" s="242">
        <f t="shared" si="24"/>
        <v>16897.712150077208</v>
      </c>
      <c r="M281" s="100"/>
      <c r="N281" s="101"/>
      <c r="O281" s="98"/>
      <c r="P281" s="98"/>
      <c r="Q281" s="102"/>
    </row>
    <row r="282" spans="1:17" s="97" customFormat="1" x14ac:dyDescent="0.25">
      <c r="A282" s="131">
        <f>Données!A282</f>
        <v>5909</v>
      </c>
      <c r="B282" s="251" t="str">
        <f>Données!B282</f>
        <v>Cheseaux-Noréaz</v>
      </c>
      <c r="C282" s="579">
        <f>Données!AR282</f>
        <v>1</v>
      </c>
      <c r="D282" s="252">
        <f>Données!Z282</f>
        <v>734</v>
      </c>
      <c r="E282" s="99">
        <f>Données!X282</f>
        <v>67</v>
      </c>
      <c r="F282" s="30">
        <f>VPI!L282</f>
        <v>1931646.95</v>
      </c>
      <c r="G282" s="7">
        <f t="shared" si="20"/>
        <v>57661.102985074627</v>
      </c>
      <c r="H282" s="25">
        <f t="shared" si="21"/>
        <v>67602.741878841494</v>
      </c>
      <c r="I282" s="7">
        <f t="shared" si="22"/>
        <v>0</v>
      </c>
      <c r="J282" s="7">
        <f>VPI!R282</f>
        <v>31504.478358208951</v>
      </c>
      <c r="K282" s="158">
        <f t="shared" si="23"/>
        <v>35400.613030106826</v>
      </c>
      <c r="L282" s="242">
        <f t="shared" si="24"/>
        <v>35400.613030106826</v>
      </c>
      <c r="M282" s="100"/>
      <c r="N282" s="101"/>
      <c r="O282" s="98"/>
      <c r="P282" s="98"/>
      <c r="Q282" s="102"/>
    </row>
    <row r="283" spans="1:17" s="97" customFormat="1" x14ac:dyDescent="0.25">
      <c r="A283" s="131">
        <f>Données!A283</f>
        <v>5910</v>
      </c>
      <c r="B283" s="251" t="str">
        <f>Données!B283</f>
        <v>Cronay</v>
      </c>
      <c r="C283" s="579">
        <f>Données!AR283</f>
        <v>0</v>
      </c>
      <c r="D283" s="252">
        <f>Données!Z283</f>
        <v>425</v>
      </c>
      <c r="E283" s="99">
        <f>Données!X283</f>
        <v>75</v>
      </c>
      <c r="F283" s="30">
        <f>VPI!L283</f>
        <v>792326.89</v>
      </c>
      <c r="G283" s="7">
        <f t="shared" si="20"/>
        <v>21128.717066666668</v>
      </c>
      <c r="H283" s="144">
        <f t="shared" si="21"/>
        <v>39143.276973443644</v>
      </c>
      <c r="I283" s="7">
        <f t="shared" si="22"/>
        <v>21128.717066666668</v>
      </c>
      <c r="J283" s="7">
        <f>VPI!R283</f>
        <v>11511.156533333333</v>
      </c>
      <c r="K283" s="158">
        <f t="shared" si="23"/>
        <v>12934.732431757237</v>
      </c>
      <c r="L283" s="242">
        <f t="shared" si="24"/>
        <v>34063.449498423906</v>
      </c>
      <c r="M283" s="100"/>
      <c r="N283" s="101"/>
      <c r="O283" s="98"/>
      <c r="P283" s="98"/>
      <c r="Q283" s="102"/>
    </row>
    <row r="284" spans="1:17" s="97" customFormat="1" x14ac:dyDescent="0.25">
      <c r="A284" s="131">
        <f>Données!A284</f>
        <v>5911</v>
      </c>
      <c r="B284" s="251" t="str">
        <f>Données!B284</f>
        <v>Cuarny</v>
      </c>
      <c r="C284" s="579">
        <f>Données!AR284</f>
        <v>0</v>
      </c>
      <c r="D284" s="252">
        <f>Données!Z284</f>
        <v>241</v>
      </c>
      <c r="E284" s="99">
        <f>Données!X284</f>
        <v>77</v>
      </c>
      <c r="F284" s="30">
        <f>VPI!L284</f>
        <v>504304.07000000007</v>
      </c>
      <c r="G284" s="7">
        <f t="shared" si="20"/>
        <v>13098.807012987014</v>
      </c>
      <c r="H284" s="25">
        <f t="shared" si="21"/>
        <v>22196.540589646869</v>
      </c>
      <c r="I284" s="7">
        <f t="shared" si="22"/>
        <v>13098.807012987014</v>
      </c>
      <c r="J284" s="7">
        <f>VPI!R284</f>
        <v>7072.9457142857154</v>
      </c>
      <c r="K284" s="158">
        <f t="shared" si="23"/>
        <v>7947.6514852098553</v>
      </c>
      <c r="L284" s="242">
        <f t="shared" si="24"/>
        <v>21046.458498196869</v>
      </c>
      <c r="M284" s="100"/>
      <c r="N284" s="101"/>
      <c r="O284" s="98"/>
      <c r="P284" s="98"/>
      <c r="Q284" s="102"/>
    </row>
    <row r="285" spans="1:17" s="97" customFormat="1" x14ac:dyDescent="0.25">
      <c r="A285" s="131">
        <f>Données!A285</f>
        <v>5912</v>
      </c>
      <c r="B285" s="251" t="str">
        <f>Données!B285</f>
        <v>Démoret</v>
      </c>
      <c r="C285" s="579">
        <f>Données!AR285</f>
        <v>0</v>
      </c>
      <c r="D285" s="252">
        <f>Données!Z285</f>
        <v>172</v>
      </c>
      <c r="E285" s="99">
        <f>Données!X285</f>
        <v>78</v>
      </c>
      <c r="F285" s="30">
        <f>VPI!L285</f>
        <v>290950.73</v>
      </c>
      <c r="G285" s="7">
        <f t="shared" si="20"/>
        <v>7460.2751282051277</v>
      </c>
      <c r="H285" s="25">
        <f t="shared" si="21"/>
        <v>15841.514445723076</v>
      </c>
      <c r="I285" s="7">
        <f t="shared" si="22"/>
        <v>7460.2751282051277</v>
      </c>
      <c r="J285" s="7">
        <f>VPI!R285</f>
        <v>4054.1132051282052</v>
      </c>
      <c r="K285" s="158">
        <f t="shared" si="23"/>
        <v>4555.4822753506714</v>
      </c>
      <c r="L285" s="242">
        <f t="shared" si="24"/>
        <v>12015.757403555799</v>
      </c>
      <c r="M285" s="100"/>
      <c r="N285" s="101"/>
      <c r="O285" s="98"/>
      <c r="P285" s="98"/>
      <c r="Q285" s="102"/>
    </row>
    <row r="286" spans="1:17" s="97" customFormat="1" x14ac:dyDescent="0.25">
      <c r="A286" s="131">
        <f>Données!A286</f>
        <v>5913</v>
      </c>
      <c r="B286" s="251" t="str">
        <f>Données!B286</f>
        <v>Donneloye</v>
      </c>
      <c r="C286" s="579">
        <f>Données!AR286</f>
        <v>0</v>
      </c>
      <c r="D286" s="252">
        <f>Données!Z286</f>
        <v>917</v>
      </c>
      <c r="E286" s="99">
        <f>Données!X286</f>
        <v>73</v>
      </c>
      <c r="F286" s="30">
        <f>VPI!L286</f>
        <v>1460283.7799999998</v>
      </c>
      <c r="G286" s="7">
        <f t="shared" si="20"/>
        <v>40007.774794520541</v>
      </c>
      <c r="H286" s="25">
        <f t="shared" si="21"/>
        <v>84457.376434465463</v>
      </c>
      <c r="I286" s="7">
        <f t="shared" si="22"/>
        <v>40007.774794520541</v>
      </c>
      <c r="J286" s="7">
        <f>VPI!R286</f>
        <v>21866.794931506847</v>
      </c>
      <c r="K286" s="158">
        <f t="shared" si="23"/>
        <v>24571.044686961868</v>
      </c>
      <c r="L286" s="242">
        <f t="shared" si="24"/>
        <v>64578.819481482409</v>
      </c>
      <c r="M286" s="100"/>
      <c r="N286" s="101"/>
      <c r="O286" s="98"/>
      <c r="P286" s="98"/>
      <c r="Q286" s="102"/>
    </row>
    <row r="287" spans="1:17" s="97" customFormat="1" x14ac:dyDescent="0.25">
      <c r="A287" s="131">
        <f>Données!A287</f>
        <v>5914</v>
      </c>
      <c r="B287" s="251" t="str">
        <f>Données!B287</f>
        <v>Ependes</v>
      </c>
      <c r="C287" s="579">
        <f>Données!AR287</f>
        <v>1</v>
      </c>
      <c r="D287" s="252">
        <f>Données!Z287</f>
        <v>381</v>
      </c>
      <c r="E287" s="99">
        <f>Données!X287</f>
        <v>73.5</v>
      </c>
      <c r="F287" s="30">
        <f>VPI!L287</f>
        <v>701022.22</v>
      </c>
      <c r="G287" s="7">
        <f t="shared" si="20"/>
        <v>19075.43455782313</v>
      </c>
      <c r="H287" s="25">
        <f t="shared" si="21"/>
        <v>35090.796533840068</v>
      </c>
      <c r="I287" s="7">
        <f t="shared" si="22"/>
        <v>0</v>
      </c>
      <c r="J287" s="7">
        <f>VPI!R287</f>
        <v>10606.318639455782</v>
      </c>
      <c r="K287" s="158">
        <f t="shared" si="23"/>
        <v>11917.993929632832</v>
      </c>
      <c r="L287" s="242">
        <f t="shared" si="24"/>
        <v>11917.993929632832</v>
      </c>
      <c r="M287" s="100"/>
      <c r="N287" s="101"/>
      <c r="O287" s="98"/>
      <c r="P287" s="98"/>
      <c r="Q287" s="102"/>
    </row>
    <row r="288" spans="1:17" s="97" customFormat="1" x14ac:dyDescent="0.25">
      <c r="A288" s="131">
        <f>Données!A288</f>
        <v>5919</v>
      </c>
      <c r="B288" s="251" t="str">
        <f>Données!B288</f>
        <v>Mathod</v>
      </c>
      <c r="C288" s="579">
        <f>Données!AR288</f>
        <v>1</v>
      </c>
      <c r="D288" s="252">
        <f>Données!Z288</f>
        <v>725</v>
      </c>
      <c r="E288" s="99">
        <f>Données!X288</f>
        <v>72</v>
      </c>
      <c r="F288" s="30">
        <f>VPI!L288</f>
        <v>1386158.9200000002</v>
      </c>
      <c r="G288" s="7">
        <f t="shared" si="20"/>
        <v>38504.414444444446</v>
      </c>
      <c r="H288" s="25">
        <f t="shared" si="21"/>
        <v>66773.825425286224</v>
      </c>
      <c r="I288" s="7">
        <f t="shared" si="22"/>
        <v>0</v>
      </c>
      <c r="J288" s="7">
        <f>VPI!R288</f>
        <v>21430.97550925926</v>
      </c>
      <c r="K288" s="158">
        <f t="shared" si="23"/>
        <v>24081.327811076142</v>
      </c>
      <c r="L288" s="242">
        <f t="shared" si="24"/>
        <v>24081.327811076142</v>
      </c>
      <c r="M288" s="100"/>
      <c r="N288" s="101"/>
      <c r="O288" s="98"/>
      <c r="P288" s="98"/>
      <c r="Q288" s="102"/>
    </row>
    <row r="289" spans="1:17" s="97" customFormat="1" x14ac:dyDescent="0.25">
      <c r="A289" s="131">
        <f>Données!A289</f>
        <v>5921</v>
      </c>
      <c r="B289" s="251" t="str">
        <f>Données!B289</f>
        <v>Molondin</v>
      </c>
      <c r="C289" s="579">
        <f>Données!AR289</f>
        <v>0</v>
      </c>
      <c r="D289" s="252">
        <f>Données!Z289</f>
        <v>269</v>
      </c>
      <c r="E289" s="99">
        <f>Données!X289</f>
        <v>81</v>
      </c>
      <c r="F289" s="30">
        <f>VPI!L289</f>
        <v>638176.09000000008</v>
      </c>
      <c r="G289" s="7">
        <f t="shared" si="20"/>
        <v>15757.434320987657</v>
      </c>
      <c r="H289" s="25">
        <f t="shared" si="21"/>
        <v>24775.391778485508</v>
      </c>
      <c r="I289" s="7">
        <f t="shared" si="22"/>
        <v>15757.434320987657</v>
      </c>
      <c r="J289" s="7">
        <f>VPI!R289</f>
        <v>8425.9467901234584</v>
      </c>
      <c r="K289" s="158">
        <f t="shared" si="23"/>
        <v>9467.9771662275161</v>
      </c>
      <c r="L289" s="242">
        <f t="shared" si="24"/>
        <v>25225.411487215173</v>
      </c>
      <c r="M289" s="100"/>
      <c r="N289" s="101"/>
      <c r="O289" s="98"/>
      <c r="P289" s="98"/>
      <c r="Q289" s="102"/>
    </row>
    <row r="290" spans="1:17" s="97" customFormat="1" x14ac:dyDescent="0.25">
      <c r="A290" s="131">
        <f>Données!A290</f>
        <v>5922</v>
      </c>
      <c r="B290" s="251" t="str">
        <f>Données!B290</f>
        <v>Montagny-près-Yverdon</v>
      </c>
      <c r="C290" s="579">
        <f>Données!AR290</f>
        <v>0</v>
      </c>
      <c r="D290" s="252">
        <f>Données!Z290</f>
        <v>783</v>
      </c>
      <c r="E290" s="99">
        <f>Données!X290</f>
        <v>64.5</v>
      </c>
      <c r="F290" s="30">
        <f>VPI!L290</f>
        <v>2194753.1300000004</v>
      </c>
      <c r="G290" s="7">
        <f t="shared" si="20"/>
        <v>68054.360620155043</v>
      </c>
      <c r="H290" s="25">
        <f t="shared" si="21"/>
        <v>72115.731459309114</v>
      </c>
      <c r="I290" s="7">
        <f t="shared" si="22"/>
        <v>68054.360620155043</v>
      </c>
      <c r="J290" s="7">
        <f>VPI!R290</f>
        <v>40785.058217054269</v>
      </c>
      <c r="K290" s="158">
        <f t="shared" si="23"/>
        <v>45828.915081087493</v>
      </c>
      <c r="L290" s="242">
        <f t="shared" si="24"/>
        <v>113883.27570124253</v>
      </c>
      <c r="M290" s="100"/>
      <c r="N290" s="101"/>
      <c r="O290" s="98"/>
      <c r="P290" s="98"/>
      <c r="Q290" s="102"/>
    </row>
    <row r="291" spans="1:17" s="97" customFormat="1" x14ac:dyDescent="0.25">
      <c r="A291" s="131">
        <f>Données!A291</f>
        <v>5923</v>
      </c>
      <c r="B291" s="251" t="str">
        <f>Données!B291</f>
        <v>Oppens</v>
      </c>
      <c r="C291" s="579">
        <f>Données!AR291</f>
        <v>0</v>
      </c>
      <c r="D291" s="252">
        <f>Données!Z291</f>
        <v>202</v>
      </c>
      <c r="E291" s="99">
        <f>Données!X291</f>
        <v>79</v>
      </c>
      <c r="F291" s="30">
        <f>VPI!L291</f>
        <v>421506.74</v>
      </c>
      <c r="G291" s="7">
        <f t="shared" si="20"/>
        <v>10671.056708860759</v>
      </c>
      <c r="H291" s="25">
        <f t="shared" si="21"/>
        <v>18604.569290907333</v>
      </c>
      <c r="I291" s="7">
        <f t="shared" si="22"/>
        <v>10671.056708860759</v>
      </c>
      <c r="J291" s="7">
        <f>VPI!R291</f>
        <v>5683.6511392405064</v>
      </c>
      <c r="K291" s="158">
        <f t="shared" si="23"/>
        <v>6386.5439157779974</v>
      </c>
      <c r="L291" s="242">
        <f t="shared" si="24"/>
        <v>17057.600624638755</v>
      </c>
      <c r="M291" s="100"/>
      <c r="N291" s="181"/>
      <c r="O291" s="98"/>
      <c r="P291" s="98"/>
      <c r="Q291" s="102"/>
    </row>
    <row r="292" spans="1:17" s="97" customFormat="1" x14ac:dyDescent="0.25">
      <c r="A292" s="131">
        <f>Données!A292</f>
        <v>5924</v>
      </c>
      <c r="B292" s="251" t="str">
        <f>Données!B292</f>
        <v>Orges</v>
      </c>
      <c r="C292" s="579">
        <f>Données!AR292</f>
        <v>0</v>
      </c>
      <c r="D292" s="252">
        <f>Données!Z292</f>
        <v>424</v>
      </c>
      <c r="E292" s="99">
        <f>Données!X292</f>
        <v>74</v>
      </c>
      <c r="F292" s="30">
        <f>VPI!L292</f>
        <v>916048.54999999993</v>
      </c>
      <c r="G292" s="7">
        <f t="shared" si="20"/>
        <v>24758.068918918918</v>
      </c>
      <c r="H292" s="25">
        <f t="shared" si="21"/>
        <v>39051.175145270841</v>
      </c>
      <c r="I292" s="7">
        <f t="shared" si="22"/>
        <v>24758.068918918918</v>
      </c>
      <c r="J292" s="7">
        <f>VPI!R292</f>
        <v>13265.35135135135</v>
      </c>
      <c r="K292" s="158">
        <f t="shared" si="23"/>
        <v>14905.867177300279</v>
      </c>
      <c r="L292" s="242">
        <f t="shared" si="24"/>
        <v>39663.9360962192</v>
      </c>
      <c r="M292" s="100"/>
      <c r="N292" s="101"/>
      <c r="O292" s="98"/>
      <c r="P292" s="98"/>
      <c r="Q292" s="102"/>
    </row>
    <row r="293" spans="1:17" s="97" customFormat="1" x14ac:dyDescent="0.25">
      <c r="A293" s="131">
        <f>Données!A293</f>
        <v>5925</v>
      </c>
      <c r="B293" s="251" t="str">
        <f>Données!B293</f>
        <v>Orzens</v>
      </c>
      <c r="C293" s="579">
        <f>Données!AR293</f>
        <v>0</v>
      </c>
      <c r="D293" s="252">
        <f>Données!Z293</f>
        <v>216</v>
      </c>
      <c r="E293" s="99">
        <f>Données!X293</f>
        <v>79</v>
      </c>
      <c r="F293" s="30">
        <f>VPI!L293</f>
        <v>361790.51</v>
      </c>
      <c r="G293" s="7">
        <f t="shared" si="20"/>
        <v>9159.2534177215184</v>
      </c>
      <c r="H293" s="25">
        <f t="shared" si="21"/>
        <v>19893.994885326654</v>
      </c>
      <c r="I293" s="7">
        <f t="shared" si="22"/>
        <v>9159.2534177215184</v>
      </c>
      <c r="J293" s="7">
        <f>VPI!R293</f>
        <v>5055.3741772151898</v>
      </c>
      <c r="K293" s="158">
        <f t="shared" si="23"/>
        <v>5680.5684238018212</v>
      </c>
      <c r="L293" s="242">
        <f t="shared" si="24"/>
        <v>14839.821841523339</v>
      </c>
      <c r="M293" s="100"/>
      <c r="N293" s="101"/>
      <c r="O293" s="98"/>
      <c r="P293" s="98"/>
      <c r="Q293" s="102"/>
    </row>
    <row r="294" spans="1:17" s="97" customFormat="1" x14ac:dyDescent="0.25">
      <c r="A294" s="131">
        <f>Données!A294</f>
        <v>5926</v>
      </c>
      <c r="B294" s="251" t="str">
        <f>Données!B294</f>
        <v>Pomy</v>
      </c>
      <c r="C294" s="579">
        <f>Données!AR294</f>
        <v>1</v>
      </c>
      <c r="D294" s="252">
        <f>Données!Z294</f>
        <v>877</v>
      </c>
      <c r="E294" s="99">
        <f>Données!X294</f>
        <v>71</v>
      </c>
      <c r="F294" s="30">
        <f>VPI!L294</f>
        <v>1738258.11</v>
      </c>
      <c r="G294" s="7">
        <f t="shared" si="20"/>
        <v>48965.017183098593</v>
      </c>
      <c r="H294" s="25">
        <f t="shared" si="21"/>
        <v>80773.303307553128</v>
      </c>
      <c r="I294" s="7">
        <f t="shared" si="22"/>
        <v>0</v>
      </c>
      <c r="J294" s="7">
        <f>VPI!R294</f>
        <v>26646.407887323945</v>
      </c>
      <c r="K294" s="158">
        <f t="shared" si="23"/>
        <v>29941.748710648022</v>
      </c>
      <c r="L294" s="242">
        <f t="shared" si="24"/>
        <v>29941.748710648022</v>
      </c>
      <c r="M294" s="100"/>
      <c r="N294" s="101"/>
      <c r="O294" s="98"/>
      <c r="P294" s="98"/>
      <c r="Q294" s="102"/>
    </row>
    <row r="295" spans="1:17" s="97" customFormat="1" x14ac:dyDescent="0.25">
      <c r="A295" s="131">
        <f>Données!A295</f>
        <v>5928</v>
      </c>
      <c r="B295" s="251" t="str">
        <f>Données!B295</f>
        <v>Rovray</v>
      </c>
      <c r="C295" s="579">
        <f>Données!AR295</f>
        <v>0</v>
      </c>
      <c r="D295" s="252">
        <f>Données!Z295</f>
        <v>195</v>
      </c>
      <c r="E295" s="99">
        <f>Données!X295</f>
        <v>73</v>
      </c>
      <c r="F295" s="30">
        <f>VPI!L295</f>
        <v>408839.90999999992</v>
      </c>
      <c r="G295" s="7">
        <f t="shared" si="20"/>
        <v>11201.093424657533</v>
      </c>
      <c r="H295" s="25">
        <f t="shared" si="21"/>
        <v>17959.856493697673</v>
      </c>
      <c r="I295" s="7">
        <f t="shared" si="22"/>
        <v>11201.093424657533</v>
      </c>
      <c r="J295" s="7">
        <f>VPI!R295</f>
        <v>5997.0809589041082</v>
      </c>
      <c r="K295" s="158">
        <f t="shared" si="23"/>
        <v>6738.7353608115955</v>
      </c>
      <c r="L295" s="242">
        <f t="shared" si="24"/>
        <v>17939.82878546913</v>
      </c>
      <c r="M295" s="100"/>
      <c r="N295" s="101"/>
      <c r="O295" s="98"/>
      <c r="P295" s="98"/>
      <c r="Q295" s="102"/>
    </row>
    <row r="296" spans="1:17" s="97" customFormat="1" x14ac:dyDescent="0.25">
      <c r="A296" s="131">
        <f>Données!A296</f>
        <v>5929</v>
      </c>
      <c r="B296" s="251" t="str">
        <f>Données!B296</f>
        <v>Suchy</v>
      </c>
      <c r="C296" s="579">
        <f>Données!AR296</f>
        <v>1</v>
      </c>
      <c r="D296" s="252">
        <f>Données!Z296</f>
        <v>670</v>
      </c>
      <c r="E296" s="99">
        <f>Données!X296</f>
        <v>70</v>
      </c>
      <c r="F296" s="30">
        <f>VPI!L296</f>
        <v>1485571.17</v>
      </c>
      <c r="G296" s="7">
        <f t="shared" si="20"/>
        <v>42444.890571428572</v>
      </c>
      <c r="H296" s="25">
        <f t="shared" si="21"/>
        <v>61708.224875781751</v>
      </c>
      <c r="I296" s="7">
        <f t="shared" si="22"/>
        <v>0</v>
      </c>
      <c r="J296" s="7">
        <f>VPI!R296</f>
        <v>22958.537249999998</v>
      </c>
      <c r="K296" s="158">
        <f t="shared" si="23"/>
        <v>25797.801940522211</v>
      </c>
      <c r="L296" s="242">
        <f t="shared" si="24"/>
        <v>25797.801940522211</v>
      </c>
      <c r="M296" s="100"/>
      <c r="N296" s="101"/>
      <c r="O296" s="98"/>
      <c r="P296" s="98"/>
      <c r="Q296" s="102"/>
    </row>
    <row r="297" spans="1:17" s="97" customFormat="1" x14ac:dyDescent="0.25">
      <c r="A297" s="131">
        <f>Données!A297</f>
        <v>5930</v>
      </c>
      <c r="B297" s="251" t="str">
        <f>Données!B297</f>
        <v>Suscévaz</v>
      </c>
      <c r="C297" s="579">
        <f>Données!AR297</f>
        <v>1</v>
      </c>
      <c r="D297" s="252">
        <f>Données!Z297</f>
        <v>237</v>
      </c>
      <c r="E297" s="99">
        <f>Données!X297</f>
        <v>72</v>
      </c>
      <c r="F297" s="30">
        <f>VPI!L297</f>
        <v>334004.91000000003</v>
      </c>
      <c r="G297" s="7">
        <f t="shared" si="20"/>
        <v>9277.9141666666674</v>
      </c>
      <c r="H297" s="25">
        <f t="shared" si="21"/>
        <v>21828.133276955632</v>
      </c>
      <c r="I297" s="7">
        <f t="shared" si="22"/>
        <v>0</v>
      </c>
      <c r="J297" s="7">
        <f>VPI!R297</f>
        <v>5123.1661111111116</v>
      </c>
      <c r="K297" s="158">
        <f t="shared" si="23"/>
        <v>5756.7441341603708</v>
      </c>
      <c r="L297" s="242">
        <f t="shared" si="24"/>
        <v>5756.7441341603708</v>
      </c>
      <c r="M297" s="100"/>
      <c r="N297" s="101"/>
      <c r="O297" s="98"/>
      <c r="P297" s="98"/>
      <c r="Q297" s="102"/>
    </row>
    <row r="298" spans="1:17" s="97" customFormat="1" x14ac:dyDescent="0.25">
      <c r="A298" s="131">
        <f>Données!A298</f>
        <v>5931</v>
      </c>
      <c r="B298" s="251" t="str">
        <f>Données!B298</f>
        <v>Treycovagnes</v>
      </c>
      <c r="C298" s="579">
        <f>Données!AR298</f>
        <v>1</v>
      </c>
      <c r="D298" s="252">
        <f>Données!Z298</f>
        <v>513</v>
      </c>
      <c r="E298" s="99">
        <f>Données!X298</f>
        <v>73</v>
      </c>
      <c r="F298" s="30">
        <f>VPI!L298</f>
        <v>1109667.22</v>
      </c>
      <c r="G298" s="7">
        <f t="shared" si="20"/>
        <v>30401.841643835614</v>
      </c>
      <c r="H298" s="25">
        <f t="shared" si="21"/>
        <v>47248.237852650804</v>
      </c>
      <c r="I298" s="7">
        <f t="shared" si="22"/>
        <v>0</v>
      </c>
      <c r="J298" s="7">
        <f>VPI!R298</f>
        <v>16489.594109589041</v>
      </c>
      <c r="K298" s="158">
        <f t="shared" si="23"/>
        <v>18528.849564175951</v>
      </c>
      <c r="L298" s="242">
        <f t="shared" si="24"/>
        <v>18528.849564175951</v>
      </c>
      <c r="M298" s="100"/>
      <c r="N298" s="101"/>
      <c r="O298" s="98"/>
      <c r="P298" s="98"/>
      <c r="Q298" s="102"/>
    </row>
    <row r="299" spans="1:17" s="97" customFormat="1" x14ac:dyDescent="0.25">
      <c r="A299" s="131">
        <f>Données!A299</f>
        <v>5932</v>
      </c>
      <c r="B299" s="251" t="str">
        <f>Données!B299</f>
        <v>Ursins</v>
      </c>
      <c r="C299" s="579">
        <f>Données!AR299</f>
        <v>0</v>
      </c>
      <c r="D299" s="252">
        <f>Données!Z299</f>
        <v>233</v>
      </c>
      <c r="E299" s="99">
        <f>Données!X299</f>
        <v>75</v>
      </c>
      <c r="F299" s="30">
        <f>VPI!L299</f>
        <v>660648.2300000001</v>
      </c>
      <c r="G299" s="7">
        <f t="shared" si="20"/>
        <v>17617.286133333335</v>
      </c>
      <c r="H299" s="25">
        <f t="shared" si="21"/>
        <v>21459.725964264398</v>
      </c>
      <c r="I299" s="7">
        <f t="shared" si="22"/>
        <v>17617.286133333335</v>
      </c>
      <c r="J299" s="7">
        <f>VPI!R299</f>
        <v>9309.2870666666695</v>
      </c>
      <c r="K299" s="158">
        <f t="shared" si="23"/>
        <v>10460.559457172374</v>
      </c>
      <c r="L299" s="242">
        <f t="shared" si="24"/>
        <v>28077.845590505709</v>
      </c>
      <c r="M299" s="100"/>
      <c r="N299" s="101"/>
      <c r="O299" s="98"/>
      <c r="P299" s="98"/>
      <c r="Q299" s="102"/>
    </row>
    <row r="300" spans="1:17" s="97" customFormat="1" x14ac:dyDescent="0.25">
      <c r="A300" s="131">
        <f>Données!A300</f>
        <v>5933</v>
      </c>
      <c r="B300" s="251" t="str">
        <f>Données!B300</f>
        <v>Valeyres-sous-Montagny</v>
      </c>
      <c r="C300" s="579">
        <f>Données!AR300</f>
        <v>0</v>
      </c>
      <c r="D300" s="252">
        <f>Données!Z300</f>
        <v>706</v>
      </c>
      <c r="E300" s="99">
        <f>Données!X300</f>
        <v>70.5</v>
      </c>
      <c r="F300" s="30">
        <f>VPI!L300</f>
        <v>1508920.99</v>
      </c>
      <c r="G300" s="7">
        <f t="shared" si="20"/>
        <v>42806.269219858157</v>
      </c>
      <c r="H300" s="25">
        <f t="shared" si="21"/>
        <v>65023.89069000286</v>
      </c>
      <c r="I300" s="7">
        <f t="shared" si="22"/>
        <v>42806.269219858157</v>
      </c>
      <c r="J300" s="7">
        <f>VPI!R300</f>
        <v>23289.682127659577</v>
      </c>
      <c r="K300" s="158">
        <f t="shared" si="23"/>
        <v>26169.899251185165</v>
      </c>
      <c r="L300" s="242">
        <f t="shared" si="24"/>
        <v>68976.168471043318</v>
      </c>
      <c r="M300" s="100"/>
      <c r="N300" s="101"/>
      <c r="O300" s="98"/>
      <c r="P300" s="98"/>
      <c r="Q300" s="102"/>
    </row>
    <row r="301" spans="1:17" s="97" customFormat="1" x14ac:dyDescent="0.25">
      <c r="A301" s="131">
        <f>Données!A301</f>
        <v>5934</v>
      </c>
      <c r="B301" s="251" t="str">
        <f>Données!B301</f>
        <v>Valeyres-sous-Ursins</v>
      </c>
      <c r="C301" s="579">
        <f>Données!AR301</f>
        <v>0</v>
      </c>
      <c r="D301" s="252">
        <f>Données!Z301</f>
        <v>236</v>
      </c>
      <c r="E301" s="99">
        <f>Données!X301</f>
        <v>77</v>
      </c>
      <c r="F301" s="30">
        <f>VPI!L301</f>
        <v>626910.64999999991</v>
      </c>
      <c r="G301" s="7">
        <f t="shared" si="20"/>
        <v>16283.393506493505</v>
      </c>
      <c r="H301" s="25">
        <f t="shared" si="21"/>
        <v>21736.031448782825</v>
      </c>
      <c r="I301" s="7">
        <f t="shared" si="22"/>
        <v>16283.393506493505</v>
      </c>
      <c r="J301" s="7">
        <f>VPI!R301</f>
        <v>8590.653896103895</v>
      </c>
      <c r="K301" s="158">
        <f t="shared" si="23"/>
        <v>9653.0534736599457</v>
      </c>
      <c r="L301" s="242">
        <f t="shared" si="24"/>
        <v>25936.446980153451</v>
      </c>
      <c r="M301" s="100"/>
      <c r="N301" s="101"/>
      <c r="O301" s="98"/>
      <c r="P301" s="98"/>
      <c r="Q301" s="102"/>
    </row>
    <row r="302" spans="1:17" s="97" customFormat="1" x14ac:dyDescent="0.25">
      <c r="A302" s="131">
        <f>Données!A302</f>
        <v>5935</v>
      </c>
      <c r="B302" s="251" t="str">
        <f>Données!B302</f>
        <v>Villars-Epeney</v>
      </c>
      <c r="C302" s="579">
        <f>Données!AR302</f>
        <v>0</v>
      </c>
      <c r="D302" s="252">
        <f>Données!Z302</f>
        <v>108</v>
      </c>
      <c r="E302" s="99">
        <f>Données!X302</f>
        <v>68</v>
      </c>
      <c r="F302" s="30">
        <f>VPI!L302</f>
        <v>656358.48</v>
      </c>
      <c r="G302" s="7">
        <f t="shared" si="20"/>
        <v>19304.661176470589</v>
      </c>
      <c r="H302" s="25">
        <f t="shared" si="21"/>
        <v>9946.9974426633271</v>
      </c>
      <c r="I302" s="7">
        <f t="shared" si="22"/>
        <v>9946.9974426633271</v>
      </c>
      <c r="J302" s="7">
        <f>VPI!R302</f>
        <v>10030.652647058823</v>
      </c>
      <c r="K302" s="158">
        <f t="shared" si="23"/>
        <v>11271.135765541787</v>
      </c>
      <c r="L302" s="242">
        <f t="shared" si="24"/>
        <v>21218.133208205116</v>
      </c>
      <c r="M302" s="100"/>
      <c r="N302" s="101"/>
      <c r="O302" s="98"/>
      <c r="P302" s="98"/>
      <c r="Q302" s="102"/>
    </row>
    <row r="303" spans="1:17" s="97" customFormat="1" x14ac:dyDescent="0.25">
      <c r="A303" s="131">
        <f>Données!A303</f>
        <v>5937</v>
      </c>
      <c r="B303" s="251" t="str">
        <f>Données!B303</f>
        <v>Vugelles-La Mothe</v>
      </c>
      <c r="C303" s="579">
        <f>Données!AR303</f>
        <v>0</v>
      </c>
      <c r="D303" s="252">
        <f>Données!Z303</f>
        <v>147</v>
      </c>
      <c r="E303" s="99">
        <f>Données!X303</f>
        <v>70</v>
      </c>
      <c r="F303" s="30">
        <f>VPI!L303</f>
        <v>289723.18</v>
      </c>
      <c r="G303" s="7">
        <f t="shared" si="20"/>
        <v>8277.8051428571434</v>
      </c>
      <c r="H303" s="25">
        <f t="shared" si="21"/>
        <v>13538.968741402861</v>
      </c>
      <c r="I303" s="7">
        <f t="shared" si="22"/>
        <v>8277.8051428571434</v>
      </c>
      <c r="J303" s="7">
        <f>VPI!R303</f>
        <v>4424.7368571428569</v>
      </c>
      <c r="K303" s="158">
        <f t="shared" si="23"/>
        <v>4971.940670109554</v>
      </c>
      <c r="L303" s="242">
        <f t="shared" si="24"/>
        <v>13249.745812966697</v>
      </c>
      <c r="M303" s="100"/>
      <c r="N303" s="101"/>
      <c r="O303" s="98"/>
      <c r="P303" s="98"/>
      <c r="Q303" s="102"/>
    </row>
    <row r="304" spans="1:17" s="97" customFormat="1" x14ac:dyDescent="0.25">
      <c r="A304" s="131">
        <f>Données!A304</f>
        <v>5938</v>
      </c>
      <c r="B304" s="251" t="str">
        <f>Données!B304</f>
        <v>Yverdon-les-Bains</v>
      </c>
      <c r="C304" s="579">
        <f>Données!AR304</f>
        <v>1</v>
      </c>
      <c r="D304" s="252">
        <f>Données!Z304</f>
        <v>30332</v>
      </c>
      <c r="E304" s="99">
        <f>Données!X304</f>
        <v>75</v>
      </c>
      <c r="F304" s="30">
        <f>VPI!L304</f>
        <v>54557893.799999997</v>
      </c>
      <c r="G304" s="7">
        <f t="shared" si="20"/>
        <v>1454877.1679999998</v>
      </c>
      <c r="H304" s="25">
        <f t="shared" si="21"/>
        <v>2793632.6521376297</v>
      </c>
      <c r="I304" s="7">
        <f t="shared" si="22"/>
        <v>0</v>
      </c>
      <c r="J304" s="7">
        <f>VPI!R304</f>
        <v>801823.39555555547</v>
      </c>
      <c r="K304" s="158">
        <f t="shared" si="23"/>
        <v>900984.27981596335</v>
      </c>
      <c r="L304" s="242">
        <f t="shared" si="24"/>
        <v>900984.27981596335</v>
      </c>
      <c r="M304" s="100"/>
      <c r="N304" s="101"/>
      <c r="O304" s="98"/>
      <c r="P304" s="98"/>
      <c r="Q304" s="102"/>
    </row>
    <row r="305" spans="1:17" s="97" customFormat="1" x14ac:dyDescent="0.25">
      <c r="A305" s="132">
        <f>Données!A305</f>
        <v>5939</v>
      </c>
      <c r="B305" s="251" t="str">
        <f>Données!B305</f>
        <v>Yvonand</v>
      </c>
      <c r="C305" s="580">
        <f>Données!AR305</f>
        <v>0</v>
      </c>
      <c r="D305" s="252">
        <f>Données!Z305</f>
        <v>3525</v>
      </c>
      <c r="E305" s="99">
        <f>Données!X305</f>
        <v>71.5</v>
      </c>
      <c r="F305" s="30">
        <f>VPI!L305</f>
        <v>6186408.8500000006</v>
      </c>
      <c r="G305" s="151">
        <f t="shared" si="20"/>
        <v>173046.40139860142</v>
      </c>
      <c r="H305" s="67">
        <f t="shared" si="21"/>
        <v>324658.94430915028</v>
      </c>
      <c r="I305" s="7">
        <f t="shared" si="22"/>
        <v>173046.40139860142</v>
      </c>
      <c r="J305" s="151">
        <f>VPI!R305</f>
        <v>95983.007692307685</v>
      </c>
      <c r="K305" s="50">
        <f t="shared" si="23"/>
        <v>107853.1526263405</v>
      </c>
      <c r="L305" s="243">
        <f t="shared" si="24"/>
        <v>280899.55402494193</v>
      </c>
      <c r="M305" s="100"/>
      <c r="N305" s="101"/>
      <c r="O305" s="98"/>
      <c r="P305" s="98"/>
      <c r="Q305" s="102"/>
    </row>
    <row r="306" spans="1:17" s="97" customFormat="1" x14ac:dyDescent="0.25">
      <c r="A306" s="24"/>
      <c r="B306" s="71">
        <f>COUNTA(B6:B305)</f>
        <v>300</v>
      </c>
      <c r="C306" s="132">
        <f>SUM(C6:C305)</f>
        <v>49</v>
      </c>
      <c r="D306" s="108">
        <f>SUM(D6:D305)</f>
        <v>855749</v>
      </c>
      <c r="E306" s="108"/>
      <c r="F306" s="108">
        <f t="shared" ref="F306:L306" si="25">SUM(F6:F305)</f>
        <v>2660443370.9300013</v>
      </c>
      <c r="G306" s="111">
        <f t="shared" si="25"/>
        <v>78816047.357052773</v>
      </c>
      <c r="H306" s="108">
        <f t="shared" si="25"/>
        <v>78816047.357052565</v>
      </c>
      <c r="I306" s="108">
        <f t="shared" si="25"/>
        <v>25126481.998249207</v>
      </c>
      <c r="J306" s="111">
        <f t="shared" si="25"/>
        <v>42757870.01587484</v>
      </c>
      <c r="K306" s="111">
        <f t="shared" si="25"/>
        <v>48045703.00175076</v>
      </c>
      <c r="L306" s="288">
        <f t="shared" si="25"/>
        <v>73172184.999999925</v>
      </c>
      <c r="M306" s="98"/>
      <c r="N306" s="179"/>
      <c r="O306" s="98"/>
      <c r="P306" s="98"/>
    </row>
    <row r="307" spans="1:17" s="97" customFormat="1" x14ac:dyDescent="0.25">
      <c r="A307" s="96"/>
      <c r="B307" s="96"/>
      <c r="C307" s="96"/>
      <c r="D307" s="96"/>
      <c r="E307" s="96"/>
      <c r="F307" s="96"/>
      <c r="G307" s="96"/>
      <c r="H307" s="110"/>
      <c r="I307" s="96"/>
      <c r="J307" s="103"/>
      <c r="K307" s="96"/>
      <c r="L307" s="103"/>
      <c r="M307" s="96"/>
      <c r="N307" s="98"/>
      <c r="P307" s="98"/>
      <c r="Q307" s="98"/>
    </row>
    <row r="308" spans="1:17" x14ac:dyDescent="0.25">
      <c r="H308" s="110"/>
      <c r="I308" s="110"/>
      <c r="J308" s="110"/>
      <c r="K308" s="110"/>
      <c r="L308" s="155"/>
      <c r="M308" s="110"/>
    </row>
  </sheetData>
  <sheetProtection sheet="1" objects="1" scenarios="1"/>
  <mergeCells count="11">
    <mergeCell ref="E1:F1"/>
    <mergeCell ref="L4:L5"/>
    <mergeCell ref="B4:B5"/>
    <mergeCell ref="A4:A5"/>
    <mergeCell ref="J4:J5"/>
    <mergeCell ref="I4:I5"/>
    <mergeCell ref="H4:H5"/>
    <mergeCell ref="F4:F5"/>
    <mergeCell ref="E4:E5"/>
    <mergeCell ref="C4:C5"/>
    <mergeCell ref="G4:G5"/>
  </mergeCells>
  <hyperlinks>
    <hyperlink ref="C1" location="Taux!A1" display="← Précédent" xr:uid="{C8901635-E034-47DD-93A2-BAA21240173B}"/>
    <hyperlink ref="E1:F1" location="Synthèse!A1" display="Suivant →" xr:uid="{E0670AFE-D86B-4F7C-A3A7-5583CCD7E9BB}"/>
    <hyperlink ref="D1" location="'Table des matières'!A1" display="Table des             matières" xr:uid="{47FAC582-202D-4B6D-B66A-647C53FD6C30}"/>
  </hyperlinks>
  <printOptions horizontalCentered="1" verticalCentered="1"/>
  <pageMargins left="0.78740157480314965" right="0.78740157480314965" top="0.98425196850393704" bottom="0.98425196850393704" header="0.51181102362204722" footer="0.51181102362204722"/>
  <pageSetup paperSize="8" scale="93" fitToHeight="9" orientation="landscape" r:id="rId1"/>
  <headerFooter alignWithMargins="0">
    <oddFooter>&amp;L&amp;8SCL - Division finances communales&amp;C- &amp;N -&amp;R&amp;8ASFiCo/FW/Juillet 2014</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7">
    <tabColor theme="3" tint="0.59999389629810485"/>
  </sheetPr>
  <dimension ref="A1:M307"/>
  <sheetViews>
    <sheetView workbookViewId="0">
      <pane xSplit="2" ySplit="4" topLeftCell="C5" activePane="bottomRight" state="frozen"/>
      <selection pane="topRight" activeCell="C1" sqref="C1"/>
      <selection pane="bottomLeft" activeCell="A5" sqref="A5"/>
      <selection pane="bottomRight"/>
    </sheetView>
  </sheetViews>
  <sheetFormatPr baseColWidth="10" defaultColWidth="10.75" defaultRowHeight="15" x14ac:dyDescent="0.25"/>
  <cols>
    <col min="1" max="1" width="7.25" style="10" customWidth="1"/>
    <col min="2" max="2" width="20.875" style="10" customWidth="1"/>
    <col min="3" max="3" width="7.5" style="12" customWidth="1"/>
    <col min="4" max="4" width="10.5" style="82" customWidth="1"/>
    <col min="5" max="5" width="16.125" style="82" customWidth="1"/>
    <col min="6" max="6" width="12.5" style="10" customWidth="1"/>
    <col min="7" max="7" width="15.625" style="10" customWidth="1"/>
    <col min="8" max="8" width="10.25" style="146" customWidth="1"/>
    <col min="9" max="9" width="12" style="10" bestFit="1" customWidth="1"/>
    <col min="10" max="10" width="10.75" style="10" customWidth="1"/>
    <col min="11" max="16384" width="10.75" style="10"/>
  </cols>
  <sheetData>
    <row r="1" spans="1:13" s="32" customFormat="1" ht="26.25" x14ac:dyDescent="0.2">
      <c r="A1" s="204" t="s">
        <v>424</v>
      </c>
      <c r="B1" s="205"/>
      <c r="C1" s="287" t="s">
        <v>402</v>
      </c>
      <c r="D1" s="214" t="s">
        <v>394</v>
      </c>
      <c r="E1" s="209" t="s">
        <v>403</v>
      </c>
      <c r="F1" s="206"/>
      <c r="G1" s="48"/>
      <c r="H1" s="148"/>
      <c r="I1" s="48"/>
    </row>
    <row r="2" spans="1:13" s="32" customFormat="1" ht="15.75" x14ac:dyDescent="0.2">
      <c r="A2" s="254" t="str">
        <f>Paramètres!B4</f>
        <v>Décompte 2024</v>
      </c>
      <c r="C2" s="77"/>
      <c r="D2" s="123"/>
      <c r="E2" s="123"/>
      <c r="F2" s="48"/>
      <c r="G2" s="48"/>
      <c r="H2" s="148"/>
      <c r="I2" s="48"/>
      <c r="J2" s="48"/>
    </row>
    <row r="3" spans="1:13" x14ac:dyDescent="0.25">
      <c r="D3" s="10"/>
      <c r="E3" s="10"/>
    </row>
    <row r="4" spans="1:13" ht="53.25" customHeight="1" x14ac:dyDescent="0.25">
      <c r="A4" s="380" t="s">
        <v>44</v>
      </c>
      <c r="B4" s="380" t="s">
        <v>84</v>
      </c>
      <c r="C4" s="379" t="s">
        <v>365</v>
      </c>
      <c r="D4" s="382" t="s">
        <v>257</v>
      </c>
      <c r="E4" s="382" t="s">
        <v>409</v>
      </c>
      <c r="F4" s="383" t="s">
        <v>277</v>
      </c>
      <c r="G4" s="384" t="s">
        <v>391</v>
      </c>
      <c r="H4" s="381" t="s">
        <v>406</v>
      </c>
      <c r="I4" s="382" t="s">
        <v>124</v>
      </c>
    </row>
    <row r="5" spans="1:13" s="84" customFormat="1" x14ac:dyDescent="0.25">
      <c r="A5" s="277">
        <f>Données!A6</f>
        <v>5401</v>
      </c>
      <c r="B5" s="276" t="str">
        <f>Données!B6</f>
        <v>Aigle</v>
      </c>
      <c r="C5" s="280">
        <f>VPI!Q6</f>
        <v>66</v>
      </c>
      <c r="D5" s="284">
        <f>Données!Z6</f>
        <v>11780</v>
      </c>
      <c r="E5" s="661">
        <f>VPI!R6</f>
        <v>311614.01419191912</v>
      </c>
      <c r="F5" s="232">
        <f>'Péréquation directe'!K12</f>
        <v>-9841523.1521304976</v>
      </c>
      <c r="G5" s="357">
        <f>PCS!I12</f>
        <v>5113353.6634173021</v>
      </c>
      <c r="H5" s="241">
        <f>Police!L6</f>
        <v>350151.08029211254</v>
      </c>
      <c r="I5" s="338">
        <f>SUM(F5:H5)</f>
        <v>-4378018.4084210834</v>
      </c>
      <c r="J5" s="133"/>
      <c r="K5" s="175"/>
      <c r="L5" s="591"/>
      <c r="M5" s="592"/>
    </row>
    <row r="6" spans="1:13" s="84" customFormat="1" x14ac:dyDescent="0.25">
      <c r="A6" s="278">
        <f>Données!A7</f>
        <v>5402</v>
      </c>
      <c r="B6" s="282" t="str">
        <f>Données!B7</f>
        <v>Bex</v>
      </c>
      <c r="C6" s="280">
        <f>VPI!Q7</f>
        <v>71</v>
      </c>
      <c r="D6" s="285">
        <f>Données!Z7</f>
        <v>8806</v>
      </c>
      <c r="E6" s="661">
        <f>VPI!R7</f>
        <v>199600.34901408452</v>
      </c>
      <c r="F6" s="218">
        <f>'Péréquation directe'!K13</f>
        <v>-8290832.9328244813</v>
      </c>
      <c r="G6" s="227">
        <f>PCS!I13</f>
        <v>3370659.8159538573</v>
      </c>
      <c r="H6" s="242">
        <f>Police!L7</f>
        <v>224284.77106591189</v>
      </c>
      <c r="I6" s="320">
        <f t="shared" ref="I6:I69" si="0">SUM(F6:H6)</f>
        <v>-4695888.3458047118</v>
      </c>
      <c r="J6" s="133"/>
      <c r="K6" s="175"/>
      <c r="L6" s="591"/>
      <c r="M6" s="592"/>
    </row>
    <row r="7" spans="1:13" s="84" customFormat="1" x14ac:dyDescent="0.25">
      <c r="A7" s="278">
        <f>Données!A8</f>
        <v>5403</v>
      </c>
      <c r="B7" s="282" t="str">
        <f>Données!B8</f>
        <v>Chessel</v>
      </c>
      <c r="C7" s="280">
        <f>VPI!Q8</f>
        <v>65</v>
      </c>
      <c r="D7" s="285">
        <f>Données!Z8</f>
        <v>528</v>
      </c>
      <c r="E7" s="661">
        <f>VPI!R8</f>
        <v>12200.842307692306</v>
      </c>
      <c r="F7" s="218">
        <f>'Péréquation directe'!K14</f>
        <v>-90211.271484060358</v>
      </c>
      <c r="G7" s="227">
        <f>PCS!I14</f>
        <v>222543.27578389383</v>
      </c>
      <c r="H7" s="242">
        <f>Police!L8</f>
        <v>35111.272655244029</v>
      </c>
      <c r="I7" s="320">
        <f t="shared" si="0"/>
        <v>167443.27695507748</v>
      </c>
      <c r="J7" s="133"/>
      <c r="K7" s="175"/>
      <c r="L7" s="591"/>
      <c r="M7" s="592"/>
    </row>
    <row r="8" spans="1:13" s="84" customFormat="1" x14ac:dyDescent="0.25">
      <c r="A8" s="278">
        <f>Données!A9</f>
        <v>5404</v>
      </c>
      <c r="B8" s="282" t="str">
        <f>Données!B9</f>
        <v>Corbeyrier</v>
      </c>
      <c r="C8" s="280">
        <f>VPI!Q9</f>
        <v>74</v>
      </c>
      <c r="D8" s="285">
        <f>Données!Z9</f>
        <v>452</v>
      </c>
      <c r="E8" s="661">
        <f>VPI!R9</f>
        <v>12100.787342342343</v>
      </c>
      <c r="F8" s="218">
        <f>'Péréquation directe'!K15</f>
        <v>-259784.4281324968</v>
      </c>
      <c r="G8" s="227">
        <f>PCS!I15</f>
        <v>166776.77075223377</v>
      </c>
      <c r="H8" s="242">
        <f>Police!L9</f>
        <v>35186.668376564463</v>
      </c>
      <c r="I8" s="320">
        <f t="shared" si="0"/>
        <v>-57820.989003698567</v>
      </c>
      <c r="J8" s="133"/>
      <c r="K8" s="175"/>
      <c r="L8" s="591"/>
      <c r="M8" s="592"/>
    </row>
    <row r="9" spans="1:13" s="84" customFormat="1" x14ac:dyDescent="0.25">
      <c r="A9" s="278">
        <f>Données!A10</f>
        <v>5405</v>
      </c>
      <c r="B9" s="282" t="str">
        <f>Données!B10</f>
        <v>Gryon</v>
      </c>
      <c r="C9" s="280">
        <f>VPI!Q10</f>
        <v>73.5</v>
      </c>
      <c r="D9" s="285">
        <f>Données!Z10</f>
        <v>1525</v>
      </c>
      <c r="E9" s="661">
        <f>VPI!R10</f>
        <v>80049.808163265319</v>
      </c>
      <c r="F9" s="218">
        <f>'Péréquation directe'!K16</f>
        <v>323499.82467171457</v>
      </c>
      <c r="G9" s="227">
        <f>PCS!I16</f>
        <v>1468236.6164382384</v>
      </c>
      <c r="H9" s="242">
        <f>Police!L10</f>
        <v>225976.68204388872</v>
      </c>
      <c r="I9" s="320">
        <f t="shared" si="0"/>
        <v>2017713.1231538416</v>
      </c>
      <c r="J9" s="133"/>
      <c r="K9" s="175"/>
      <c r="L9" s="591"/>
      <c r="M9" s="592"/>
    </row>
    <row r="10" spans="1:13" s="84" customFormat="1" x14ac:dyDescent="0.25">
      <c r="A10" s="278">
        <f>Données!A11</f>
        <v>5406</v>
      </c>
      <c r="B10" s="282" t="str">
        <f>Données!B11</f>
        <v>Lavey-Morcles</v>
      </c>
      <c r="C10" s="280">
        <f>VPI!Q11</f>
        <v>71.5</v>
      </c>
      <c r="D10" s="285">
        <f>Données!Z11</f>
        <v>1014</v>
      </c>
      <c r="E10" s="661">
        <f>VPI!R11</f>
        <v>23811.433641742868</v>
      </c>
      <c r="F10" s="218">
        <f>'Péréquation directe'!K17</f>
        <v>-472385.81530307292</v>
      </c>
      <c r="G10" s="227">
        <f>PCS!I17</f>
        <v>358052.00804791151</v>
      </c>
      <c r="H10" s="242">
        <f>Police!L11</f>
        <v>69582.577892269081</v>
      </c>
      <c r="I10" s="320">
        <f t="shared" si="0"/>
        <v>-44751.229362892322</v>
      </c>
      <c r="J10" s="133"/>
      <c r="K10" s="175"/>
      <c r="L10" s="591"/>
      <c r="M10" s="592"/>
    </row>
    <row r="11" spans="1:13" s="84" customFormat="1" x14ac:dyDescent="0.25">
      <c r="A11" s="278">
        <f>Données!A12</f>
        <v>5407</v>
      </c>
      <c r="B11" s="282" t="str">
        <f>Données!B12</f>
        <v>Leysin</v>
      </c>
      <c r="C11" s="280">
        <f>VPI!Q12</f>
        <v>78</v>
      </c>
      <c r="D11" s="285">
        <f>Données!Z12</f>
        <v>3685</v>
      </c>
      <c r="E11" s="661">
        <f>VPI!R12</f>
        <v>94315.702863247876</v>
      </c>
      <c r="F11" s="218">
        <f>'Péréquation directe'!K18</f>
        <v>-2982379.9789328608</v>
      </c>
      <c r="G11" s="227">
        <f>PCS!I18</f>
        <v>1538914.9655518611</v>
      </c>
      <c r="H11" s="242">
        <f>Police!L12</f>
        <v>270021.86477008928</v>
      </c>
      <c r="I11" s="320">
        <f t="shared" si="0"/>
        <v>-1173443.1486109104</v>
      </c>
      <c r="J11" s="133"/>
      <c r="K11" s="175"/>
      <c r="L11" s="591"/>
      <c r="M11" s="592"/>
    </row>
    <row r="12" spans="1:13" s="84" customFormat="1" x14ac:dyDescent="0.25">
      <c r="A12" s="278">
        <f>Données!A13</f>
        <v>5408</v>
      </c>
      <c r="B12" s="282" t="str">
        <f>Données!B13</f>
        <v>Noville</v>
      </c>
      <c r="C12" s="280">
        <f>VPI!Q13</f>
        <v>75</v>
      </c>
      <c r="D12" s="285">
        <f>Données!Z13</f>
        <v>1208</v>
      </c>
      <c r="E12" s="661">
        <f>VPI!R13</f>
        <v>41741.779422222215</v>
      </c>
      <c r="F12" s="218">
        <f>'Péréquation directe'!K19</f>
        <v>148857.24671518919</v>
      </c>
      <c r="G12" s="227">
        <f>PCS!I19</f>
        <v>625325.83475320227</v>
      </c>
      <c r="H12" s="242">
        <f>Police!L13</f>
        <v>119941.14366381058</v>
      </c>
      <c r="I12" s="320">
        <f t="shared" si="0"/>
        <v>894124.22513220203</v>
      </c>
      <c r="J12" s="133"/>
      <c r="K12" s="175"/>
      <c r="L12" s="591"/>
      <c r="M12" s="592"/>
    </row>
    <row r="13" spans="1:13" s="84" customFormat="1" x14ac:dyDescent="0.25">
      <c r="A13" s="278">
        <f>Données!A14</f>
        <v>5409</v>
      </c>
      <c r="B13" s="282" t="str">
        <f>Données!B14</f>
        <v>Ollon</v>
      </c>
      <c r="C13" s="280">
        <f>VPI!Q14</f>
        <v>68</v>
      </c>
      <c r="D13" s="285">
        <f>Données!Z14</f>
        <v>8222</v>
      </c>
      <c r="E13" s="661">
        <f>VPI!R14</f>
        <v>429709.0160746607</v>
      </c>
      <c r="F13" s="218">
        <f>'Péréquation directe'!K20</f>
        <v>919569.43920444325</v>
      </c>
      <c r="G13" s="227">
        <f>PCS!I20</f>
        <v>7472537.7837881735</v>
      </c>
      <c r="H13" s="242">
        <f>Police!L14</f>
        <v>482850.80046860443</v>
      </c>
      <c r="I13" s="320">
        <f t="shared" si="0"/>
        <v>8874958.0234612226</v>
      </c>
      <c r="J13" s="133"/>
      <c r="K13" s="175"/>
      <c r="L13" s="591"/>
      <c r="M13" s="592"/>
    </row>
    <row r="14" spans="1:13" s="84" customFormat="1" x14ac:dyDescent="0.25">
      <c r="A14" s="278">
        <f>Données!A15</f>
        <v>5410</v>
      </c>
      <c r="B14" s="282" t="str">
        <f>Données!B15</f>
        <v>Ormont-Dessous</v>
      </c>
      <c r="C14" s="280">
        <f>VPI!Q15</f>
        <v>77</v>
      </c>
      <c r="D14" s="285">
        <f>Données!Z15</f>
        <v>1244</v>
      </c>
      <c r="E14" s="661">
        <f>VPI!R15</f>
        <v>39461.333506493509</v>
      </c>
      <c r="F14" s="218">
        <f>'Péréquation directe'!K21</f>
        <v>-1741505.8665255224</v>
      </c>
      <c r="G14" s="227">
        <f>PCS!I21</f>
        <v>675200.00768362451</v>
      </c>
      <c r="H14" s="242">
        <f>Police!L15</f>
        <v>112230.9845328013</v>
      </c>
      <c r="I14" s="320">
        <f t="shared" si="0"/>
        <v>-954074.8743090966</v>
      </c>
      <c r="J14" s="133"/>
      <c r="K14" s="175"/>
      <c r="L14" s="591"/>
      <c r="M14" s="592"/>
    </row>
    <row r="15" spans="1:13" s="84" customFormat="1" x14ac:dyDescent="0.25">
      <c r="A15" s="278">
        <f>Données!A16</f>
        <v>5411</v>
      </c>
      <c r="B15" s="282" t="str">
        <f>Données!B16</f>
        <v>Ormont-Dessus</v>
      </c>
      <c r="C15" s="280">
        <f>VPI!Q16</f>
        <v>76</v>
      </c>
      <c r="D15" s="285">
        <f>Données!Z16</f>
        <v>1435</v>
      </c>
      <c r="E15" s="661">
        <f>VPI!R16</f>
        <v>82773.582149122798</v>
      </c>
      <c r="F15" s="218">
        <f>'Péréquation directe'!K22</f>
        <v>800457.8033984116</v>
      </c>
      <c r="G15" s="227">
        <f>PCS!I22</f>
        <v>1582527.3505009059</v>
      </c>
      <c r="H15" s="242">
        <f>Police!L16</f>
        <v>225176.25098698301</v>
      </c>
      <c r="I15" s="320">
        <f t="shared" si="0"/>
        <v>2608161.4048863007</v>
      </c>
      <c r="J15" s="133"/>
      <c r="K15" s="175"/>
      <c r="L15" s="591"/>
      <c r="M15" s="592"/>
    </row>
    <row r="16" spans="1:13" s="84" customFormat="1" x14ac:dyDescent="0.25">
      <c r="A16" s="278">
        <f>Données!A17</f>
        <v>5412</v>
      </c>
      <c r="B16" s="282" t="str">
        <f>Données!B17</f>
        <v>Rennaz</v>
      </c>
      <c r="C16" s="280">
        <f>VPI!Q17</f>
        <v>66</v>
      </c>
      <c r="D16" s="285">
        <f>Données!Z17</f>
        <v>949</v>
      </c>
      <c r="E16" s="661">
        <f>VPI!R17</f>
        <v>31259.838939393936</v>
      </c>
      <c r="F16" s="218">
        <f>'Péréquation directe'!K23</f>
        <v>94613.20413214853</v>
      </c>
      <c r="G16" s="227">
        <f>PCS!I23</f>
        <v>924011.51702395035</v>
      </c>
      <c r="H16" s="242">
        <f>Police!L17</f>
        <v>87338.286514753825</v>
      </c>
      <c r="I16" s="320">
        <f t="shared" si="0"/>
        <v>1105963.0076708528</v>
      </c>
      <c r="J16" s="133"/>
      <c r="K16" s="175"/>
      <c r="L16" s="591"/>
      <c r="M16" s="592"/>
    </row>
    <row r="17" spans="1:13" s="84" customFormat="1" x14ac:dyDescent="0.25">
      <c r="A17" s="278">
        <f>Données!A18</f>
        <v>5413</v>
      </c>
      <c r="B17" s="282" t="str">
        <f>Données!B18</f>
        <v>Roche</v>
      </c>
      <c r="C17" s="280">
        <f>VPI!Q18</f>
        <v>68</v>
      </c>
      <c r="D17" s="285">
        <f>Données!Z18</f>
        <v>1996</v>
      </c>
      <c r="E17" s="661">
        <f>VPI!R18</f>
        <v>41768.164926470592</v>
      </c>
      <c r="F17" s="218">
        <f>'Péréquation directe'!K24</f>
        <v>-884791.75327921193</v>
      </c>
      <c r="G17" s="227">
        <f>PCS!I24</f>
        <v>922473.69513234473</v>
      </c>
      <c r="H17" s="242">
        <f>Police!L18</f>
        <v>119708.00154901175</v>
      </c>
      <c r="I17" s="320">
        <f t="shared" si="0"/>
        <v>157389.94340214453</v>
      </c>
      <c r="J17" s="133"/>
      <c r="K17" s="175"/>
      <c r="L17" s="591"/>
      <c r="M17" s="592"/>
    </row>
    <row r="18" spans="1:13" s="84" customFormat="1" x14ac:dyDescent="0.25">
      <c r="A18" s="278">
        <f>Données!A19</f>
        <v>5414</v>
      </c>
      <c r="B18" s="282" t="str">
        <f>Données!B19</f>
        <v>Villeneuve</v>
      </c>
      <c r="C18" s="280">
        <f>VPI!Q19</f>
        <v>66.5</v>
      </c>
      <c r="D18" s="285">
        <f>Données!Z19</f>
        <v>6039</v>
      </c>
      <c r="E18" s="661">
        <f>VPI!R19</f>
        <v>175995.0642105263</v>
      </c>
      <c r="F18" s="218">
        <f>'Péréquation directe'!K25</f>
        <v>-3611248.4146183319</v>
      </c>
      <c r="G18" s="227">
        <f>PCS!I25</f>
        <v>2984957.4583944269</v>
      </c>
      <c r="H18" s="242">
        <f>Police!L19</f>
        <v>502129.5897754379</v>
      </c>
      <c r="I18" s="320">
        <f t="shared" si="0"/>
        <v>-124161.36644846719</v>
      </c>
      <c r="J18" s="133"/>
      <c r="K18" s="175"/>
      <c r="L18" s="591"/>
      <c r="M18" s="592"/>
    </row>
    <row r="19" spans="1:13" s="84" customFormat="1" x14ac:dyDescent="0.25">
      <c r="A19" s="278">
        <f>Données!A20</f>
        <v>5415</v>
      </c>
      <c r="B19" s="282" t="str">
        <f>Données!B20</f>
        <v>Yvorne</v>
      </c>
      <c r="C19" s="280">
        <f>VPI!Q20</f>
        <v>71.5</v>
      </c>
      <c r="D19" s="285">
        <f>Données!Z20</f>
        <v>1110</v>
      </c>
      <c r="E19" s="661">
        <f>VPI!R20</f>
        <v>36884.950722610716</v>
      </c>
      <c r="F19" s="218">
        <f>'Péréquation directe'!K26</f>
        <v>-116583.97659278207</v>
      </c>
      <c r="G19" s="227">
        <f>PCS!I26</f>
        <v>487684.05906969233</v>
      </c>
      <c r="H19" s="242">
        <f>Police!L20</f>
        <v>106937.36568312751</v>
      </c>
      <c r="I19" s="320">
        <f t="shared" si="0"/>
        <v>478037.44816003775</v>
      </c>
      <c r="J19" s="133"/>
      <c r="K19" s="175"/>
      <c r="L19" s="591"/>
      <c r="M19" s="592"/>
    </row>
    <row r="20" spans="1:13" s="84" customFormat="1" x14ac:dyDescent="0.25">
      <c r="A20" s="278">
        <f>Données!A21</f>
        <v>5422</v>
      </c>
      <c r="B20" s="282" t="str">
        <f>Données!B21</f>
        <v>Aubonne</v>
      </c>
      <c r="C20" s="280">
        <f>VPI!Q21</f>
        <v>68</v>
      </c>
      <c r="D20" s="285">
        <f>Données!Z21</f>
        <v>3862</v>
      </c>
      <c r="E20" s="661">
        <f>VPI!R21</f>
        <v>367761.87779411761</v>
      </c>
      <c r="F20" s="218">
        <f>'Péréquation directe'!K27</f>
        <v>5879718.5439809132</v>
      </c>
      <c r="G20" s="227">
        <f>PCS!I27</f>
        <v>8646450.57501591</v>
      </c>
      <c r="H20" s="242">
        <f>Police!L21</f>
        <v>768939.9675191103</v>
      </c>
      <c r="I20" s="320">
        <f t="shared" si="0"/>
        <v>15295109.086515933</v>
      </c>
      <c r="J20" s="133"/>
      <c r="K20" s="175"/>
      <c r="L20" s="591"/>
      <c r="M20" s="592"/>
    </row>
    <row r="21" spans="1:13" s="84" customFormat="1" x14ac:dyDescent="0.25">
      <c r="A21" s="278">
        <f>Données!A22</f>
        <v>5423</v>
      </c>
      <c r="B21" s="282" t="str">
        <f>Données!B22</f>
        <v>Ballens</v>
      </c>
      <c r="C21" s="280">
        <f>VPI!Q22</f>
        <v>73</v>
      </c>
      <c r="D21" s="285">
        <f>Données!Z22</f>
        <v>579</v>
      </c>
      <c r="E21" s="661">
        <f>VPI!R22</f>
        <v>16526.279041095891</v>
      </c>
      <c r="F21" s="218">
        <f>'Péréquation directe'!K28</f>
        <v>-188912.97362045391</v>
      </c>
      <c r="G21" s="227">
        <f>PCS!I28</f>
        <v>216858.3662297522</v>
      </c>
      <c r="H21" s="242">
        <f>Police!L22</f>
        <v>49138.397868364198</v>
      </c>
      <c r="I21" s="320">
        <f t="shared" si="0"/>
        <v>77083.790477662493</v>
      </c>
      <c r="J21" s="133"/>
      <c r="K21" s="175"/>
      <c r="L21" s="591"/>
      <c r="M21" s="592"/>
    </row>
    <row r="22" spans="1:13" s="84" customFormat="1" x14ac:dyDescent="0.25">
      <c r="A22" s="278">
        <f>Données!A23</f>
        <v>5424</v>
      </c>
      <c r="B22" s="282" t="str">
        <f>Données!B23</f>
        <v>Berolle</v>
      </c>
      <c r="C22" s="280">
        <f>VPI!Q23</f>
        <v>75.5</v>
      </c>
      <c r="D22" s="285">
        <f>Données!Z23</f>
        <v>303</v>
      </c>
      <c r="E22" s="661">
        <f>VPI!R23</f>
        <v>9736.045430463575</v>
      </c>
      <c r="F22" s="218">
        <f>'Péréquation directe'!K29</f>
        <v>-63941.000369024085</v>
      </c>
      <c r="G22" s="227">
        <f>PCS!I29</f>
        <v>139115.55412802001</v>
      </c>
      <c r="H22" s="242">
        <f>Police!L23</f>
        <v>28930.533905757453</v>
      </c>
      <c r="I22" s="320">
        <f t="shared" si="0"/>
        <v>104105.08766475337</v>
      </c>
      <c r="J22" s="133"/>
      <c r="K22" s="175"/>
      <c r="L22" s="591"/>
      <c r="M22" s="592"/>
    </row>
    <row r="23" spans="1:13" s="84" customFormat="1" x14ac:dyDescent="0.25">
      <c r="A23" s="278">
        <f>Données!A24</f>
        <v>5425</v>
      </c>
      <c r="B23" s="282" t="str">
        <f>Données!B24</f>
        <v>Bière</v>
      </c>
      <c r="C23" s="280">
        <f>VPI!Q24</f>
        <v>69</v>
      </c>
      <c r="D23" s="285">
        <f>Données!Z24</f>
        <v>1680</v>
      </c>
      <c r="E23" s="661">
        <f>VPI!R24</f>
        <v>44858.928245877061</v>
      </c>
      <c r="F23" s="218">
        <f>'Péréquation directe'!K30</f>
        <v>-988020.76438370731</v>
      </c>
      <c r="G23" s="227">
        <f>PCS!I30</f>
        <v>650957.50303727202</v>
      </c>
      <c r="H23" s="242">
        <f>Police!L24</f>
        <v>132586.87662179864</v>
      </c>
      <c r="I23" s="320">
        <f t="shared" si="0"/>
        <v>-204476.38472463665</v>
      </c>
      <c r="J23" s="133"/>
      <c r="K23" s="175"/>
      <c r="L23" s="591"/>
      <c r="M23" s="592"/>
    </row>
    <row r="24" spans="1:13" s="84" customFormat="1" x14ac:dyDescent="0.25">
      <c r="A24" s="278">
        <f>Données!A25</f>
        <v>5426</v>
      </c>
      <c r="B24" s="282" t="str">
        <f>Données!B25</f>
        <v>Bougy-Villars</v>
      </c>
      <c r="C24" s="280">
        <f>VPI!Q25</f>
        <v>64.5</v>
      </c>
      <c r="D24" s="285">
        <f>Données!Z25</f>
        <v>511</v>
      </c>
      <c r="E24" s="661">
        <f>VPI!R25</f>
        <v>68704.794547803613</v>
      </c>
      <c r="F24" s="218">
        <f>'Péréquation directe'!K31</f>
        <v>1280034.0405758081</v>
      </c>
      <c r="G24" s="227">
        <f>PCS!I31</f>
        <v>2436114.2179507324</v>
      </c>
      <c r="H24" s="242">
        <f>Police!L25</f>
        <v>124265.49798331139</v>
      </c>
      <c r="I24" s="320">
        <f t="shared" si="0"/>
        <v>3840413.7565098517</v>
      </c>
      <c r="J24" s="133"/>
      <c r="K24" s="175"/>
      <c r="L24" s="591"/>
      <c r="M24" s="592"/>
    </row>
    <row r="25" spans="1:13" s="84" customFormat="1" x14ac:dyDescent="0.25">
      <c r="A25" s="278">
        <f>Données!A26</f>
        <v>5427</v>
      </c>
      <c r="B25" s="282" t="str">
        <f>Données!B26</f>
        <v>Féchy</v>
      </c>
      <c r="C25" s="280">
        <f>VPI!Q26</f>
        <v>64</v>
      </c>
      <c r="D25" s="285">
        <f>Données!Z26</f>
        <v>919</v>
      </c>
      <c r="E25" s="661">
        <f>VPI!R26</f>
        <v>103018.21625</v>
      </c>
      <c r="F25" s="218">
        <f>'Péréquation directe'!K32</f>
        <v>1899015.6908935718</v>
      </c>
      <c r="G25" s="227">
        <f>PCS!I32</f>
        <v>2791542.9572531236</v>
      </c>
      <c r="H25" s="242">
        <f>Police!L26</f>
        <v>200399.98012055981</v>
      </c>
      <c r="I25" s="320">
        <f t="shared" si="0"/>
        <v>4890958.6282672556</v>
      </c>
      <c r="J25" s="133"/>
      <c r="K25" s="175"/>
      <c r="L25" s="591"/>
      <c r="M25" s="592"/>
    </row>
    <row r="26" spans="1:13" s="84" customFormat="1" x14ac:dyDescent="0.25">
      <c r="A26" s="278">
        <f>Données!A27</f>
        <v>5428</v>
      </c>
      <c r="B26" s="282" t="str">
        <f>Données!B27</f>
        <v>Gimel</v>
      </c>
      <c r="C26" s="280">
        <f>VPI!Q27</f>
        <v>73</v>
      </c>
      <c r="D26" s="285">
        <f>Données!Z27</f>
        <v>2458</v>
      </c>
      <c r="E26" s="661">
        <f>VPI!R27</f>
        <v>75149.866461187237</v>
      </c>
      <c r="F26" s="218">
        <f>'Péréquation directe'!K33</f>
        <v>-846139.77941154852</v>
      </c>
      <c r="G26" s="227">
        <f>PCS!I33</f>
        <v>1070394.4271840854</v>
      </c>
      <c r="H26" s="242">
        <f>Police!L27</f>
        <v>221735.76567670231</v>
      </c>
      <c r="I26" s="320">
        <f t="shared" si="0"/>
        <v>445990.41344923916</v>
      </c>
      <c r="J26" s="133"/>
      <c r="K26" s="175"/>
      <c r="L26" s="591"/>
      <c r="M26" s="592"/>
    </row>
    <row r="27" spans="1:13" s="84" customFormat="1" x14ac:dyDescent="0.25">
      <c r="A27" s="278">
        <f>Données!A28</f>
        <v>5429</v>
      </c>
      <c r="B27" s="282" t="str">
        <f>Données!B28</f>
        <v>Longirod</v>
      </c>
      <c r="C27" s="280">
        <f>VPI!Q28</f>
        <v>77.5</v>
      </c>
      <c r="D27" s="285">
        <f>Données!Z28</f>
        <v>555</v>
      </c>
      <c r="E27" s="661">
        <f>VPI!R28</f>
        <v>17947.478064516126</v>
      </c>
      <c r="F27" s="218">
        <f>'Péréquation directe'!K34</f>
        <v>-66854.548117862199</v>
      </c>
      <c r="G27" s="227">
        <f>PCS!I34</f>
        <v>231346.3071908878</v>
      </c>
      <c r="H27" s="242">
        <f>Police!L28</f>
        <v>52961.795361098586</v>
      </c>
      <c r="I27" s="320">
        <f t="shared" si="0"/>
        <v>217453.55443412421</v>
      </c>
      <c r="J27" s="133"/>
      <c r="K27" s="175"/>
      <c r="L27" s="591"/>
      <c r="M27" s="592"/>
    </row>
    <row r="28" spans="1:13" s="84" customFormat="1" x14ac:dyDescent="0.25">
      <c r="A28" s="278">
        <f>Données!A29</f>
        <v>5430</v>
      </c>
      <c r="B28" s="282" t="str">
        <f>Données!B29</f>
        <v>Marchissy</v>
      </c>
      <c r="C28" s="280">
        <f>VPI!Q29</f>
        <v>77.5</v>
      </c>
      <c r="D28" s="285">
        <f>Données!Z29</f>
        <v>510</v>
      </c>
      <c r="E28" s="661">
        <f>VPI!R29</f>
        <v>16228.828774193547</v>
      </c>
      <c r="F28" s="218">
        <f>'Péréquation directe'!K35</f>
        <v>-46347.633196118055</v>
      </c>
      <c r="G28" s="227">
        <f>PCS!I35</f>
        <v>198955.662781925</v>
      </c>
      <c r="H28" s="242">
        <f>Police!L29</f>
        <v>48169.131837846195</v>
      </c>
      <c r="I28" s="320">
        <f t="shared" si="0"/>
        <v>200777.16142365313</v>
      </c>
      <c r="J28" s="133"/>
      <c r="K28" s="175"/>
      <c r="L28" s="591"/>
      <c r="M28" s="592"/>
    </row>
    <row r="29" spans="1:13" s="84" customFormat="1" x14ac:dyDescent="0.25">
      <c r="A29" s="278">
        <f>Données!A30</f>
        <v>5431</v>
      </c>
      <c r="B29" s="282" t="str">
        <f>Données!B30</f>
        <v>Mollens</v>
      </c>
      <c r="C29" s="280">
        <f>VPI!Q30</f>
        <v>74</v>
      </c>
      <c r="D29" s="285">
        <f>Données!Z30</f>
        <v>324</v>
      </c>
      <c r="E29" s="661">
        <f>VPI!R30</f>
        <v>10701.336756756757</v>
      </c>
      <c r="F29" s="218">
        <f>'Péréquation directe'!K36</f>
        <v>-38929.873606682086</v>
      </c>
      <c r="G29" s="227">
        <f>PCS!I36</f>
        <v>176127.13475832093</v>
      </c>
      <c r="H29" s="242">
        <f>Police!L30</f>
        <v>31991.225567315996</v>
      </c>
      <c r="I29" s="320">
        <f t="shared" si="0"/>
        <v>169188.48671895484</v>
      </c>
      <c r="J29" s="133"/>
      <c r="K29" s="175"/>
      <c r="L29" s="591"/>
      <c r="M29" s="592"/>
    </row>
    <row r="30" spans="1:13" s="84" customFormat="1" x14ac:dyDescent="0.25">
      <c r="A30" s="278">
        <f>Données!A31</f>
        <v>5434</v>
      </c>
      <c r="B30" s="282" t="str">
        <f>Données!B31</f>
        <v>Saint-George</v>
      </c>
      <c r="C30" s="280">
        <f>VPI!Q31</f>
        <v>69.5</v>
      </c>
      <c r="D30" s="285">
        <f>Données!Z31</f>
        <v>1083</v>
      </c>
      <c r="E30" s="661">
        <f>VPI!R31</f>
        <v>50881.209304556367</v>
      </c>
      <c r="F30" s="218">
        <f>'Péréquation directe'!K37</f>
        <v>715302.08837978903</v>
      </c>
      <c r="G30" s="227">
        <f>PCS!I37</f>
        <v>641165.35871574155</v>
      </c>
      <c r="H30" s="242">
        <f>Police!L31</f>
        <v>151523.56827788008</v>
      </c>
      <c r="I30" s="320">
        <f t="shared" si="0"/>
        <v>1507991.0153734107</v>
      </c>
      <c r="J30" s="133"/>
      <c r="K30" s="175"/>
      <c r="L30" s="591"/>
      <c r="M30" s="592"/>
    </row>
    <row r="31" spans="1:13" s="84" customFormat="1" x14ac:dyDescent="0.25">
      <c r="A31" s="278">
        <f>Données!A32</f>
        <v>5435</v>
      </c>
      <c r="B31" s="282" t="str">
        <f>Données!B32</f>
        <v>Saint-Livres</v>
      </c>
      <c r="C31" s="280">
        <f>VPI!Q32</f>
        <v>69</v>
      </c>
      <c r="D31" s="285">
        <f>Données!Z32</f>
        <v>715</v>
      </c>
      <c r="E31" s="661">
        <f>VPI!R32</f>
        <v>27013.42144927536</v>
      </c>
      <c r="F31" s="218">
        <f>'Péréquation directe'!K38</f>
        <v>207357.07736746792</v>
      </c>
      <c r="G31" s="227">
        <f>PCS!I38</f>
        <v>350862.90689956531</v>
      </c>
      <c r="H31" s="242">
        <f>Police!L32</f>
        <v>80237.173166970446</v>
      </c>
      <c r="I31" s="320">
        <f t="shared" si="0"/>
        <v>638457.15743400366</v>
      </c>
      <c r="J31" s="133"/>
      <c r="K31" s="175"/>
      <c r="L31" s="591"/>
      <c r="M31" s="592"/>
    </row>
    <row r="32" spans="1:13" s="84" customFormat="1" x14ac:dyDescent="0.25">
      <c r="A32" s="278">
        <f>Données!A33</f>
        <v>5436</v>
      </c>
      <c r="B32" s="282" t="str">
        <f>Données!B33</f>
        <v>Saint-Oyens</v>
      </c>
      <c r="C32" s="280">
        <f>VPI!Q33</f>
        <v>79</v>
      </c>
      <c r="D32" s="285">
        <f>Données!Z33</f>
        <v>457</v>
      </c>
      <c r="E32" s="661">
        <f>VPI!R33</f>
        <v>17587.95702531646</v>
      </c>
      <c r="F32" s="218">
        <f>'Péréquation directe'!K39</f>
        <v>153420.72543703616</v>
      </c>
      <c r="G32" s="227">
        <f>PCS!I39</f>
        <v>291899.06912756624</v>
      </c>
      <c r="H32" s="242">
        <f>Police!L33</f>
        <v>52567.096305734245</v>
      </c>
      <c r="I32" s="320">
        <f t="shared" si="0"/>
        <v>497886.89087033668</v>
      </c>
      <c r="J32" s="133"/>
      <c r="K32" s="175"/>
      <c r="L32" s="591"/>
      <c r="M32" s="592"/>
    </row>
    <row r="33" spans="1:13" s="84" customFormat="1" x14ac:dyDescent="0.25">
      <c r="A33" s="278">
        <f>Données!A34</f>
        <v>5437</v>
      </c>
      <c r="B33" s="282" t="str">
        <f>Données!B34</f>
        <v>Saubraz</v>
      </c>
      <c r="C33" s="280">
        <f>VPI!Q34</f>
        <v>80</v>
      </c>
      <c r="D33" s="285">
        <f>Données!Z34</f>
        <v>446</v>
      </c>
      <c r="E33" s="661">
        <f>VPI!R34</f>
        <v>13211.02075</v>
      </c>
      <c r="F33" s="218">
        <f>'Péréquation directe'!K40</f>
        <v>-335491.56966916774</v>
      </c>
      <c r="G33" s="227">
        <f>PCS!I40</f>
        <v>195967.08825935121</v>
      </c>
      <c r="H33" s="242">
        <f>Police!L34</f>
        <v>39105.661552156082</v>
      </c>
      <c r="I33" s="320">
        <f t="shared" si="0"/>
        <v>-100418.81985766045</v>
      </c>
      <c r="J33" s="133"/>
      <c r="K33" s="175"/>
      <c r="L33" s="591"/>
      <c r="M33" s="592"/>
    </row>
    <row r="34" spans="1:13" s="84" customFormat="1" x14ac:dyDescent="0.25">
      <c r="A34" s="278">
        <f>Données!A35</f>
        <v>5451</v>
      </c>
      <c r="B34" s="282" t="str">
        <f>Données!B35</f>
        <v>Avenches</v>
      </c>
      <c r="C34" s="280">
        <f>VPI!Q35</f>
        <v>65</v>
      </c>
      <c r="D34" s="285">
        <f>Données!Z35</f>
        <v>4895</v>
      </c>
      <c r="E34" s="661">
        <f>VPI!R35</f>
        <v>142009.89482051283</v>
      </c>
      <c r="F34" s="218">
        <f>'Péréquation directe'!K41</f>
        <v>-2165406.931517018</v>
      </c>
      <c r="G34" s="227">
        <f>PCS!I41</f>
        <v>2092043.9686797403</v>
      </c>
      <c r="H34" s="242">
        <f>Police!L35</f>
        <v>406284.2105021613</v>
      </c>
      <c r="I34" s="320">
        <f t="shared" si="0"/>
        <v>332921.24766488362</v>
      </c>
      <c r="J34" s="133"/>
      <c r="K34" s="175"/>
      <c r="L34" s="591"/>
      <c r="M34" s="592"/>
    </row>
    <row r="35" spans="1:13" s="84" customFormat="1" x14ac:dyDescent="0.25">
      <c r="A35" s="278">
        <f>Données!A36</f>
        <v>5456</v>
      </c>
      <c r="B35" s="282" t="str">
        <f>Données!B36</f>
        <v>Cudrefin</v>
      </c>
      <c r="C35" s="280">
        <f>VPI!Q36</f>
        <v>59</v>
      </c>
      <c r="D35" s="285">
        <f>Données!Z36</f>
        <v>1885</v>
      </c>
      <c r="E35" s="661">
        <f>VPI!R36</f>
        <v>69270.195988700565</v>
      </c>
      <c r="F35" s="218">
        <f>'Péréquation directe'!K42</f>
        <v>322528.54060623108</v>
      </c>
      <c r="G35" s="227">
        <f>PCS!I42</f>
        <v>923083.71754227998</v>
      </c>
      <c r="H35" s="242">
        <f>Police!L36</f>
        <v>202660.05510903109</v>
      </c>
      <c r="I35" s="320">
        <f t="shared" si="0"/>
        <v>1448272.313257542</v>
      </c>
      <c r="J35" s="133"/>
      <c r="K35" s="175"/>
      <c r="L35" s="591"/>
      <c r="M35" s="592"/>
    </row>
    <row r="36" spans="1:13" s="84" customFormat="1" x14ac:dyDescent="0.25">
      <c r="A36" s="278">
        <f>Données!A37</f>
        <v>5458</v>
      </c>
      <c r="B36" s="282" t="str">
        <f>Données!B37</f>
        <v>Faoug</v>
      </c>
      <c r="C36" s="280">
        <f>VPI!Q37</f>
        <v>65</v>
      </c>
      <c r="D36" s="285">
        <f>Données!Z37</f>
        <v>900</v>
      </c>
      <c r="E36" s="661">
        <f>VPI!R37</f>
        <v>33300.633333333331</v>
      </c>
      <c r="F36" s="218">
        <f>'Péréquation directe'!K43</f>
        <v>234494.68953654059</v>
      </c>
      <c r="G36" s="227">
        <f>PCS!I43</f>
        <v>448960.49084267614</v>
      </c>
      <c r="H36" s="242">
        <f>Police!L37</f>
        <v>97420.024805506197</v>
      </c>
      <c r="I36" s="320">
        <f t="shared" si="0"/>
        <v>780875.20518472302</v>
      </c>
      <c r="J36" s="133"/>
      <c r="K36" s="175"/>
      <c r="L36" s="591"/>
      <c r="M36" s="592"/>
    </row>
    <row r="37" spans="1:13" s="84" customFormat="1" x14ac:dyDescent="0.25">
      <c r="A37" s="278">
        <f>Données!A38</f>
        <v>5464</v>
      </c>
      <c r="B37" s="282" t="str">
        <f>Données!B38</f>
        <v>Vully-les-Lacs</v>
      </c>
      <c r="C37" s="280">
        <f>VPI!Q38</f>
        <v>67</v>
      </c>
      <c r="D37" s="285">
        <f>Données!Z38</f>
        <v>3639</v>
      </c>
      <c r="E37" s="661">
        <f>VPI!R38</f>
        <v>124498.36985074625</v>
      </c>
      <c r="F37" s="218">
        <f>'Péréquation directe'!K44</f>
        <v>-577331.26950816577</v>
      </c>
      <c r="G37" s="227">
        <f>PCS!I44</f>
        <v>1734490.1705149468</v>
      </c>
      <c r="H37" s="242">
        <f>Police!L38</f>
        <v>365332.67968946067</v>
      </c>
      <c r="I37" s="320">
        <f t="shared" si="0"/>
        <v>1522491.5806962417</v>
      </c>
      <c r="J37" s="133"/>
      <c r="K37" s="175"/>
      <c r="L37" s="591"/>
      <c r="M37" s="592"/>
    </row>
    <row r="38" spans="1:13" s="84" customFormat="1" x14ac:dyDescent="0.25">
      <c r="A38" s="278">
        <f>Données!A39</f>
        <v>5471</v>
      </c>
      <c r="B38" s="282" t="str">
        <f>Données!B39</f>
        <v>Bettens</v>
      </c>
      <c r="C38" s="280">
        <f>VPI!Q39</f>
        <v>70</v>
      </c>
      <c r="D38" s="285">
        <f>Données!Z39</f>
        <v>653</v>
      </c>
      <c r="E38" s="661">
        <f>VPI!R39</f>
        <v>23785.854190476188</v>
      </c>
      <c r="F38" s="218">
        <f>'Péréquation directe'!K45</f>
        <v>202392.88182875427</v>
      </c>
      <c r="G38" s="227">
        <f>PCS!I45</f>
        <v>370252.55861416738</v>
      </c>
      <c r="H38" s="242">
        <f>Police!L39</f>
        <v>70144.867103831959</v>
      </c>
      <c r="I38" s="320">
        <f t="shared" si="0"/>
        <v>642790.30754675355</v>
      </c>
      <c r="J38" s="133"/>
      <c r="K38" s="175"/>
      <c r="L38" s="591"/>
      <c r="M38" s="592"/>
    </row>
    <row r="39" spans="1:13" s="84" customFormat="1" x14ac:dyDescent="0.25">
      <c r="A39" s="278">
        <f>Données!A40</f>
        <v>5472</v>
      </c>
      <c r="B39" s="282" t="str">
        <f>Données!B40</f>
        <v>Bournens</v>
      </c>
      <c r="C39" s="280">
        <f>VPI!Q40</f>
        <v>65</v>
      </c>
      <c r="D39" s="285">
        <f>Données!Z40</f>
        <v>532</v>
      </c>
      <c r="E39" s="661">
        <f>VPI!R40</f>
        <v>19794.03169230769</v>
      </c>
      <c r="F39" s="218">
        <f>'Péréquation directe'!K46</f>
        <v>134795.80017573555</v>
      </c>
      <c r="G39" s="227">
        <f>PCS!I46</f>
        <v>276167.98196293629</v>
      </c>
      <c r="H39" s="242">
        <f>Police!L40</f>
        <v>58071.009331036686</v>
      </c>
      <c r="I39" s="320">
        <f t="shared" si="0"/>
        <v>469034.79146970855</v>
      </c>
      <c r="J39" s="133"/>
      <c r="K39" s="175"/>
      <c r="L39" s="591"/>
      <c r="M39" s="592"/>
    </row>
    <row r="40" spans="1:13" s="84" customFormat="1" x14ac:dyDescent="0.25">
      <c r="A40" s="278">
        <f>Données!A41</f>
        <v>5473</v>
      </c>
      <c r="B40" s="282" t="str">
        <f>Données!B41</f>
        <v>Boussens</v>
      </c>
      <c r="C40" s="280">
        <f>VPI!Q41</f>
        <v>64</v>
      </c>
      <c r="D40" s="285">
        <f>Données!Z41</f>
        <v>1007</v>
      </c>
      <c r="E40" s="661">
        <f>VPI!R41</f>
        <v>38638.005156250001</v>
      </c>
      <c r="F40" s="218">
        <f>'Péréquation directe'!K47</f>
        <v>431309.62773151847</v>
      </c>
      <c r="G40" s="227">
        <f>PCS!I47</f>
        <v>494547.77677034424</v>
      </c>
      <c r="H40" s="242">
        <f>Police!L41</f>
        <v>113948.3682402291</v>
      </c>
      <c r="I40" s="320">
        <f t="shared" si="0"/>
        <v>1039805.7727420918</v>
      </c>
      <c r="J40" s="133"/>
      <c r="K40" s="175"/>
      <c r="L40" s="591"/>
      <c r="M40" s="592"/>
    </row>
    <row r="41" spans="1:13" s="84" customFormat="1" x14ac:dyDescent="0.25">
      <c r="A41" s="278">
        <f>Données!A42</f>
        <v>5474</v>
      </c>
      <c r="B41" s="282" t="str">
        <f>Données!B42</f>
        <v>La Chaux (Cossonay)</v>
      </c>
      <c r="C41" s="280">
        <f>VPI!Q42</f>
        <v>76</v>
      </c>
      <c r="D41" s="285">
        <f>Données!Z42</f>
        <v>436</v>
      </c>
      <c r="E41" s="661">
        <f>VPI!R42</f>
        <v>13264.060789473682</v>
      </c>
      <c r="F41" s="218">
        <f>'Péréquation directe'!K48</f>
        <v>-102662.90973825296</v>
      </c>
      <c r="G41" s="227">
        <f>PCS!I48</f>
        <v>195051.24482735997</v>
      </c>
      <c r="H41" s="242">
        <f>Police!L42</f>
        <v>39367.020170519907</v>
      </c>
      <c r="I41" s="320">
        <f t="shared" si="0"/>
        <v>131755.35525962693</v>
      </c>
      <c r="J41" s="133"/>
      <c r="K41" s="175"/>
      <c r="L41" s="591"/>
      <c r="M41" s="592"/>
    </row>
    <row r="42" spans="1:13" s="84" customFormat="1" x14ac:dyDescent="0.25">
      <c r="A42" s="278">
        <f>Données!A43</f>
        <v>5475</v>
      </c>
      <c r="B42" s="282" t="str">
        <f>Données!B43</f>
        <v>Chavannes-le-Veyron</v>
      </c>
      <c r="C42" s="280">
        <f>VPI!Q43</f>
        <v>75</v>
      </c>
      <c r="D42" s="285">
        <f>Données!Z43</f>
        <v>160</v>
      </c>
      <c r="E42" s="661">
        <f>VPI!R43</f>
        <v>4088.5965333333334</v>
      </c>
      <c r="F42" s="218">
        <f>'Péréquation directe'!K49</f>
        <v>-137608.77935759118</v>
      </c>
      <c r="G42" s="227">
        <f>PCS!I49</f>
        <v>106312.81158251746</v>
      </c>
      <c r="H42" s="242">
        <f>Police!L43</f>
        <v>12041.308530303231</v>
      </c>
      <c r="I42" s="320">
        <f t="shared" si="0"/>
        <v>-19254.659244770486</v>
      </c>
      <c r="J42" s="133"/>
      <c r="K42" s="175"/>
      <c r="L42" s="591"/>
      <c r="M42" s="592"/>
    </row>
    <row r="43" spans="1:13" s="84" customFormat="1" x14ac:dyDescent="0.25">
      <c r="A43" s="278">
        <f>Données!A44</f>
        <v>5476</v>
      </c>
      <c r="B43" s="282" t="str">
        <f>Données!B44</f>
        <v>Chevilly</v>
      </c>
      <c r="C43" s="280">
        <f>VPI!Q44</f>
        <v>70</v>
      </c>
      <c r="D43" s="285">
        <f>Données!Z44</f>
        <v>346</v>
      </c>
      <c r="E43" s="661">
        <f>VPI!R44</f>
        <v>11956.878714285715</v>
      </c>
      <c r="F43" s="218">
        <f>'Péréquation directe'!K50</f>
        <v>-29586.898773483321</v>
      </c>
      <c r="G43" s="227">
        <f>PCS!I50</f>
        <v>162632.07091863742</v>
      </c>
      <c r="H43" s="242">
        <f>Police!L44</f>
        <v>35520.031304349082</v>
      </c>
      <c r="I43" s="320">
        <f t="shared" si="0"/>
        <v>168565.20344950317</v>
      </c>
      <c r="J43" s="133"/>
      <c r="K43" s="175"/>
      <c r="L43" s="591"/>
      <c r="M43" s="592"/>
    </row>
    <row r="44" spans="1:13" s="84" customFormat="1" x14ac:dyDescent="0.25">
      <c r="A44" s="278">
        <f>Données!A45</f>
        <v>5477</v>
      </c>
      <c r="B44" s="282" t="str">
        <f>Données!B45</f>
        <v>Cossonay</v>
      </c>
      <c r="C44" s="280">
        <f>VPI!Q45</f>
        <v>68</v>
      </c>
      <c r="D44" s="285">
        <f>Données!Z45</f>
        <v>4902</v>
      </c>
      <c r="E44" s="661">
        <f>VPI!R45</f>
        <v>181500.7204411765</v>
      </c>
      <c r="F44" s="218">
        <f>'Péréquation directe'!K51</f>
        <v>-339050.84739312064</v>
      </c>
      <c r="G44" s="227">
        <f>PCS!I51</f>
        <v>3101948.95688859</v>
      </c>
      <c r="H44" s="242">
        <f>Police!L45</f>
        <v>538349.82648784481</v>
      </c>
      <c r="I44" s="320">
        <f t="shared" si="0"/>
        <v>3301247.9359833142</v>
      </c>
      <c r="J44" s="133"/>
      <c r="K44" s="175"/>
      <c r="L44" s="591"/>
      <c r="M44" s="592"/>
    </row>
    <row r="45" spans="1:13" s="84" customFormat="1" x14ac:dyDescent="0.25">
      <c r="A45" s="278">
        <f>Données!A46</f>
        <v>5479</v>
      </c>
      <c r="B45" s="282" t="str">
        <f>Données!B46</f>
        <v>Cuarnens</v>
      </c>
      <c r="C45" s="280">
        <f>VPI!Q46</f>
        <v>76</v>
      </c>
      <c r="D45" s="285">
        <f>Données!Z46</f>
        <v>561</v>
      </c>
      <c r="E45" s="661">
        <f>VPI!R46</f>
        <v>19152.633421052633</v>
      </c>
      <c r="F45" s="218">
        <f>'Péréquation directe'!K52</f>
        <v>-105325.47986000445</v>
      </c>
      <c r="G45" s="227">
        <f>PCS!I52</f>
        <v>231296.2827244183</v>
      </c>
      <c r="H45" s="242">
        <f>Police!L46</f>
        <v>57152.058851875016</v>
      </c>
      <c r="I45" s="320">
        <f t="shared" si="0"/>
        <v>183122.86171628887</v>
      </c>
      <c r="J45" s="133"/>
      <c r="K45" s="175"/>
      <c r="L45" s="591"/>
      <c r="M45" s="592"/>
    </row>
    <row r="46" spans="1:13" s="84" customFormat="1" x14ac:dyDescent="0.25">
      <c r="A46" s="278">
        <f>Données!A47</f>
        <v>5480</v>
      </c>
      <c r="B46" s="282" t="str">
        <f>Données!B47</f>
        <v>Daillens</v>
      </c>
      <c r="C46" s="280">
        <f>VPI!Q47</f>
        <v>66</v>
      </c>
      <c r="D46" s="285">
        <f>Données!Z47</f>
        <v>1099</v>
      </c>
      <c r="E46" s="661">
        <f>VPI!R47</f>
        <v>49509.108484848482</v>
      </c>
      <c r="F46" s="218">
        <f>'Péréquation directe'!K53</f>
        <v>610517.97261079447</v>
      </c>
      <c r="G46" s="227">
        <f>PCS!I53</f>
        <v>781317.45108603814</v>
      </c>
      <c r="H46" s="242">
        <f>Police!L47</f>
        <v>143950.71680188295</v>
      </c>
      <c r="I46" s="320">
        <f t="shared" si="0"/>
        <v>1535786.1404987157</v>
      </c>
      <c r="J46" s="133"/>
      <c r="K46" s="175"/>
      <c r="L46" s="591"/>
      <c r="M46" s="592"/>
    </row>
    <row r="47" spans="1:13" s="84" customFormat="1" x14ac:dyDescent="0.25">
      <c r="A47" s="278">
        <f>Données!A48</f>
        <v>5481</v>
      </c>
      <c r="B47" s="282" t="str">
        <f>Données!B48</f>
        <v>Dizy</v>
      </c>
      <c r="C47" s="280">
        <f>VPI!Q48</f>
        <v>75</v>
      </c>
      <c r="D47" s="285">
        <f>Données!Z48</f>
        <v>238</v>
      </c>
      <c r="E47" s="661">
        <f>VPI!R48</f>
        <v>12384.965733333334</v>
      </c>
      <c r="F47" s="218">
        <f>'Péréquation directe'!K54</f>
        <v>204156.45537669386</v>
      </c>
      <c r="G47" s="227">
        <f>PCS!I54</f>
        <v>165155.49008069892</v>
      </c>
      <c r="H47" s="242">
        <f>Police!L48</f>
        <v>35836.840050362393</v>
      </c>
      <c r="I47" s="320">
        <f t="shared" si="0"/>
        <v>405148.78550775518</v>
      </c>
      <c r="J47" s="133"/>
      <c r="K47" s="175"/>
      <c r="L47" s="591"/>
      <c r="M47" s="592"/>
    </row>
    <row r="48" spans="1:13" s="84" customFormat="1" x14ac:dyDescent="0.25">
      <c r="A48" s="278">
        <f>Données!A49</f>
        <v>5482</v>
      </c>
      <c r="B48" s="282" t="str">
        <f>Données!B49</f>
        <v>Eclépens</v>
      </c>
      <c r="C48" s="280">
        <f>VPI!Q49</f>
        <v>46</v>
      </c>
      <c r="D48" s="285">
        <f>Données!Z49</f>
        <v>1211</v>
      </c>
      <c r="E48" s="661">
        <f>VPI!R49</f>
        <v>54393.337391304347</v>
      </c>
      <c r="F48" s="218">
        <f>'Péréquation directe'!K55</f>
        <v>646347.4575506947</v>
      </c>
      <c r="G48" s="227">
        <f>PCS!I55</f>
        <v>813228.73713472416</v>
      </c>
      <c r="H48" s="242">
        <f>Police!L49</f>
        <v>149130.09448469777</v>
      </c>
      <c r="I48" s="320">
        <f t="shared" si="0"/>
        <v>1608706.2891701167</v>
      </c>
      <c r="J48" s="133"/>
      <c r="K48" s="175"/>
      <c r="L48" s="591"/>
      <c r="M48" s="592"/>
    </row>
    <row r="49" spans="1:13" s="84" customFormat="1" x14ac:dyDescent="0.25">
      <c r="A49" s="278">
        <f>Données!A50</f>
        <v>5483</v>
      </c>
      <c r="B49" s="282" t="str">
        <f>Données!B50</f>
        <v>Ferreyres</v>
      </c>
      <c r="C49" s="280">
        <f>VPI!Q50</f>
        <v>76</v>
      </c>
      <c r="D49" s="285">
        <f>Données!Z50</f>
        <v>309</v>
      </c>
      <c r="E49" s="661">
        <f>VPI!R50</f>
        <v>11195.615526315791</v>
      </c>
      <c r="F49" s="218">
        <f>'Péréquation directe'!K56</f>
        <v>77717.110623629531</v>
      </c>
      <c r="G49" s="227">
        <f>PCS!I56</f>
        <v>139566.3176714312</v>
      </c>
      <c r="H49" s="242">
        <f>Police!L50</f>
        <v>33423.349763080681</v>
      </c>
      <c r="I49" s="320">
        <f t="shared" si="0"/>
        <v>250706.77805814141</v>
      </c>
      <c r="J49" s="133"/>
      <c r="K49" s="175"/>
      <c r="L49" s="591"/>
      <c r="M49" s="592"/>
    </row>
    <row r="50" spans="1:13" s="84" customFormat="1" x14ac:dyDescent="0.25">
      <c r="A50" s="278">
        <f>Données!A51</f>
        <v>5484</v>
      </c>
      <c r="B50" s="282" t="str">
        <f>Données!B51</f>
        <v>Gollion</v>
      </c>
      <c r="C50" s="280">
        <f>VPI!Q51</f>
        <v>74</v>
      </c>
      <c r="D50" s="285">
        <f>Données!Z51</f>
        <v>1064</v>
      </c>
      <c r="E50" s="661">
        <f>VPI!R51</f>
        <v>33718.962837837833</v>
      </c>
      <c r="F50" s="218">
        <f>'Péréquation directe'!K57</f>
        <v>-341282.97975061357</v>
      </c>
      <c r="G50" s="227">
        <f>PCS!I57</f>
        <v>499082.51407015719</v>
      </c>
      <c r="H50" s="242">
        <f>Police!L51</f>
        <v>99336.361106630124</v>
      </c>
      <c r="I50" s="320">
        <f t="shared" si="0"/>
        <v>257135.89542617375</v>
      </c>
      <c r="J50" s="133"/>
      <c r="K50" s="175"/>
      <c r="L50" s="591"/>
      <c r="M50" s="592"/>
    </row>
    <row r="51" spans="1:13" s="84" customFormat="1" x14ac:dyDescent="0.25">
      <c r="A51" s="278">
        <f>Données!A52</f>
        <v>5485</v>
      </c>
      <c r="B51" s="282" t="str">
        <f>Données!B52</f>
        <v>Grancy</v>
      </c>
      <c r="C51" s="280">
        <f>VPI!Q52</f>
        <v>70</v>
      </c>
      <c r="D51" s="285">
        <f>Données!Z52</f>
        <v>540</v>
      </c>
      <c r="E51" s="661">
        <f>VPI!R52</f>
        <v>26449.499428571431</v>
      </c>
      <c r="F51" s="218">
        <f>'Péréquation directe'!K58</f>
        <v>344638.24507185281</v>
      </c>
      <c r="G51" s="227">
        <f>PCS!I58</f>
        <v>364896.58428359369</v>
      </c>
      <c r="H51" s="242">
        <f>Police!L52</f>
        <v>79455.475947164057</v>
      </c>
      <c r="I51" s="320">
        <f t="shared" si="0"/>
        <v>788990.30530261062</v>
      </c>
      <c r="J51" s="133"/>
      <c r="K51" s="175"/>
      <c r="L51" s="591"/>
      <c r="M51" s="592"/>
    </row>
    <row r="52" spans="1:13" s="84" customFormat="1" x14ac:dyDescent="0.25">
      <c r="A52" s="278">
        <f>Données!A53</f>
        <v>5486</v>
      </c>
      <c r="B52" s="282" t="str">
        <f>Données!B53</f>
        <v>L'Isle</v>
      </c>
      <c r="C52" s="280">
        <f>VPI!Q53</f>
        <v>75</v>
      </c>
      <c r="D52" s="285">
        <f>Données!Z53</f>
        <v>1096</v>
      </c>
      <c r="E52" s="661">
        <f>VPI!R53</f>
        <v>36962.66320000001</v>
      </c>
      <c r="F52" s="218">
        <f>'Péréquation directe'!K59</f>
        <v>-114374.08671816904</v>
      </c>
      <c r="G52" s="227">
        <f>PCS!I59</f>
        <v>551563.29425797309</v>
      </c>
      <c r="H52" s="242">
        <f>Police!L53</f>
        <v>109516.80180438198</v>
      </c>
      <c r="I52" s="320">
        <f t="shared" si="0"/>
        <v>546706.00934418605</v>
      </c>
      <c r="J52" s="133"/>
      <c r="K52" s="175"/>
      <c r="L52" s="591"/>
      <c r="M52" s="592"/>
    </row>
    <row r="53" spans="1:13" s="84" customFormat="1" x14ac:dyDescent="0.25">
      <c r="A53" s="278">
        <f>Données!A54</f>
        <v>5487</v>
      </c>
      <c r="B53" s="282" t="str">
        <f>Données!B54</f>
        <v>Lussery-Villars</v>
      </c>
      <c r="C53" s="280">
        <f>VPI!Q54</f>
        <v>75</v>
      </c>
      <c r="D53" s="285">
        <f>Données!Z54</f>
        <v>468</v>
      </c>
      <c r="E53" s="661">
        <f>VPI!R54</f>
        <v>15075.076666666666</v>
      </c>
      <c r="F53" s="218">
        <f>'Péréquation directe'!K60</f>
        <v>46705.579387263337</v>
      </c>
      <c r="G53" s="227">
        <f>PCS!I60</f>
        <v>208903.629343782</v>
      </c>
      <c r="H53" s="242">
        <f>Police!L54</f>
        <v>44788.937167478012</v>
      </c>
      <c r="I53" s="320">
        <f t="shared" si="0"/>
        <v>300398.14589852333</v>
      </c>
      <c r="J53" s="133"/>
      <c r="K53" s="175"/>
      <c r="L53" s="591"/>
      <c r="M53" s="592"/>
    </row>
    <row r="54" spans="1:13" s="84" customFormat="1" x14ac:dyDescent="0.25">
      <c r="A54" s="278">
        <f>Données!A55</f>
        <v>5488</v>
      </c>
      <c r="B54" s="282" t="str">
        <f>Données!B55</f>
        <v>Mauraz</v>
      </c>
      <c r="C54" s="280">
        <f>VPI!Q55</f>
        <v>77</v>
      </c>
      <c r="D54" s="285">
        <f>Données!Z55</f>
        <v>67</v>
      </c>
      <c r="E54" s="661">
        <f>VPI!R55</f>
        <v>1889.5633766233766</v>
      </c>
      <c r="F54" s="218">
        <f>'Péréquation directe'!K61</f>
        <v>-47434.009154705374</v>
      </c>
      <c r="G54" s="227">
        <f>PCS!I61</f>
        <v>20865.750544725586</v>
      </c>
      <c r="H54" s="242">
        <f>Police!L55</f>
        <v>5625.5398143673101</v>
      </c>
      <c r="I54" s="320">
        <f t="shared" si="0"/>
        <v>-20942.718795612476</v>
      </c>
      <c r="J54" s="133"/>
      <c r="K54" s="175"/>
      <c r="L54" s="591"/>
      <c r="M54" s="592"/>
    </row>
    <row r="55" spans="1:13" s="84" customFormat="1" x14ac:dyDescent="0.25">
      <c r="A55" s="278">
        <f>Données!A56</f>
        <v>5489</v>
      </c>
      <c r="B55" s="282" t="str">
        <f>Données!B56</f>
        <v>Mex</v>
      </c>
      <c r="C55" s="280">
        <f>VPI!Q56</f>
        <v>59.5</v>
      </c>
      <c r="D55" s="285">
        <f>Données!Z56</f>
        <v>809</v>
      </c>
      <c r="E55" s="661">
        <f>VPI!R56</f>
        <v>77108.405546218492</v>
      </c>
      <c r="F55" s="218">
        <f>'Péréquation directe'!K62</f>
        <v>215432.03699610638</v>
      </c>
      <c r="G55" s="227">
        <f>PCS!I62</f>
        <v>1659543.7056402331</v>
      </c>
      <c r="H55" s="242">
        <f>Police!L56</f>
        <v>161154.72190310014</v>
      </c>
      <c r="I55" s="320">
        <f t="shared" si="0"/>
        <v>2036130.4645394397</v>
      </c>
      <c r="J55" s="133"/>
      <c r="K55" s="175"/>
      <c r="L55" s="591"/>
      <c r="M55" s="592"/>
    </row>
    <row r="56" spans="1:13" s="84" customFormat="1" x14ac:dyDescent="0.25">
      <c r="A56" s="278">
        <f>Données!A57</f>
        <v>5490</v>
      </c>
      <c r="B56" s="282" t="str">
        <f>Données!B57</f>
        <v>Moiry</v>
      </c>
      <c r="C56" s="280">
        <f>VPI!Q57</f>
        <v>76</v>
      </c>
      <c r="D56" s="285">
        <f>Données!Z57</f>
        <v>299</v>
      </c>
      <c r="E56" s="661">
        <f>VPI!R57</f>
        <v>8086.7260526315777</v>
      </c>
      <c r="F56" s="218">
        <f>'Péréquation directe'!K63</f>
        <v>-86972.880623159173</v>
      </c>
      <c r="G56" s="227">
        <f>PCS!I63</f>
        <v>178035.7293388762</v>
      </c>
      <c r="H56" s="242">
        <f>Police!L57</f>
        <v>23963.191576131154</v>
      </c>
      <c r="I56" s="320">
        <f t="shared" si="0"/>
        <v>115026.04029184819</v>
      </c>
      <c r="J56" s="133"/>
      <c r="K56" s="175"/>
      <c r="L56" s="591"/>
      <c r="M56" s="592"/>
    </row>
    <row r="57" spans="1:13" s="84" customFormat="1" x14ac:dyDescent="0.25">
      <c r="A57" s="278">
        <f>Données!A58</f>
        <v>5491</v>
      </c>
      <c r="B57" s="282" t="str">
        <f>Données!B58</f>
        <v>Mont-la-Ville</v>
      </c>
      <c r="C57" s="280">
        <f>VPI!Q58</f>
        <v>76</v>
      </c>
      <c r="D57" s="285">
        <f>Données!Z58</f>
        <v>495</v>
      </c>
      <c r="E57" s="661">
        <f>VPI!R58</f>
        <v>14059.996578947368</v>
      </c>
      <c r="F57" s="218">
        <f>'Péréquation directe'!K64</f>
        <v>-799684.11111815833</v>
      </c>
      <c r="G57" s="227">
        <f>PCS!I64</f>
        <v>204895.83980824158</v>
      </c>
      <c r="H57" s="242">
        <f>Police!L58</f>
        <v>41315.281360105109</v>
      </c>
      <c r="I57" s="320">
        <f t="shared" si="0"/>
        <v>-553472.9899498116</v>
      </c>
      <c r="J57" s="133"/>
      <c r="K57" s="175"/>
      <c r="L57" s="591"/>
      <c r="M57" s="592"/>
    </row>
    <row r="58" spans="1:13" s="84" customFormat="1" x14ac:dyDescent="0.25">
      <c r="A58" s="278">
        <f>Données!A59</f>
        <v>5492</v>
      </c>
      <c r="B58" s="282" t="str">
        <f>Données!B59</f>
        <v>Montricher</v>
      </c>
      <c r="C58" s="280">
        <f>VPI!Q59</f>
        <v>64</v>
      </c>
      <c r="D58" s="285">
        <f>Données!Z59</f>
        <v>943</v>
      </c>
      <c r="E58" s="661">
        <f>VPI!R59</f>
        <v>198155.03156250002</v>
      </c>
      <c r="F58" s="218">
        <f>'Péréquation directe'!K65</f>
        <v>2639183.9142551729</v>
      </c>
      <c r="G58" s="227">
        <f>PCS!I65</f>
        <v>8352625.0307448274</v>
      </c>
      <c r="H58" s="242">
        <f>Police!L59</f>
        <v>309512.73628073203</v>
      </c>
      <c r="I58" s="320">
        <f t="shared" si="0"/>
        <v>11301321.681280732</v>
      </c>
      <c r="J58" s="133"/>
      <c r="K58" s="175"/>
      <c r="L58" s="591"/>
      <c r="M58" s="592"/>
    </row>
    <row r="59" spans="1:13" s="84" customFormat="1" x14ac:dyDescent="0.25">
      <c r="A59" s="278">
        <f>Données!A60</f>
        <v>5493</v>
      </c>
      <c r="B59" s="282" t="str">
        <f>Données!B60</f>
        <v>Orny</v>
      </c>
      <c r="C59" s="280">
        <f>VPI!Q60</f>
        <v>73</v>
      </c>
      <c r="D59" s="285">
        <f>Données!Z60</f>
        <v>497</v>
      </c>
      <c r="E59" s="661">
        <f>VPI!R60</f>
        <v>16121.406280295052</v>
      </c>
      <c r="F59" s="218">
        <f>'Péréquation directe'!K66</f>
        <v>-16409.169027223368</v>
      </c>
      <c r="G59" s="227">
        <f>PCS!I66</f>
        <v>226005.98585336137</v>
      </c>
      <c r="H59" s="242">
        <f>Police!L60</f>
        <v>47925.102749013058</v>
      </c>
      <c r="I59" s="320">
        <f t="shared" si="0"/>
        <v>257521.91957515106</v>
      </c>
      <c r="J59" s="133"/>
      <c r="K59" s="175"/>
      <c r="L59" s="591"/>
      <c r="M59" s="592"/>
    </row>
    <row r="60" spans="1:13" s="84" customFormat="1" x14ac:dyDescent="0.25">
      <c r="A60" s="278">
        <f>Données!A61</f>
        <v>5495</v>
      </c>
      <c r="B60" s="282" t="str">
        <f>Données!B61</f>
        <v>Penthalaz</v>
      </c>
      <c r="C60" s="280">
        <f>VPI!Q61</f>
        <v>72.5</v>
      </c>
      <c r="D60" s="285">
        <f>Données!Z61</f>
        <v>3177</v>
      </c>
      <c r="E60" s="661">
        <f>VPI!R61</f>
        <v>96624.252827586228</v>
      </c>
      <c r="F60" s="218">
        <f>'Péréquation directe'!K67</f>
        <v>-1046550.9150576522</v>
      </c>
      <c r="G60" s="227">
        <f>PCS!I67</f>
        <v>1379261.7302512976</v>
      </c>
      <c r="H60" s="242">
        <f>Police!L61</f>
        <v>284027.56157284981</v>
      </c>
      <c r="I60" s="320">
        <f t="shared" si="0"/>
        <v>616738.37676649517</v>
      </c>
      <c r="J60" s="133"/>
      <c r="K60" s="175"/>
      <c r="L60" s="591"/>
      <c r="M60" s="592"/>
    </row>
    <row r="61" spans="1:13" s="84" customFormat="1" x14ac:dyDescent="0.25">
      <c r="A61" s="278">
        <f>Données!A62</f>
        <v>5496</v>
      </c>
      <c r="B61" s="282" t="str">
        <f>Données!B62</f>
        <v>Penthaz</v>
      </c>
      <c r="C61" s="280">
        <f>VPI!Q62</f>
        <v>69.5</v>
      </c>
      <c r="D61" s="285">
        <f>Données!Z62</f>
        <v>1946</v>
      </c>
      <c r="E61" s="661">
        <f>VPI!R62</f>
        <v>63424.403453237413</v>
      </c>
      <c r="F61" s="218">
        <f>'Péréquation directe'!K68</f>
        <v>-153062.71372613823</v>
      </c>
      <c r="G61" s="227">
        <f>PCS!I68</f>
        <v>766918.55444776744</v>
      </c>
      <c r="H61" s="242">
        <f>Police!L62</f>
        <v>186315.60876190354</v>
      </c>
      <c r="I61" s="320">
        <f t="shared" si="0"/>
        <v>800171.44948353269</v>
      </c>
      <c r="J61" s="133"/>
      <c r="K61" s="175"/>
      <c r="L61" s="591"/>
      <c r="M61" s="592"/>
    </row>
    <row r="62" spans="1:13" s="84" customFormat="1" x14ac:dyDescent="0.25">
      <c r="A62" s="278">
        <f>Données!A63</f>
        <v>5497</v>
      </c>
      <c r="B62" s="282" t="str">
        <f>Données!B63</f>
        <v>Pompaples</v>
      </c>
      <c r="C62" s="280">
        <f>VPI!Q63</f>
        <v>66</v>
      </c>
      <c r="D62" s="285">
        <f>Données!Z63</f>
        <v>930</v>
      </c>
      <c r="E62" s="661">
        <f>VPI!R63</f>
        <v>29282.771666666667</v>
      </c>
      <c r="F62" s="218">
        <f>'Péréquation directe'!K69</f>
        <v>-50518.179085755371</v>
      </c>
      <c r="G62" s="227">
        <f>PCS!I69</f>
        <v>458175.26827008906</v>
      </c>
      <c r="H62" s="242">
        <f>Police!L63</f>
        <v>87009.061091414362</v>
      </c>
      <c r="I62" s="320">
        <f t="shared" si="0"/>
        <v>494666.15027574805</v>
      </c>
      <c r="J62" s="133"/>
      <c r="K62" s="175"/>
      <c r="L62" s="591"/>
      <c r="M62" s="592"/>
    </row>
    <row r="63" spans="1:13" s="84" customFormat="1" x14ac:dyDescent="0.25">
      <c r="A63" s="278">
        <f>Données!A64</f>
        <v>5498</v>
      </c>
      <c r="B63" s="282" t="str">
        <f>Données!B64</f>
        <v>La Sarraz</v>
      </c>
      <c r="C63" s="280">
        <f>VPI!Q64</f>
        <v>70</v>
      </c>
      <c r="D63" s="285">
        <f>Données!Z64</f>
        <v>2618</v>
      </c>
      <c r="E63" s="661">
        <f>VPI!R64</f>
        <v>76599.208428571437</v>
      </c>
      <c r="F63" s="218">
        <f>'Péréquation directe'!K70</f>
        <v>-689250.64195293584</v>
      </c>
      <c r="G63" s="227">
        <f>PCS!I70</f>
        <v>1093941.8802821129</v>
      </c>
      <c r="H63" s="242">
        <f>Police!L64</f>
        <v>225717.0906338527</v>
      </c>
      <c r="I63" s="320">
        <f t="shared" si="0"/>
        <v>630408.32896302966</v>
      </c>
      <c r="J63" s="133"/>
      <c r="K63" s="175"/>
      <c r="L63" s="591"/>
      <c r="M63" s="592"/>
    </row>
    <row r="64" spans="1:13" s="84" customFormat="1" x14ac:dyDescent="0.25">
      <c r="A64" s="278">
        <f>Données!A65</f>
        <v>5499</v>
      </c>
      <c r="B64" s="282" t="str">
        <f>Données!B65</f>
        <v>Senarclens</v>
      </c>
      <c r="C64" s="280">
        <f>VPI!Q65</f>
        <v>68.5</v>
      </c>
      <c r="D64" s="285">
        <f>Données!Z65</f>
        <v>480</v>
      </c>
      <c r="E64" s="661">
        <f>VPI!R65</f>
        <v>21136.176934306572</v>
      </c>
      <c r="F64" s="218">
        <f>'Péréquation directe'!K71</f>
        <v>92929.816073919297</v>
      </c>
      <c r="G64" s="227">
        <f>PCS!I71</f>
        <v>299102.58121071418</v>
      </c>
      <c r="H64" s="242">
        <f>Police!L65</f>
        <v>62822.247488918438</v>
      </c>
      <c r="I64" s="320">
        <f t="shared" si="0"/>
        <v>454854.6447735519</v>
      </c>
      <c r="J64" s="133"/>
      <c r="K64" s="175"/>
      <c r="L64" s="591"/>
      <c r="M64" s="592"/>
    </row>
    <row r="65" spans="1:13" s="84" customFormat="1" x14ac:dyDescent="0.25">
      <c r="A65" s="278">
        <f>Données!A66</f>
        <v>5501</v>
      </c>
      <c r="B65" s="282" t="str">
        <f>Données!B66</f>
        <v>Sullens</v>
      </c>
      <c r="C65" s="280">
        <f>VPI!Q66</f>
        <v>64</v>
      </c>
      <c r="D65" s="285">
        <f>Données!Z66</f>
        <v>1225</v>
      </c>
      <c r="E65" s="661">
        <f>VPI!R66</f>
        <v>57751.835468749996</v>
      </c>
      <c r="F65" s="218">
        <f>'Péréquation directe'!K72</f>
        <v>859809.79510163143</v>
      </c>
      <c r="G65" s="227">
        <f>PCS!I72</f>
        <v>889007.17109715915</v>
      </c>
      <c r="H65" s="242">
        <f>Police!L66</f>
        <v>171495.11597301369</v>
      </c>
      <c r="I65" s="320">
        <f t="shared" si="0"/>
        <v>1920312.0821718043</v>
      </c>
      <c r="J65" s="133"/>
      <c r="K65" s="175"/>
      <c r="L65" s="591"/>
      <c r="M65" s="592"/>
    </row>
    <row r="66" spans="1:13" s="84" customFormat="1" x14ac:dyDescent="0.25">
      <c r="A66" s="278">
        <f>Données!A67</f>
        <v>5503</v>
      </c>
      <c r="B66" s="282" t="str">
        <f>Données!B67</f>
        <v>Vufflens-la-Ville</v>
      </c>
      <c r="C66" s="280">
        <f>VPI!Q67</f>
        <v>67</v>
      </c>
      <c r="D66" s="285">
        <f>Données!Z67</f>
        <v>1342</v>
      </c>
      <c r="E66" s="661">
        <f>VPI!R67</f>
        <v>68821.666815920398</v>
      </c>
      <c r="F66" s="218">
        <f>'Péréquation directe'!K73</f>
        <v>716103.19317180803</v>
      </c>
      <c r="G66" s="227">
        <f>PCS!I73</f>
        <v>1080994.9197793531</v>
      </c>
      <c r="H66" s="242">
        <f>Police!L67</f>
        <v>197785.52567827282</v>
      </c>
      <c r="I66" s="320">
        <f t="shared" si="0"/>
        <v>1994883.6386294339</v>
      </c>
      <c r="J66" s="133"/>
      <c r="K66" s="175"/>
      <c r="L66" s="591"/>
      <c r="M66" s="592"/>
    </row>
    <row r="67" spans="1:13" s="84" customFormat="1" x14ac:dyDescent="0.25">
      <c r="A67" s="278">
        <f>Données!A68</f>
        <v>5511</v>
      </c>
      <c r="B67" s="282" t="str">
        <f>Données!B68</f>
        <v>Assens</v>
      </c>
      <c r="C67" s="280">
        <f>VPI!Q68</f>
        <v>70</v>
      </c>
      <c r="D67" s="285">
        <f>Données!Z68</f>
        <v>1711</v>
      </c>
      <c r="E67" s="661">
        <f>VPI!R68</f>
        <v>69828.319999999992</v>
      </c>
      <c r="F67" s="218">
        <f>'Péréquation directe'!K74</f>
        <v>464266.17972726142</v>
      </c>
      <c r="G67" s="227">
        <f>PCS!I74</f>
        <v>1087043.3198816257</v>
      </c>
      <c r="H67" s="242">
        <f>Police!L68</f>
        <v>205793.21048432012</v>
      </c>
      <c r="I67" s="320">
        <f t="shared" si="0"/>
        <v>1757102.7100932072</v>
      </c>
      <c r="J67" s="133"/>
      <c r="K67" s="175"/>
      <c r="L67" s="591"/>
      <c r="M67" s="592"/>
    </row>
    <row r="68" spans="1:13" s="84" customFormat="1" x14ac:dyDescent="0.25">
      <c r="A68" s="278">
        <f>Données!A69</f>
        <v>5512</v>
      </c>
      <c r="B68" s="282" t="str">
        <f>Données!B69</f>
        <v>Bercher</v>
      </c>
      <c r="C68" s="280">
        <f>VPI!Q69</f>
        <v>79</v>
      </c>
      <c r="D68" s="285">
        <f>Données!Z69</f>
        <v>1344</v>
      </c>
      <c r="E68" s="661">
        <f>VPI!R69</f>
        <v>41189.844430379737</v>
      </c>
      <c r="F68" s="218">
        <f>'Péréquation directe'!K75</f>
        <v>-367054.34909541358</v>
      </c>
      <c r="G68" s="227">
        <f>PCS!I75</f>
        <v>634667.67047008988</v>
      </c>
      <c r="H68" s="242">
        <f>Police!L69</f>
        <v>120920.86874301013</v>
      </c>
      <c r="I68" s="320">
        <f t="shared" si="0"/>
        <v>388534.1901176864</v>
      </c>
      <c r="J68" s="133"/>
      <c r="K68" s="175"/>
      <c r="L68" s="591"/>
      <c r="M68" s="592"/>
    </row>
    <row r="69" spans="1:13" s="84" customFormat="1" x14ac:dyDescent="0.25">
      <c r="A69" s="278">
        <f>Données!A70</f>
        <v>5514</v>
      </c>
      <c r="B69" s="282" t="str">
        <f>Données!B70</f>
        <v>Bottens</v>
      </c>
      <c r="C69" s="280">
        <f>VPI!Q70</f>
        <v>72.5</v>
      </c>
      <c r="D69" s="285">
        <f>Données!Z70</f>
        <v>1358</v>
      </c>
      <c r="E69" s="661">
        <f>VPI!R70</f>
        <v>45955.362896551727</v>
      </c>
      <c r="F69" s="218">
        <f>'Péréquation directe'!K76</f>
        <v>128617.91000719613</v>
      </c>
      <c r="G69" s="227">
        <f>PCS!I76</f>
        <v>623107.98596696241</v>
      </c>
      <c r="H69" s="242">
        <f>Police!L70</f>
        <v>136265.23178802029</v>
      </c>
      <c r="I69" s="320">
        <f t="shared" si="0"/>
        <v>887991.12776217889</v>
      </c>
      <c r="J69" s="133"/>
      <c r="K69" s="175"/>
      <c r="L69" s="591"/>
      <c r="M69" s="592"/>
    </row>
    <row r="70" spans="1:13" s="84" customFormat="1" x14ac:dyDescent="0.25">
      <c r="A70" s="278">
        <f>Données!A71</f>
        <v>5515</v>
      </c>
      <c r="B70" s="282" t="str">
        <f>Données!B71</f>
        <v>Bretigny-sur-Morrens</v>
      </c>
      <c r="C70" s="280">
        <f>VPI!Q71</f>
        <v>78</v>
      </c>
      <c r="D70" s="285">
        <f>Données!Z71</f>
        <v>898</v>
      </c>
      <c r="E70" s="661">
        <f>VPI!R71</f>
        <v>32116.031538461531</v>
      </c>
      <c r="F70" s="218">
        <f>'Péréquation directe'!K77</f>
        <v>199788.52387870278</v>
      </c>
      <c r="G70" s="227">
        <f>PCS!I77</f>
        <v>403564.56570009643</v>
      </c>
      <c r="H70" s="242">
        <f>Police!L71</f>
        <v>94918.867292277777</v>
      </c>
      <c r="I70" s="320">
        <f t="shared" ref="I70:I133" si="1">SUM(F70:H70)</f>
        <v>698271.95687107695</v>
      </c>
      <c r="J70" s="133"/>
      <c r="K70" s="175"/>
      <c r="L70" s="591"/>
      <c r="M70" s="592"/>
    </row>
    <row r="71" spans="1:13" s="84" customFormat="1" x14ac:dyDescent="0.25">
      <c r="A71" s="278">
        <f>Données!A72</f>
        <v>5516</v>
      </c>
      <c r="B71" s="282" t="str">
        <f>Données!B72</f>
        <v>Cugy</v>
      </c>
      <c r="C71" s="280">
        <f>VPI!Q72</f>
        <v>76</v>
      </c>
      <c r="D71" s="285">
        <f>Données!Z72</f>
        <v>2790</v>
      </c>
      <c r="E71" s="661">
        <f>VPI!R72</f>
        <v>112038.1875</v>
      </c>
      <c r="F71" s="218">
        <f>'Péréquation directe'!K78</f>
        <v>386650.3114693563</v>
      </c>
      <c r="G71" s="227">
        <f>PCS!I78</f>
        <v>1577112.7434109256</v>
      </c>
      <c r="H71" s="242">
        <f>Police!L72</f>
        <v>333133.61420513754</v>
      </c>
      <c r="I71" s="320">
        <f t="shared" si="1"/>
        <v>2296896.6690854193</v>
      </c>
      <c r="J71" s="133"/>
      <c r="K71" s="175"/>
      <c r="L71" s="591"/>
      <c r="M71" s="592"/>
    </row>
    <row r="72" spans="1:13" s="84" customFormat="1" x14ac:dyDescent="0.25">
      <c r="A72" s="278">
        <f>Données!A73</f>
        <v>5518</v>
      </c>
      <c r="B72" s="282" t="str">
        <f>Données!B73</f>
        <v>Echallens</v>
      </c>
      <c r="C72" s="280">
        <f>VPI!Q73</f>
        <v>72.5</v>
      </c>
      <c r="D72" s="285">
        <f>Données!Z73</f>
        <v>6722</v>
      </c>
      <c r="E72" s="661">
        <f>VPI!R73</f>
        <v>216867.084137931</v>
      </c>
      <c r="F72" s="218">
        <f>'Péréquation directe'!K79</f>
        <v>-2773559.3071865039</v>
      </c>
      <c r="G72" s="227">
        <f>PCS!I79</f>
        <v>3053344.6852520257</v>
      </c>
      <c r="H72" s="242">
        <f>Police!L73</f>
        <v>639959.97352571995</v>
      </c>
      <c r="I72" s="320">
        <f t="shared" si="1"/>
        <v>919745.35159124178</v>
      </c>
      <c r="J72" s="133"/>
      <c r="K72" s="175"/>
      <c r="L72" s="591"/>
      <c r="M72" s="592"/>
    </row>
    <row r="73" spans="1:13" s="84" customFormat="1" x14ac:dyDescent="0.25">
      <c r="A73" s="278">
        <f>Données!A74</f>
        <v>5520</v>
      </c>
      <c r="B73" s="282" t="str">
        <f>Données!B74</f>
        <v>Essertines-sur-Yverdon</v>
      </c>
      <c r="C73" s="280">
        <f>VPI!Q74</f>
        <v>74</v>
      </c>
      <c r="D73" s="285">
        <f>Données!Z74</f>
        <v>1148</v>
      </c>
      <c r="E73" s="661">
        <f>VPI!R74</f>
        <v>35335.874054054053</v>
      </c>
      <c r="F73" s="218">
        <f>'Péréquation directe'!K80</f>
        <v>-852606.56805713975</v>
      </c>
      <c r="G73" s="227">
        <f>PCS!I80</f>
        <v>483249.15749904187</v>
      </c>
      <c r="H73" s="242">
        <f>Police!L74</f>
        <v>104224.03800615849</v>
      </c>
      <c r="I73" s="320">
        <f t="shared" si="1"/>
        <v>-265133.37255193939</v>
      </c>
      <c r="J73" s="133"/>
      <c r="K73" s="175"/>
      <c r="L73" s="591"/>
      <c r="M73" s="592"/>
    </row>
    <row r="74" spans="1:13" s="84" customFormat="1" x14ac:dyDescent="0.25">
      <c r="A74" s="278">
        <f>Données!A75</f>
        <v>5521</v>
      </c>
      <c r="B74" s="282" t="str">
        <f>Données!B75</f>
        <v>Etagnières</v>
      </c>
      <c r="C74" s="280">
        <f>VPI!Q75</f>
        <v>73</v>
      </c>
      <c r="D74" s="285">
        <f>Données!Z75</f>
        <v>1189</v>
      </c>
      <c r="E74" s="661">
        <f>VPI!R75</f>
        <v>46868.677397260268</v>
      </c>
      <c r="F74" s="218">
        <f>'Péréquation directe'!K81</f>
        <v>295337.59339131357</v>
      </c>
      <c r="G74" s="227">
        <f>PCS!I81</f>
        <v>804521.93570758216</v>
      </c>
      <c r="H74" s="242">
        <f>Police!L75</f>
        <v>137772.3620115238</v>
      </c>
      <c r="I74" s="320">
        <f t="shared" si="1"/>
        <v>1237631.8911104198</v>
      </c>
      <c r="J74" s="133"/>
      <c r="K74" s="175"/>
      <c r="L74" s="591"/>
      <c r="M74" s="592"/>
    </row>
    <row r="75" spans="1:13" s="84" customFormat="1" x14ac:dyDescent="0.25">
      <c r="A75" s="278">
        <f>Données!A76</f>
        <v>5522</v>
      </c>
      <c r="B75" s="282" t="str">
        <f>Données!B76</f>
        <v>Fey</v>
      </c>
      <c r="C75" s="280">
        <f>VPI!Q76</f>
        <v>75</v>
      </c>
      <c r="D75" s="285">
        <f>Données!Z76</f>
        <v>789</v>
      </c>
      <c r="E75" s="661">
        <f>VPI!R76</f>
        <v>25183.4012</v>
      </c>
      <c r="F75" s="218">
        <f>'Péréquation directe'!K82</f>
        <v>-136967.29472029745</v>
      </c>
      <c r="G75" s="227">
        <f>PCS!I82</f>
        <v>344068.24912062834</v>
      </c>
      <c r="H75" s="242">
        <f>Police!L76</f>
        <v>74559.916841888815</v>
      </c>
      <c r="I75" s="320">
        <f t="shared" si="1"/>
        <v>281660.8712422197</v>
      </c>
      <c r="J75" s="133"/>
      <c r="K75" s="175"/>
      <c r="L75" s="591"/>
      <c r="M75" s="592"/>
    </row>
    <row r="76" spans="1:13" s="84" customFormat="1" x14ac:dyDescent="0.25">
      <c r="A76" s="278">
        <f>Données!A77</f>
        <v>5523</v>
      </c>
      <c r="B76" s="282" t="str">
        <f>Données!B77</f>
        <v>Froideville</v>
      </c>
      <c r="C76" s="280">
        <f>VPI!Q77</f>
        <v>72</v>
      </c>
      <c r="D76" s="285">
        <f>Données!Z77</f>
        <v>2731</v>
      </c>
      <c r="E76" s="661">
        <f>VPI!R77</f>
        <v>89218.615555555531</v>
      </c>
      <c r="F76" s="218">
        <f>'Péréquation directe'!K83</f>
        <v>-259171.31170642609</v>
      </c>
      <c r="G76" s="227">
        <f>PCS!I83</f>
        <v>1064100.967787781</v>
      </c>
      <c r="H76" s="242">
        <f>Police!L77</f>
        <v>262030.59774735488</v>
      </c>
      <c r="I76" s="320">
        <f t="shared" si="1"/>
        <v>1066960.2538287099</v>
      </c>
      <c r="J76" s="133"/>
      <c r="K76" s="175"/>
      <c r="L76" s="591"/>
      <c r="M76" s="592"/>
    </row>
    <row r="77" spans="1:13" s="84" customFormat="1" x14ac:dyDescent="0.25">
      <c r="A77" s="278">
        <f>Données!A78</f>
        <v>5527</v>
      </c>
      <c r="B77" s="282" t="str">
        <f>Données!B78</f>
        <v>Morrens</v>
      </c>
      <c r="C77" s="280">
        <f>VPI!Q78</f>
        <v>74</v>
      </c>
      <c r="D77" s="285">
        <f>Données!Z78</f>
        <v>1153</v>
      </c>
      <c r="E77" s="661">
        <f>VPI!R78</f>
        <v>42618.641486486493</v>
      </c>
      <c r="F77" s="218">
        <f>'Péréquation directe'!K84</f>
        <v>283909.29923866049</v>
      </c>
      <c r="G77" s="227">
        <f>PCS!I84</f>
        <v>603164.97870019893</v>
      </c>
      <c r="H77" s="242">
        <f>Police!L78</f>
        <v>126026.95672747388</v>
      </c>
      <c r="I77" s="320">
        <f t="shared" si="1"/>
        <v>1013101.2346663333</v>
      </c>
      <c r="J77" s="133"/>
      <c r="K77" s="175"/>
      <c r="L77" s="591"/>
      <c r="M77" s="592"/>
    </row>
    <row r="78" spans="1:13" s="84" customFormat="1" x14ac:dyDescent="0.25">
      <c r="A78" s="278">
        <f>Données!A79</f>
        <v>5529</v>
      </c>
      <c r="B78" s="282" t="str">
        <f>Données!B79</f>
        <v>Oulens-sous-Echallens</v>
      </c>
      <c r="C78" s="280">
        <f>VPI!Q79</f>
        <v>71</v>
      </c>
      <c r="D78" s="285">
        <f>Données!Z79</f>
        <v>607</v>
      </c>
      <c r="E78" s="661">
        <f>VPI!R79</f>
        <v>21320.008028169017</v>
      </c>
      <c r="F78" s="218">
        <f>'Péréquation directe'!K85</f>
        <v>40533.620329158381</v>
      </c>
      <c r="G78" s="227">
        <f>PCS!I85</f>
        <v>309773.54509067757</v>
      </c>
      <c r="H78" s="242">
        <f>Police!L79</f>
        <v>62580.939038552126</v>
      </c>
      <c r="I78" s="320">
        <f t="shared" si="1"/>
        <v>412888.10445838806</v>
      </c>
      <c r="J78" s="133"/>
      <c r="K78" s="175"/>
      <c r="L78" s="591"/>
      <c r="M78" s="592"/>
    </row>
    <row r="79" spans="1:13" s="84" customFormat="1" x14ac:dyDescent="0.25">
      <c r="A79" s="278">
        <f>Données!A80</f>
        <v>5530</v>
      </c>
      <c r="B79" s="282" t="str">
        <f>Données!B80</f>
        <v>Pailly</v>
      </c>
      <c r="C79" s="280">
        <f>VPI!Q80</f>
        <v>76</v>
      </c>
      <c r="D79" s="285">
        <f>Données!Z80</f>
        <v>576</v>
      </c>
      <c r="E79" s="661">
        <f>VPI!R80</f>
        <v>18985.526425438595</v>
      </c>
      <c r="F79" s="218">
        <f>'Péréquation directe'!K86</f>
        <v>-217558.96701735439</v>
      </c>
      <c r="G79" s="227">
        <f>PCS!I86</f>
        <v>266529.63688513555</v>
      </c>
      <c r="H79" s="242">
        <f>Police!L80</f>
        <v>56239.999283351535</v>
      </c>
      <c r="I79" s="320">
        <f t="shared" si="1"/>
        <v>105210.66915113269</v>
      </c>
      <c r="J79" s="133"/>
      <c r="K79" s="175"/>
      <c r="L79" s="591"/>
      <c r="M79" s="592"/>
    </row>
    <row r="80" spans="1:13" s="84" customFormat="1" x14ac:dyDescent="0.25">
      <c r="A80" s="278">
        <f>Données!A81</f>
        <v>5531</v>
      </c>
      <c r="B80" s="282" t="str">
        <f>Données!B81</f>
        <v>Penthéréaz</v>
      </c>
      <c r="C80" s="280">
        <f>VPI!Q81</f>
        <v>74</v>
      </c>
      <c r="D80" s="285">
        <f>Données!Z81</f>
        <v>430</v>
      </c>
      <c r="E80" s="661">
        <f>VPI!R81</f>
        <v>16979.020135135139</v>
      </c>
      <c r="F80" s="218">
        <f>'Péréquation directe'!K87</f>
        <v>132372.00256328529</v>
      </c>
      <c r="G80" s="227">
        <f>PCS!I87</f>
        <v>220301.42393212745</v>
      </c>
      <c r="H80" s="242">
        <f>Police!L81</f>
        <v>50430.622530869208</v>
      </c>
      <c r="I80" s="320">
        <f t="shared" si="1"/>
        <v>403104.04902628192</v>
      </c>
      <c r="J80" s="133"/>
      <c r="K80" s="175"/>
      <c r="L80" s="591"/>
      <c r="M80" s="592"/>
    </row>
    <row r="81" spans="1:13" s="84" customFormat="1" x14ac:dyDescent="0.25">
      <c r="A81" s="278">
        <f>Données!A82</f>
        <v>5533</v>
      </c>
      <c r="B81" s="282" t="str">
        <f>Données!B82</f>
        <v>Poliez-Pittet</v>
      </c>
      <c r="C81" s="280">
        <f>VPI!Q82</f>
        <v>73</v>
      </c>
      <c r="D81" s="285">
        <f>Données!Z82</f>
        <v>850</v>
      </c>
      <c r="E81" s="661">
        <f>VPI!R82</f>
        <v>27367.358493150681</v>
      </c>
      <c r="F81" s="218">
        <f>'Péréquation directe'!K88</f>
        <v>24733.793836368015</v>
      </c>
      <c r="G81" s="227">
        <f>PCS!I88</f>
        <v>418699.522964712</v>
      </c>
      <c r="H81" s="242">
        <f>Police!L82</f>
        <v>80601.412697468564</v>
      </c>
      <c r="I81" s="320">
        <f t="shared" si="1"/>
        <v>524034.72949854855</v>
      </c>
      <c r="J81" s="133"/>
      <c r="K81" s="175"/>
      <c r="L81" s="591"/>
      <c r="M81" s="592"/>
    </row>
    <row r="82" spans="1:13" s="84" customFormat="1" x14ac:dyDescent="0.25">
      <c r="A82" s="278">
        <f>Données!A83</f>
        <v>5534</v>
      </c>
      <c r="B82" s="282" t="str">
        <f>Données!B83</f>
        <v>Rueyres</v>
      </c>
      <c r="C82" s="280">
        <f>VPI!Q83</f>
        <v>73</v>
      </c>
      <c r="D82" s="285">
        <f>Données!Z83</f>
        <v>304</v>
      </c>
      <c r="E82" s="661">
        <f>VPI!R83</f>
        <v>17982.384452054797</v>
      </c>
      <c r="F82" s="218">
        <f>'Péréquation directe'!K89</f>
        <v>312397.91979116848</v>
      </c>
      <c r="G82" s="227">
        <f>PCS!I89</f>
        <v>283870.07712339715</v>
      </c>
      <c r="H82" s="242">
        <f>Police!L83</f>
        <v>48205.207907728851</v>
      </c>
      <c r="I82" s="320">
        <f t="shared" si="1"/>
        <v>644473.20482229441</v>
      </c>
      <c r="J82" s="133"/>
      <c r="K82" s="175"/>
      <c r="L82" s="591"/>
      <c r="M82" s="592"/>
    </row>
    <row r="83" spans="1:13" s="84" customFormat="1" x14ac:dyDescent="0.25">
      <c r="A83" s="278">
        <f>Données!A84</f>
        <v>5535</v>
      </c>
      <c r="B83" s="282" t="str">
        <f>Données!B84</f>
        <v>Saint-Barthélemy</v>
      </c>
      <c r="C83" s="280">
        <f>VPI!Q84</f>
        <v>75</v>
      </c>
      <c r="D83" s="285">
        <f>Données!Z84</f>
        <v>837</v>
      </c>
      <c r="E83" s="661">
        <f>VPI!R84</f>
        <v>26523.088000000003</v>
      </c>
      <c r="F83" s="218">
        <f>'Péréquation directe'!K90</f>
        <v>48258.174240451714</v>
      </c>
      <c r="G83" s="227">
        <f>PCS!I90</f>
        <v>376950.80070132512</v>
      </c>
      <c r="H83" s="242">
        <f>Police!L84</f>
        <v>78629.373947455766</v>
      </c>
      <c r="I83" s="320">
        <f t="shared" si="1"/>
        <v>503838.34888923261</v>
      </c>
      <c r="J83" s="133"/>
      <c r="K83" s="175"/>
      <c r="L83" s="591"/>
      <c r="M83" s="592"/>
    </row>
    <row r="84" spans="1:13" s="84" customFormat="1" x14ac:dyDescent="0.25">
      <c r="A84" s="278">
        <f>Données!A85</f>
        <v>5537</v>
      </c>
      <c r="B84" s="282" t="str">
        <f>Données!B85</f>
        <v>Villars-le-Terroir</v>
      </c>
      <c r="C84" s="280">
        <f>VPI!Q85</f>
        <v>76</v>
      </c>
      <c r="D84" s="285">
        <f>Données!Z85</f>
        <v>1307</v>
      </c>
      <c r="E84" s="661">
        <f>VPI!R85</f>
        <v>36821.563947368428</v>
      </c>
      <c r="F84" s="218">
        <f>'Péréquation directe'!K91</f>
        <v>-304406.10961185105</v>
      </c>
      <c r="G84" s="227">
        <f>PCS!I91</f>
        <v>499603.81231968186</v>
      </c>
      <c r="H84" s="242">
        <f>Police!L85</f>
        <v>107548.51798909699</v>
      </c>
      <c r="I84" s="320">
        <f t="shared" si="1"/>
        <v>302746.2206969278</v>
      </c>
      <c r="J84" s="133"/>
      <c r="K84" s="175"/>
      <c r="L84" s="591"/>
      <c r="M84" s="592"/>
    </row>
    <row r="85" spans="1:13" s="84" customFormat="1" x14ac:dyDescent="0.25">
      <c r="A85" s="278">
        <f>Données!A86</f>
        <v>5539</v>
      </c>
      <c r="B85" s="282" t="str">
        <f>Données!B86</f>
        <v>Vuarrens</v>
      </c>
      <c r="C85" s="280">
        <f>VPI!Q86</f>
        <v>73.5</v>
      </c>
      <c r="D85" s="285">
        <f>Données!Z86</f>
        <v>1120</v>
      </c>
      <c r="E85" s="661">
        <f>VPI!R86</f>
        <v>34903.7481632653</v>
      </c>
      <c r="F85" s="218">
        <f>'Péréquation directe'!K92</f>
        <v>20453.618542430573</v>
      </c>
      <c r="G85" s="227">
        <f>PCS!I92</f>
        <v>529520.67587288469</v>
      </c>
      <c r="H85" s="242">
        <f>Police!L86</f>
        <v>102828.86084959039</v>
      </c>
      <c r="I85" s="320">
        <f t="shared" si="1"/>
        <v>652803.15526490565</v>
      </c>
      <c r="J85" s="133"/>
      <c r="K85" s="175"/>
      <c r="L85" s="591"/>
      <c r="M85" s="592"/>
    </row>
    <row r="86" spans="1:13" s="84" customFormat="1" x14ac:dyDescent="0.25">
      <c r="A86" s="278">
        <f>Données!A87</f>
        <v>5540</v>
      </c>
      <c r="B86" s="282" t="str">
        <f>Données!B87</f>
        <v>Montilliez</v>
      </c>
      <c r="C86" s="280">
        <f>VPI!Q87</f>
        <v>72.5</v>
      </c>
      <c r="D86" s="285">
        <f>Données!Z87</f>
        <v>1874</v>
      </c>
      <c r="E86" s="661">
        <f>VPI!R87</f>
        <v>65033.644896551712</v>
      </c>
      <c r="F86" s="218">
        <f>'Péréquation directe'!K93</f>
        <v>95483.70353299845</v>
      </c>
      <c r="G86" s="227">
        <f>PCS!I93</f>
        <v>818959.03840697405</v>
      </c>
      <c r="H86" s="242">
        <f>Police!L87</f>
        <v>192521.69566757692</v>
      </c>
      <c r="I86" s="320">
        <f t="shared" si="1"/>
        <v>1106964.4376075494</v>
      </c>
      <c r="J86" s="133"/>
      <c r="K86" s="175"/>
      <c r="L86" s="591"/>
      <c r="M86" s="592"/>
    </row>
    <row r="87" spans="1:13" s="84" customFormat="1" x14ac:dyDescent="0.25">
      <c r="A87" s="278">
        <f>Données!A88</f>
        <v>5541</v>
      </c>
      <c r="B87" s="282" t="str">
        <f>Données!B88</f>
        <v>Goumoëns</v>
      </c>
      <c r="C87" s="280">
        <f>VPI!Q88</f>
        <v>75.5</v>
      </c>
      <c r="D87" s="285">
        <f>Données!Z88</f>
        <v>1211</v>
      </c>
      <c r="E87" s="661">
        <f>VPI!R88</f>
        <v>41006.934834437088</v>
      </c>
      <c r="F87" s="218">
        <f>'Péréquation directe'!K94</f>
        <v>95064.412465729634</v>
      </c>
      <c r="G87" s="227">
        <f>PCS!I94</f>
        <v>485920.09235134197</v>
      </c>
      <c r="H87" s="242">
        <f>Police!L88</f>
        <v>121737.16293007329</v>
      </c>
      <c r="I87" s="320">
        <f t="shared" si="1"/>
        <v>702721.66774714494</v>
      </c>
      <c r="J87" s="133"/>
      <c r="K87" s="175"/>
      <c r="L87" s="591"/>
      <c r="M87" s="592"/>
    </row>
    <row r="88" spans="1:13" s="84" customFormat="1" x14ac:dyDescent="0.25">
      <c r="A88" s="278">
        <f>Données!A89</f>
        <v>5551</v>
      </c>
      <c r="B88" s="282" t="str">
        <f>Données!B89</f>
        <v>Bonvillars</v>
      </c>
      <c r="C88" s="280">
        <f>VPI!Q89</f>
        <v>57</v>
      </c>
      <c r="D88" s="285">
        <f>Données!Z89</f>
        <v>518</v>
      </c>
      <c r="E88" s="661">
        <f>VPI!R89</f>
        <v>19467.158771929826</v>
      </c>
      <c r="F88" s="218">
        <f>'Péréquation directe'!K95</f>
        <v>168109.60505383828</v>
      </c>
      <c r="G88" s="227">
        <f>PCS!I95</f>
        <v>289582.52501868282</v>
      </c>
      <c r="H88" s="242">
        <f>Police!L89</f>
        <v>56109.594732679645</v>
      </c>
      <c r="I88" s="320">
        <f t="shared" si="1"/>
        <v>513801.72480520076</v>
      </c>
      <c r="J88" s="133"/>
      <c r="K88" s="175"/>
      <c r="L88" s="591"/>
      <c r="M88" s="592"/>
    </row>
    <row r="89" spans="1:13" s="84" customFormat="1" x14ac:dyDescent="0.25">
      <c r="A89" s="278">
        <f>Données!A90</f>
        <v>5552</v>
      </c>
      <c r="B89" s="282" t="str">
        <f>Données!B90</f>
        <v>Bullet</v>
      </c>
      <c r="C89" s="280">
        <f>VPI!Q90</f>
        <v>72</v>
      </c>
      <c r="D89" s="285">
        <f>Données!Z90</f>
        <v>682</v>
      </c>
      <c r="E89" s="661">
        <f>VPI!R90</f>
        <v>20081.650000000001</v>
      </c>
      <c r="F89" s="218">
        <f>'Péréquation directe'!K96</f>
        <v>-226485.11422028829</v>
      </c>
      <c r="G89" s="227">
        <f>PCS!I96</f>
        <v>348338.29971618892</v>
      </c>
      <c r="H89" s="242">
        <f>Police!L90</f>
        <v>58530.453084469584</v>
      </c>
      <c r="I89" s="320">
        <f t="shared" si="1"/>
        <v>180383.63858037023</v>
      </c>
      <c r="J89" s="133"/>
      <c r="K89" s="175"/>
      <c r="L89" s="591"/>
      <c r="M89" s="592"/>
    </row>
    <row r="90" spans="1:13" s="84" customFormat="1" x14ac:dyDescent="0.25">
      <c r="A90" s="278">
        <f>Données!A91</f>
        <v>5553</v>
      </c>
      <c r="B90" s="282" t="str">
        <f>Données!B91</f>
        <v>Champagne</v>
      </c>
      <c r="C90" s="280">
        <f>VPI!Q91</f>
        <v>65</v>
      </c>
      <c r="D90" s="285">
        <f>Données!Z91</f>
        <v>1071</v>
      </c>
      <c r="E90" s="661">
        <f>VPI!R91</f>
        <v>38368.423846153841</v>
      </c>
      <c r="F90" s="218">
        <f>'Péréquation directe'!K97</f>
        <v>-88095.480705778347</v>
      </c>
      <c r="G90" s="227">
        <f>PCS!I97</f>
        <v>629100.90992041037</v>
      </c>
      <c r="H90" s="242">
        <f>Police!L91</f>
        <v>110929.73892976707</v>
      </c>
      <c r="I90" s="320">
        <f t="shared" si="1"/>
        <v>651935.16814439907</v>
      </c>
      <c r="J90" s="133"/>
      <c r="K90" s="175"/>
      <c r="L90" s="591"/>
      <c r="M90" s="592"/>
    </row>
    <row r="91" spans="1:13" s="84" customFormat="1" x14ac:dyDescent="0.25">
      <c r="A91" s="278">
        <f>Données!A92</f>
        <v>5554</v>
      </c>
      <c r="B91" s="282" t="str">
        <f>Données!B92</f>
        <v>Concise</v>
      </c>
      <c r="C91" s="280">
        <f>VPI!Q92</f>
        <v>71</v>
      </c>
      <c r="D91" s="285">
        <f>Données!Z92</f>
        <v>1025</v>
      </c>
      <c r="E91" s="661">
        <f>VPI!R92</f>
        <v>33009.838309859158</v>
      </c>
      <c r="F91" s="218">
        <f>'Péréquation directe'!K98</f>
        <v>-106799.20352040569</v>
      </c>
      <c r="G91" s="227">
        <f>PCS!I98</f>
        <v>497244.73879021825</v>
      </c>
      <c r="H91" s="242">
        <f>Police!L92</f>
        <v>97330.810678151727</v>
      </c>
      <c r="I91" s="320">
        <f t="shared" si="1"/>
        <v>487776.34594796429</v>
      </c>
      <c r="J91" s="133"/>
      <c r="K91" s="175"/>
      <c r="L91" s="591"/>
      <c r="M91" s="592"/>
    </row>
    <row r="92" spans="1:13" s="84" customFormat="1" x14ac:dyDescent="0.25">
      <c r="A92" s="278">
        <f>Données!A93</f>
        <v>5555</v>
      </c>
      <c r="B92" s="282" t="str">
        <f>Données!B93</f>
        <v>Corcelles-près-Concise</v>
      </c>
      <c r="C92" s="280">
        <f>VPI!Q93</f>
        <v>69</v>
      </c>
      <c r="D92" s="285">
        <f>Données!Z93</f>
        <v>438</v>
      </c>
      <c r="E92" s="661">
        <f>VPI!R93</f>
        <v>14189.979565217391</v>
      </c>
      <c r="F92" s="218">
        <f>'Péréquation directe'!K99</f>
        <v>-133478.49680125894</v>
      </c>
      <c r="G92" s="227">
        <f>PCS!I99</f>
        <v>230496.73392238375</v>
      </c>
      <c r="H92" s="242">
        <f>Police!L93</f>
        <v>41301.725771945836</v>
      </c>
      <c r="I92" s="320">
        <f t="shared" si="1"/>
        <v>138319.96289307065</v>
      </c>
      <c r="J92" s="133"/>
      <c r="K92" s="175"/>
      <c r="L92" s="591"/>
      <c r="M92" s="592"/>
    </row>
    <row r="93" spans="1:13" s="84" customFormat="1" x14ac:dyDescent="0.25">
      <c r="A93" s="278">
        <f>Données!A94</f>
        <v>5556</v>
      </c>
      <c r="B93" s="282" t="str">
        <f>Données!B94</f>
        <v>Fiez</v>
      </c>
      <c r="C93" s="280">
        <f>VPI!Q94</f>
        <v>69</v>
      </c>
      <c r="D93" s="285">
        <f>Données!Z94</f>
        <v>431</v>
      </c>
      <c r="E93" s="661">
        <f>VPI!R94</f>
        <v>12811.352608695654</v>
      </c>
      <c r="F93" s="218">
        <f>'Péréquation directe'!K100</f>
        <v>-14263.764955872524</v>
      </c>
      <c r="G93" s="227">
        <f>PCS!I100</f>
        <v>222731.01057397336</v>
      </c>
      <c r="H93" s="242">
        <f>Police!L94</f>
        <v>37705.406236657553</v>
      </c>
      <c r="I93" s="320">
        <f t="shared" si="1"/>
        <v>246172.65185475838</v>
      </c>
      <c r="J93" s="133"/>
      <c r="K93" s="175"/>
      <c r="L93" s="591"/>
      <c r="M93" s="592"/>
    </row>
    <row r="94" spans="1:13" s="84" customFormat="1" x14ac:dyDescent="0.25">
      <c r="A94" s="278">
        <f>Données!A95</f>
        <v>5557</v>
      </c>
      <c r="B94" s="282" t="str">
        <f>Données!B95</f>
        <v>Fontaines-sur-Grandson</v>
      </c>
      <c r="C94" s="280">
        <f>VPI!Q95</f>
        <v>69</v>
      </c>
      <c r="D94" s="285">
        <f>Données!Z95</f>
        <v>220</v>
      </c>
      <c r="E94" s="661">
        <f>VPI!R95</f>
        <v>5164.2157971014494</v>
      </c>
      <c r="F94" s="218">
        <f>'Péréquation directe'!K101</f>
        <v>-103700.78731711226</v>
      </c>
      <c r="G94" s="227">
        <f>PCS!I101</f>
        <v>66973.927881804717</v>
      </c>
      <c r="H94" s="242">
        <f>Police!L95</f>
        <v>14984.301997531369</v>
      </c>
      <c r="I94" s="320">
        <f t="shared" si="1"/>
        <v>-21742.557437776177</v>
      </c>
      <c r="J94" s="133"/>
      <c r="K94" s="175"/>
      <c r="L94" s="591"/>
      <c r="M94" s="592"/>
    </row>
    <row r="95" spans="1:13" s="84" customFormat="1" x14ac:dyDescent="0.25">
      <c r="A95" s="278">
        <f>Données!A96</f>
        <v>5559</v>
      </c>
      <c r="B95" s="282" t="str">
        <f>Données!B96</f>
        <v>Giez</v>
      </c>
      <c r="C95" s="280">
        <f>VPI!Q96</f>
        <v>68</v>
      </c>
      <c r="D95" s="285">
        <f>Données!Z96</f>
        <v>464</v>
      </c>
      <c r="E95" s="661">
        <f>VPI!R96</f>
        <v>23273.261029411766</v>
      </c>
      <c r="F95" s="218">
        <f>'Péréquation directe'!K102</f>
        <v>351584.95523124607</v>
      </c>
      <c r="G95" s="227">
        <f>PCS!I102</f>
        <v>294200.38813640748</v>
      </c>
      <c r="H95" s="242">
        <f>Police!L96</f>
        <v>68886.695640496633</v>
      </c>
      <c r="I95" s="320">
        <f t="shared" si="1"/>
        <v>714672.03900815023</v>
      </c>
      <c r="J95" s="133"/>
      <c r="K95" s="175"/>
      <c r="L95" s="591"/>
      <c r="M95" s="592"/>
    </row>
    <row r="96" spans="1:13" s="84" customFormat="1" x14ac:dyDescent="0.25">
      <c r="A96" s="278">
        <f>Données!A97</f>
        <v>5560</v>
      </c>
      <c r="B96" s="282" t="str">
        <f>Données!B97</f>
        <v>Grandevent</v>
      </c>
      <c r="C96" s="280">
        <f>VPI!Q97</f>
        <v>70</v>
      </c>
      <c r="D96" s="285">
        <f>Données!Z97</f>
        <v>241</v>
      </c>
      <c r="E96" s="661">
        <f>VPI!R97</f>
        <v>8016.4264285714298</v>
      </c>
      <c r="F96" s="218">
        <f>'Péréquation directe'!K103</f>
        <v>-126407.01346589625</v>
      </c>
      <c r="G96" s="227">
        <f>PCS!I103</f>
        <v>104466.73655231285</v>
      </c>
      <c r="H96" s="242">
        <f>Police!L97</f>
        <v>23681.181735699916</v>
      </c>
      <c r="I96" s="320">
        <f t="shared" si="1"/>
        <v>1740.9048221165212</v>
      </c>
      <c r="J96" s="133"/>
      <c r="K96" s="175"/>
      <c r="L96" s="591"/>
      <c r="M96" s="592"/>
    </row>
    <row r="97" spans="1:13" s="84" customFormat="1" x14ac:dyDescent="0.25">
      <c r="A97" s="278">
        <f>Données!A98</f>
        <v>5561</v>
      </c>
      <c r="B97" s="282" t="str">
        <f>Données!B98</f>
        <v>Grandson</v>
      </c>
      <c r="C97" s="280">
        <f>VPI!Q98</f>
        <v>69</v>
      </c>
      <c r="D97" s="285">
        <f>Données!Z98</f>
        <v>3396</v>
      </c>
      <c r="E97" s="661">
        <f>VPI!R98</f>
        <v>125721.38057971014</v>
      </c>
      <c r="F97" s="218">
        <f>'Péréquation directe'!K104</f>
        <v>-576576.21658864105</v>
      </c>
      <c r="G97" s="227">
        <f>PCS!I104</f>
        <v>1874904.0913321325</v>
      </c>
      <c r="H97" s="242">
        <f>Police!L98</f>
        <v>370408.46061015531</v>
      </c>
      <c r="I97" s="320">
        <f t="shared" si="1"/>
        <v>1668736.3353536467</v>
      </c>
      <c r="J97" s="133"/>
      <c r="K97" s="175"/>
      <c r="L97" s="591"/>
      <c r="M97" s="592"/>
    </row>
    <row r="98" spans="1:13" s="84" customFormat="1" x14ac:dyDescent="0.25">
      <c r="A98" s="278">
        <f>Données!A99</f>
        <v>5562</v>
      </c>
      <c r="B98" s="282" t="str">
        <f>Données!B99</f>
        <v>Mauborget</v>
      </c>
      <c r="C98" s="280">
        <f>VPI!Q99</f>
        <v>70</v>
      </c>
      <c r="D98" s="285">
        <f>Données!Z99</f>
        <v>145</v>
      </c>
      <c r="E98" s="661">
        <f>VPI!R99</f>
        <v>4554.1072619047618</v>
      </c>
      <c r="F98" s="218">
        <f>'Péréquation directe'!K105</f>
        <v>-27374.110421892809</v>
      </c>
      <c r="G98" s="227">
        <f>PCS!I105</f>
        <v>74150.684643154411</v>
      </c>
      <c r="H98" s="242">
        <f>Police!L99</f>
        <v>13258.633070732922</v>
      </c>
      <c r="I98" s="320">
        <f t="shared" si="1"/>
        <v>60035.20729199452</v>
      </c>
      <c r="J98" s="133"/>
      <c r="K98" s="175"/>
      <c r="L98" s="591"/>
      <c r="M98" s="592"/>
    </row>
    <row r="99" spans="1:13" s="84" customFormat="1" x14ac:dyDescent="0.25">
      <c r="A99" s="278">
        <f>Données!A100</f>
        <v>5563</v>
      </c>
      <c r="B99" s="282" t="str">
        <f>Données!B100</f>
        <v>Mutrux</v>
      </c>
      <c r="C99" s="280">
        <f>VPI!Q100</f>
        <v>80</v>
      </c>
      <c r="D99" s="285">
        <f>Données!Z100</f>
        <v>144</v>
      </c>
      <c r="E99" s="661">
        <f>VPI!R100</f>
        <v>4029.343875</v>
      </c>
      <c r="F99" s="218">
        <f>'Péréquation directe'!K106</f>
        <v>-80906.088030978251</v>
      </c>
      <c r="G99" s="227">
        <f>PCS!I106</f>
        <v>64824.831358786607</v>
      </c>
      <c r="H99" s="242">
        <f>Police!L100</f>
        <v>11988.379991165732</v>
      </c>
      <c r="I99" s="320">
        <f t="shared" si="1"/>
        <v>-4092.8766810259131</v>
      </c>
      <c r="J99" s="133"/>
      <c r="K99" s="175"/>
      <c r="L99" s="591"/>
      <c r="M99" s="592"/>
    </row>
    <row r="100" spans="1:13" s="84" customFormat="1" x14ac:dyDescent="0.25">
      <c r="A100" s="278">
        <f>Données!A101</f>
        <v>5564</v>
      </c>
      <c r="B100" s="282" t="str">
        <f>Données!B101</f>
        <v>Novalles</v>
      </c>
      <c r="C100" s="280">
        <f>VPI!Q101</f>
        <v>76</v>
      </c>
      <c r="D100" s="285">
        <f>Données!Z101</f>
        <v>106</v>
      </c>
      <c r="E100" s="661">
        <f>VPI!R101</f>
        <v>2464.3180592105264</v>
      </c>
      <c r="F100" s="218">
        <f>'Péréquation directe'!K107</f>
        <v>-42463.769829552919</v>
      </c>
      <c r="G100" s="227">
        <f>PCS!I107</f>
        <v>34236.054245328196</v>
      </c>
      <c r="H100" s="242">
        <f>Police!L101</f>
        <v>7296.7918043004693</v>
      </c>
      <c r="I100" s="320">
        <f t="shared" si="1"/>
        <v>-930.92377992425372</v>
      </c>
      <c r="J100" s="133"/>
      <c r="K100" s="175"/>
      <c r="L100" s="591"/>
      <c r="M100" s="592"/>
    </row>
    <row r="101" spans="1:13" s="84" customFormat="1" x14ac:dyDescent="0.25">
      <c r="A101" s="278">
        <f>Données!A102</f>
        <v>5565</v>
      </c>
      <c r="B101" s="282" t="str">
        <f>Données!B102</f>
        <v>Onnens</v>
      </c>
      <c r="C101" s="280">
        <f>VPI!Q102</f>
        <v>63.5</v>
      </c>
      <c r="D101" s="285">
        <f>Données!Z102</f>
        <v>520</v>
      </c>
      <c r="E101" s="661">
        <f>VPI!R102</f>
        <v>20188.105039370083</v>
      </c>
      <c r="F101" s="218">
        <f>'Péréquation directe'!K108</f>
        <v>164828.99872060056</v>
      </c>
      <c r="G101" s="227">
        <f>PCS!I108</f>
        <v>305004.64340168016</v>
      </c>
      <c r="H101" s="242">
        <f>Police!L102</f>
        <v>58047.50431458863</v>
      </c>
      <c r="I101" s="320">
        <f t="shared" si="1"/>
        <v>527881.1464368694</v>
      </c>
      <c r="J101" s="133"/>
      <c r="K101" s="175"/>
      <c r="L101" s="591"/>
      <c r="M101" s="592"/>
    </row>
    <row r="102" spans="1:13" s="84" customFormat="1" x14ac:dyDescent="0.25">
      <c r="A102" s="278">
        <f>Données!A103</f>
        <v>5566</v>
      </c>
      <c r="B102" s="282" t="str">
        <f>Données!B103</f>
        <v>Provence</v>
      </c>
      <c r="C102" s="280">
        <f>VPI!Q103</f>
        <v>81</v>
      </c>
      <c r="D102" s="285">
        <f>Données!Z103</f>
        <v>411</v>
      </c>
      <c r="E102" s="661">
        <f>VPI!R103</f>
        <v>11354.81353909465</v>
      </c>
      <c r="F102" s="218">
        <f>'Péréquation directe'!K109</f>
        <v>-486749.14607116871</v>
      </c>
      <c r="G102" s="227">
        <f>PCS!I109</f>
        <v>209941.00753408414</v>
      </c>
      <c r="H102" s="242">
        <f>Police!L103</f>
        <v>33678.975113176828</v>
      </c>
      <c r="I102" s="320">
        <f t="shared" si="1"/>
        <v>-243129.16342390774</v>
      </c>
      <c r="J102" s="133"/>
      <c r="K102" s="175"/>
      <c r="L102" s="591"/>
      <c r="M102" s="592"/>
    </row>
    <row r="103" spans="1:13" s="84" customFormat="1" x14ac:dyDescent="0.25">
      <c r="A103" s="278">
        <f>Données!A104</f>
        <v>5568</v>
      </c>
      <c r="B103" s="282" t="str">
        <f>Données!B104</f>
        <v>Sainte-Croix</v>
      </c>
      <c r="C103" s="280">
        <f>VPI!Q104</f>
        <v>70</v>
      </c>
      <c r="D103" s="285">
        <f>Données!Z104</f>
        <v>5130</v>
      </c>
      <c r="E103" s="661">
        <f>VPI!R104</f>
        <v>114571.34028571429</v>
      </c>
      <c r="F103" s="218">
        <f>'Péréquation directe'!K110</f>
        <v>-4304339.4945801739</v>
      </c>
      <c r="G103" s="227">
        <f>PCS!I110</f>
        <v>2459410.6741200946</v>
      </c>
      <c r="H103" s="242">
        <f>Police!L104</f>
        <v>336199.98062414222</v>
      </c>
      <c r="I103" s="320">
        <f t="shared" si="1"/>
        <v>-1508728.8398359371</v>
      </c>
      <c r="J103" s="133"/>
      <c r="K103" s="175"/>
      <c r="L103" s="591"/>
      <c r="M103" s="592"/>
    </row>
    <row r="104" spans="1:13" s="84" customFormat="1" x14ac:dyDescent="0.25">
      <c r="A104" s="278">
        <f>Données!A105</f>
        <v>5571</v>
      </c>
      <c r="B104" s="282" t="str">
        <f>Données!B105</f>
        <v>Tévenon</v>
      </c>
      <c r="C104" s="280">
        <f>VPI!Q105</f>
        <v>71.5</v>
      </c>
      <c r="D104" s="285">
        <f>Données!Z105</f>
        <v>861</v>
      </c>
      <c r="E104" s="661">
        <f>VPI!R105</f>
        <v>26145.544382284381</v>
      </c>
      <c r="F104" s="218">
        <f>'Péréquation directe'!K111</f>
        <v>-87013.74810330011</v>
      </c>
      <c r="G104" s="227">
        <f>PCS!I111</f>
        <v>431839.53095926234</v>
      </c>
      <c r="H104" s="242">
        <f>Police!L105</f>
        <v>76549.449814131891</v>
      </c>
      <c r="I104" s="320">
        <f t="shared" si="1"/>
        <v>421375.23267009412</v>
      </c>
      <c r="J104" s="133"/>
      <c r="K104" s="175"/>
      <c r="L104" s="591"/>
      <c r="M104" s="592"/>
    </row>
    <row r="105" spans="1:13" s="84" customFormat="1" x14ac:dyDescent="0.25">
      <c r="A105" s="278">
        <f>Données!A106</f>
        <v>5581</v>
      </c>
      <c r="B105" s="282" t="str">
        <f>Données!B106</f>
        <v>Belmont-sur-Lausanne</v>
      </c>
      <c r="C105" s="280">
        <f>VPI!Q106</f>
        <v>72</v>
      </c>
      <c r="D105" s="285">
        <f>Données!Z106</f>
        <v>3922</v>
      </c>
      <c r="E105" s="661">
        <f>VPI!R106</f>
        <v>246930.40333333338</v>
      </c>
      <c r="F105" s="218">
        <f>'Péréquation directe'!K112</f>
        <v>2350447.3526676525</v>
      </c>
      <c r="G105" s="227">
        <f>PCS!I112</f>
        <v>4190414.0992704723</v>
      </c>
      <c r="H105" s="242">
        <f>Police!L106</f>
        <v>277468.09689657384</v>
      </c>
      <c r="I105" s="320">
        <f t="shared" si="1"/>
        <v>6818329.5488346983</v>
      </c>
      <c r="J105" s="133"/>
      <c r="K105" s="175"/>
      <c r="L105" s="591"/>
      <c r="M105" s="592"/>
    </row>
    <row r="106" spans="1:13" s="84" customFormat="1" x14ac:dyDescent="0.25">
      <c r="A106" s="278">
        <f>Données!A107</f>
        <v>5582</v>
      </c>
      <c r="B106" s="282" t="str">
        <f>Données!B107</f>
        <v>Cheseaux-sur-Lausanne</v>
      </c>
      <c r="C106" s="280">
        <f>VPI!Q107</f>
        <v>73</v>
      </c>
      <c r="D106" s="285">
        <f>Données!Z107</f>
        <v>4855</v>
      </c>
      <c r="E106" s="661">
        <f>VPI!R107</f>
        <v>179580.92342465755</v>
      </c>
      <c r="F106" s="218">
        <f>'Péréquation directe'!K113</f>
        <v>-248187.00871861866</v>
      </c>
      <c r="G106" s="227">
        <f>PCS!I113</f>
        <v>2524605.7924239021</v>
      </c>
      <c r="H106" s="242">
        <f>Police!L107</f>
        <v>529146.15463485639</v>
      </c>
      <c r="I106" s="320">
        <f t="shared" si="1"/>
        <v>2805564.9383401396</v>
      </c>
      <c r="J106" s="133"/>
      <c r="K106" s="175"/>
      <c r="L106" s="591"/>
      <c r="M106" s="592"/>
    </row>
    <row r="107" spans="1:13" s="84" customFormat="1" x14ac:dyDescent="0.25">
      <c r="A107" s="278">
        <f>Données!A108</f>
        <v>5583</v>
      </c>
      <c r="B107" s="282" t="str">
        <f>Données!B108</f>
        <v>Crissier</v>
      </c>
      <c r="C107" s="280">
        <f>VPI!Q108</f>
        <v>63.5</v>
      </c>
      <c r="D107" s="285">
        <f>Données!Z108</f>
        <v>10680</v>
      </c>
      <c r="E107" s="661">
        <f>VPI!R108</f>
        <v>456346.42330708652</v>
      </c>
      <c r="F107" s="218">
        <f>'Péréquation directe'!K114</f>
        <v>-1922901.2609019298</v>
      </c>
      <c r="G107" s="227">
        <f>PCS!I114</f>
        <v>8664885.8920174744</v>
      </c>
      <c r="H107" s="242">
        <f>Police!L108</f>
        <v>512782.43542026734</v>
      </c>
      <c r="I107" s="320">
        <f t="shared" si="1"/>
        <v>7254767.0665358119</v>
      </c>
      <c r="J107" s="133"/>
      <c r="K107" s="175"/>
      <c r="L107" s="591"/>
      <c r="M107" s="592"/>
    </row>
    <row r="108" spans="1:13" s="84" customFormat="1" x14ac:dyDescent="0.25">
      <c r="A108" s="278">
        <f>Données!A109</f>
        <v>5584</v>
      </c>
      <c r="B108" s="282" t="str">
        <f>Données!B109</f>
        <v>Epalinges</v>
      </c>
      <c r="C108" s="280">
        <f>VPI!Q109</f>
        <v>64.5</v>
      </c>
      <c r="D108" s="285">
        <f>Données!Z109</f>
        <v>9905</v>
      </c>
      <c r="E108" s="661">
        <f>VPI!R109</f>
        <v>527681.12604651169</v>
      </c>
      <c r="F108" s="218">
        <f>'Péréquation directe'!K115</f>
        <v>750307.85175055452</v>
      </c>
      <c r="G108" s="227">
        <f>PCS!I115</f>
        <v>7855719.4240602758</v>
      </c>
      <c r="H108" s="242">
        <f>Police!L109</f>
        <v>1505207.6541792545</v>
      </c>
      <c r="I108" s="320">
        <f t="shared" si="1"/>
        <v>10111234.929990085</v>
      </c>
      <c r="J108" s="133"/>
      <c r="K108" s="175"/>
      <c r="L108" s="591"/>
      <c r="M108" s="592"/>
    </row>
    <row r="109" spans="1:13" s="84" customFormat="1" x14ac:dyDescent="0.25">
      <c r="A109" s="278">
        <f>Données!A110</f>
        <v>5585</v>
      </c>
      <c r="B109" s="282" t="str">
        <f>Données!B110</f>
        <v>Jouxtens-Mézery</v>
      </c>
      <c r="C109" s="280">
        <f>VPI!Q110</f>
        <v>59</v>
      </c>
      <c r="D109" s="285">
        <f>Données!Z110</f>
        <v>1482</v>
      </c>
      <c r="E109" s="661">
        <f>VPI!R110</f>
        <v>207839.61429378533</v>
      </c>
      <c r="F109" s="218">
        <f>'Péréquation directe'!K116</f>
        <v>3765405.8361191163</v>
      </c>
      <c r="G109" s="227">
        <f>PCS!I116</f>
        <v>5744263.6284292508</v>
      </c>
      <c r="H109" s="242">
        <f>Police!L110</f>
        <v>370037.88931462599</v>
      </c>
      <c r="I109" s="320">
        <f t="shared" si="1"/>
        <v>9879707.3538629934</v>
      </c>
      <c r="J109" s="133"/>
      <c r="K109" s="175"/>
      <c r="L109" s="591"/>
      <c r="M109" s="592"/>
    </row>
    <row r="110" spans="1:13" s="84" customFormat="1" x14ac:dyDescent="0.25">
      <c r="A110" s="278">
        <f>Données!A111</f>
        <v>5586</v>
      </c>
      <c r="B110" s="282" t="str">
        <f>Données!B111</f>
        <v>Lausanne</v>
      </c>
      <c r="C110" s="280">
        <f>VPI!Q111</f>
        <v>78.5</v>
      </c>
      <c r="D110" s="285">
        <f>Données!Z111</f>
        <v>145037</v>
      </c>
      <c r="E110" s="661">
        <f>VPI!R111</f>
        <v>7026947.2679830147</v>
      </c>
      <c r="F110" s="218">
        <f>'Péréquation directe'!K117</f>
        <v>-74796981.416891277</v>
      </c>
      <c r="G110" s="227">
        <f>PCS!I117</f>
        <v>103000624.52555378</v>
      </c>
      <c r="H110" s="242">
        <f>Police!L111</f>
        <v>7895964.4463376896</v>
      </c>
      <c r="I110" s="320">
        <f t="shared" si="1"/>
        <v>36099607.555000193</v>
      </c>
      <c r="J110" s="133"/>
      <c r="K110" s="175"/>
      <c r="L110" s="591"/>
      <c r="M110" s="592"/>
    </row>
    <row r="111" spans="1:13" s="84" customFormat="1" x14ac:dyDescent="0.25">
      <c r="A111" s="278">
        <f>Données!A112</f>
        <v>5587</v>
      </c>
      <c r="B111" s="282" t="str">
        <f>Données!B112</f>
        <v>Le Mont-sur-Lausanne</v>
      </c>
      <c r="C111" s="280">
        <f>VPI!Q112</f>
        <v>72</v>
      </c>
      <c r="D111" s="285">
        <f>Données!Z112</f>
        <v>9543</v>
      </c>
      <c r="E111" s="661">
        <f>VPI!R112</f>
        <v>515123.14148148138</v>
      </c>
      <c r="F111" s="218">
        <f>'Péréquation directe'!K118</f>
        <v>2684973.6488170326</v>
      </c>
      <c r="G111" s="227">
        <f>PCS!I118</f>
        <v>8814985.2751067095</v>
      </c>
      <c r="H111" s="242">
        <f>Police!L112</f>
        <v>1457755.7714975716</v>
      </c>
      <c r="I111" s="320">
        <f t="shared" si="1"/>
        <v>12957714.695421314</v>
      </c>
      <c r="J111" s="133"/>
      <c r="K111" s="175"/>
      <c r="L111" s="591"/>
      <c r="M111" s="592"/>
    </row>
    <row r="112" spans="1:13" s="84" customFormat="1" x14ac:dyDescent="0.25">
      <c r="A112" s="278">
        <f>Données!A113</f>
        <v>5588</v>
      </c>
      <c r="B112" s="282" t="str">
        <f>Données!B113</f>
        <v>Paudex</v>
      </c>
      <c r="C112" s="280">
        <f>VPI!Q113</f>
        <v>66.5</v>
      </c>
      <c r="D112" s="285">
        <f>Données!Z113</f>
        <v>1512</v>
      </c>
      <c r="E112" s="661">
        <f>VPI!R113</f>
        <v>151788.7450912997</v>
      </c>
      <c r="F112" s="218">
        <f>'Péréquation directe'!K119</f>
        <v>2654547.2641280517</v>
      </c>
      <c r="G112" s="227">
        <f>PCS!I119</f>
        <v>3852971.2463153526</v>
      </c>
      <c r="H112" s="242">
        <f>Police!L113</f>
        <v>170560.34276163491</v>
      </c>
      <c r="I112" s="320">
        <f t="shared" si="1"/>
        <v>6678078.8532050392</v>
      </c>
      <c r="J112" s="133"/>
      <c r="K112" s="175"/>
      <c r="L112" s="591"/>
      <c r="M112" s="592"/>
    </row>
    <row r="113" spans="1:13" s="84" customFormat="1" x14ac:dyDescent="0.25">
      <c r="A113" s="278">
        <f>Données!A114</f>
        <v>5589</v>
      </c>
      <c r="B113" s="282" t="str">
        <f>Données!B114</f>
        <v>Prilly</v>
      </c>
      <c r="C113" s="280">
        <f>VPI!Q114</f>
        <v>72.5</v>
      </c>
      <c r="D113" s="285">
        <f>Données!Z114</f>
        <v>12766</v>
      </c>
      <c r="E113" s="661">
        <f>VPI!R114</f>
        <v>442584.39482228115</v>
      </c>
      <c r="F113" s="218">
        <f>'Péréquation directe'!K120</f>
        <v>-7168110.7066572085</v>
      </c>
      <c r="G113" s="227">
        <f>PCS!I120</f>
        <v>7724337.7238320317</v>
      </c>
      <c r="H113" s="242">
        <f>Police!L114</f>
        <v>497318.46742941317</v>
      </c>
      <c r="I113" s="320">
        <f t="shared" si="1"/>
        <v>1053545.4846042364</v>
      </c>
      <c r="J113" s="133"/>
      <c r="K113" s="175"/>
      <c r="L113" s="591"/>
      <c r="M113" s="592"/>
    </row>
    <row r="114" spans="1:13" s="84" customFormat="1" x14ac:dyDescent="0.25">
      <c r="A114" s="278">
        <f>Données!A115</f>
        <v>5590</v>
      </c>
      <c r="B114" s="282" t="str">
        <f>Données!B115</f>
        <v>Pully</v>
      </c>
      <c r="C114" s="280">
        <f>VPI!Q115</f>
        <v>61</v>
      </c>
      <c r="D114" s="285">
        <f>Données!Z115</f>
        <v>19545</v>
      </c>
      <c r="E114" s="661">
        <f>VPI!R115</f>
        <v>1670113.1662763469</v>
      </c>
      <c r="F114" s="218">
        <f>'Péréquation directe'!K121</f>
        <v>14597424.203409858</v>
      </c>
      <c r="G114" s="227">
        <f>PCS!I121</f>
        <v>38495129.811477527</v>
      </c>
      <c r="H114" s="242">
        <f>Police!L115</f>
        <v>1876654.7804283847</v>
      </c>
      <c r="I114" s="320">
        <f t="shared" si="1"/>
        <v>54969208.795315772</v>
      </c>
      <c r="J114" s="133"/>
      <c r="K114" s="175"/>
      <c r="L114" s="591"/>
      <c r="M114" s="592"/>
    </row>
    <row r="115" spans="1:13" s="84" customFormat="1" x14ac:dyDescent="0.25">
      <c r="A115" s="278">
        <f>Données!A116</f>
        <v>5591</v>
      </c>
      <c r="B115" s="282" t="str">
        <f>Données!B116</f>
        <v>Renens</v>
      </c>
      <c r="C115" s="280">
        <f>VPI!Q116</f>
        <v>77</v>
      </c>
      <c r="D115" s="285">
        <f>Données!Z116</f>
        <v>21568</v>
      </c>
      <c r="E115" s="661">
        <f>VPI!R116</f>
        <v>627232.40092764387</v>
      </c>
      <c r="F115" s="218">
        <f>'Péréquation directe'!K122</f>
        <v>-23330554.458534453</v>
      </c>
      <c r="G115" s="227">
        <f>PCS!I122</f>
        <v>9662844.1040050238</v>
      </c>
      <c r="H115" s="242">
        <f>Police!L116</f>
        <v>704801.75080882292</v>
      </c>
      <c r="I115" s="320">
        <f t="shared" si="1"/>
        <v>-12962908.603720605</v>
      </c>
      <c r="J115" s="133"/>
      <c r="K115" s="175"/>
      <c r="L115" s="591"/>
      <c r="M115" s="592"/>
    </row>
    <row r="116" spans="1:13" s="84" customFormat="1" x14ac:dyDescent="0.25">
      <c r="A116" s="278">
        <f>Données!A117</f>
        <v>5592</v>
      </c>
      <c r="B116" s="282" t="str">
        <f>Données!B117</f>
        <v>Romanel-sur-Lausanne</v>
      </c>
      <c r="C116" s="280">
        <f>VPI!Q117</f>
        <v>70.5</v>
      </c>
      <c r="D116" s="285">
        <f>Données!Z117</f>
        <v>4325</v>
      </c>
      <c r="E116" s="661">
        <f>VPI!R117</f>
        <v>146863.22056737586</v>
      </c>
      <c r="F116" s="218">
        <f>'Péréquation directe'!K123</f>
        <v>-253547.19410759537</v>
      </c>
      <c r="G116" s="227">
        <f>PCS!I123</f>
        <v>2383366.9575497033</v>
      </c>
      <c r="H116" s="242">
        <f>Police!L117</f>
        <v>428269.14991587144</v>
      </c>
      <c r="I116" s="320">
        <f t="shared" si="1"/>
        <v>2558088.9133579796</v>
      </c>
      <c r="J116" s="133"/>
      <c r="K116" s="175"/>
      <c r="L116" s="591"/>
      <c r="M116" s="592"/>
    </row>
    <row r="117" spans="1:13" s="84" customFormat="1" x14ac:dyDescent="0.25">
      <c r="A117" s="278">
        <f>Données!A118</f>
        <v>5601</v>
      </c>
      <c r="B117" s="282" t="str">
        <f>Données!B118</f>
        <v>Chexbres</v>
      </c>
      <c r="C117" s="280">
        <f>VPI!Q118</f>
        <v>67.5</v>
      </c>
      <c r="D117" s="285">
        <f>Données!Z118</f>
        <v>2263</v>
      </c>
      <c r="E117" s="661">
        <f>VPI!R118</f>
        <v>111006.30192592592</v>
      </c>
      <c r="F117" s="218">
        <f>'Péréquation directe'!K124</f>
        <v>1241008.456872487</v>
      </c>
      <c r="G117" s="227">
        <f>PCS!I124</f>
        <v>1998638.3720959027</v>
      </c>
      <c r="H117" s="242">
        <f>Police!L118</f>
        <v>124734.36613366325</v>
      </c>
      <c r="I117" s="320">
        <f t="shared" si="1"/>
        <v>3364381.1951020532</v>
      </c>
      <c r="J117" s="133"/>
      <c r="K117" s="175"/>
      <c r="L117" s="591"/>
      <c r="M117" s="592"/>
    </row>
    <row r="118" spans="1:13" s="84" customFormat="1" x14ac:dyDescent="0.25">
      <c r="A118" s="278">
        <f>Données!A119</f>
        <v>5604</v>
      </c>
      <c r="B118" s="282" t="str">
        <f>Données!B119</f>
        <v>Forel (Lavaux)</v>
      </c>
      <c r="C118" s="280">
        <f>VPI!Q119</f>
        <v>69</v>
      </c>
      <c r="D118" s="285">
        <f>Données!Z119</f>
        <v>2088</v>
      </c>
      <c r="E118" s="661">
        <f>VPI!R119</f>
        <v>74097.487681159415</v>
      </c>
      <c r="F118" s="218">
        <f>'Péréquation directe'!K125</f>
        <v>-21631.913569610566</v>
      </c>
      <c r="G118" s="227">
        <f>PCS!I125</f>
        <v>1031444.2419639383</v>
      </c>
      <c r="H118" s="242">
        <f>Police!L119</f>
        <v>217640.97728842925</v>
      </c>
      <c r="I118" s="320">
        <f t="shared" si="1"/>
        <v>1227453.3056827569</v>
      </c>
      <c r="J118" s="133"/>
      <c r="K118" s="175"/>
      <c r="L118" s="591"/>
      <c r="M118" s="592"/>
    </row>
    <row r="119" spans="1:13" s="84" customFormat="1" x14ac:dyDescent="0.25">
      <c r="A119" s="278">
        <f>Données!A120</f>
        <v>5606</v>
      </c>
      <c r="B119" s="282" t="str">
        <f>Données!B120</f>
        <v>Lutry</v>
      </c>
      <c r="C119" s="280">
        <f>VPI!Q120</f>
        <v>54</v>
      </c>
      <c r="D119" s="285">
        <f>Données!Z120</f>
        <v>10750</v>
      </c>
      <c r="E119" s="661">
        <f>VPI!R120</f>
        <v>967121.48857142858</v>
      </c>
      <c r="F119" s="218">
        <f>'Péréquation directe'!K126</f>
        <v>10960644.570807196</v>
      </c>
      <c r="G119" s="227">
        <f>PCS!I126</f>
        <v>21928511.401554618</v>
      </c>
      <c r="H119" s="242">
        <f>Police!L120</f>
        <v>1086724.6611971646</v>
      </c>
      <c r="I119" s="320">
        <f t="shared" si="1"/>
        <v>33975880.633558981</v>
      </c>
      <c r="J119" s="133"/>
      <c r="K119" s="175"/>
      <c r="L119" s="591"/>
      <c r="M119" s="592"/>
    </row>
    <row r="120" spans="1:13" s="84" customFormat="1" x14ac:dyDescent="0.25">
      <c r="A120" s="278">
        <f>Données!A121</f>
        <v>5607</v>
      </c>
      <c r="B120" s="282" t="str">
        <f>Données!B121</f>
        <v>Puidoux</v>
      </c>
      <c r="C120" s="280">
        <f>VPI!Q121</f>
        <v>68.5</v>
      </c>
      <c r="D120" s="285">
        <f>Données!Z121</f>
        <v>2976</v>
      </c>
      <c r="E120" s="661">
        <f>VPI!R121</f>
        <v>136783.21297365916</v>
      </c>
      <c r="F120" s="218">
        <f>'Péréquation directe'!K127</f>
        <v>702333.78433068655</v>
      </c>
      <c r="G120" s="227">
        <f>PCS!I127</f>
        <v>1774635.1912794844</v>
      </c>
      <c r="H120" s="242">
        <f>Police!L121</f>
        <v>153699.08799754773</v>
      </c>
      <c r="I120" s="320">
        <f t="shared" si="1"/>
        <v>2630668.0636077188</v>
      </c>
      <c r="J120" s="133"/>
      <c r="K120" s="175"/>
      <c r="L120" s="591"/>
      <c r="M120" s="592"/>
    </row>
    <row r="121" spans="1:13" s="84" customFormat="1" x14ac:dyDescent="0.25">
      <c r="A121" s="278">
        <f>Données!A122</f>
        <v>5609</v>
      </c>
      <c r="B121" s="282" t="str">
        <f>Données!B122</f>
        <v>Rivaz</v>
      </c>
      <c r="C121" s="280">
        <f>VPI!Q122</f>
        <v>62</v>
      </c>
      <c r="D121" s="285">
        <f>Données!Z122</f>
        <v>329</v>
      </c>
      <c r="E121" s="661">
        <f>VPI!R122</f>
        <v>15606.865161290323</v>
      </c>
      <c r="F121" s="218">
        <f>'Péréquation directe'!K128</f>
        <v>188883.53653676843</v>
      </c>
      <c r="G121" s="227">
        <f>PCS!I128</f>
        <v>230684.52329828913</v>
      </c>
      <c r="H121" s="242">
        <f>Police!L122</f>
        <v>17536.954203970639</v>
      </c>
      <c r="I121" s="320">
        <f t="shared" si="1"/>
        <v>437105.0140390282</v>
      </c>
      <c r="J121" s="133"/>
      <c r="K121" s="175"/>
      <c r="L121" s="591"/>
      <c r="M121" s="592"/>
    </row>
    <row r="122" spans="1:13" s="84" customFormat="1" x14ac:dyDescent="0.25">
      <c r="A122" s="278">
        <f>Données!A123</f>
        <v>5610</v>
      </c>
      <c r="B122" s="282" t="str">
        <f>Données!B123</f>
        <v>St-Saphorin (Lavaux)</v>
      </c>
      <c r="C122" s="280">
        <f>VPI!Q123</f>
        <v>74</v>
      </c>
      <c r="D122" s="285">
        <f>Données!Z123</f>
        <v>389</v>
      </c>
      <c r="E122" s="661">
        <f>VPI!R123</f>
        <v>17690.752229729729</v>
      </c>
      <c r="F122" s="218">
        <f>'Péréquation directe'!K129</f>
        <v>63874.610736090166</v>
      </c>
      <c r="G122" s="227">
        <f>PCS!I129</f>
        <v>228461.61860722111</v>
      </c>
      <c r="H122" s="242">
        <f>Police!L123</f>
        <v>19878.55398764219</v>
      </c>
      <c r="I122" s="320">
        <f t="shared" si="1"/>
        <v>312214.78333095345</v>
      </c>
      <c r="J122" s="133"/>
      <c r="K122" s="175"/>
      <c r="L122" s="591"/>
      <c r="M122" s="592"/>
    </row>
    <row r="123" spans="1:13" s="84" customFormat="1" x14ac:dyDescent="0.25">
      <c r="A123" s="278">
        <f>Données!A124</f>
        <v>5611</v>
      </c>
      <c r="B123" s="282" t="str">
        <f>Données!B124</f>
        <v>Savigny</v>
      </c>
      <c r="C123" s="280">
        <f>VPI!Q124</f>
        <v>69</v>
      </c>
      <c r="D123" s="285">
        <f>Données!Z124</f>
        <v>3506</v>
      </c>
      <c r="E123" s="661">
        <f>VPI!R124</f>
        <v>157298.88888888891</v>
      </c>
      <c r="F123" s="218">
        <f>'Péréquation directe'!K130</f>
        <v>1055185.9317292375</v>
      </c>
      <c r="G123" s="227">
        <f>PCS!I130</f>
        <v>2467986.2638900457</v>
      </c>
      <c r="H123" s="242">
        <f>Police!L124</f>
        <v>176751.92181591474</v>
      </c>
      <c r="I123" s="320">
        <f t="shared" si="1"/>
        <v>3699924.1174351978</v>
      </c>
      <c r="J123" s="133"/>
      <c r="K123" s="175"/>
      <c r="L123" s="591"/>
      <c r="M123" s="592"/>
    </row>
    <row r="124" spans="1:13" s="84" customFormat="1" x14ac:dyDescent="0.25">
      <c r="A124" s="278">
        <f>Données!A125</f>
        <v>5613</v>
      </c>
      <c r="B124" s="282" t="str">
        <f>Données!B125</f>
        <v>Bourg-en-Lavaux</v>
      </c>
      <c r="C124" s="280">
        <f>VPI!Q125</f>
        <v>62.5</v>
      </c>
      <c r="D124" s="285">
        <f>Données!Z125</f>
        <v>5465</v>
      </c>
      <c r="E124" s="661">
        <f>VPI!R125</f>
        <v>362275.1242133333</v>
      </c>
      <c r="F124" s="218">
        <f>'Péréquation directe'!K131</f>
        <v>4870324.404598562</v>
      </c>
      <c r="G124" s="227">
        <f>PCS!I131</f>
        <v>6691850.3008040637</v>
      </c>
      <c r="H124" s="242">
        <f>Police!L125</f>
        <v>407077.41092841857</v>
      </c>
      <c r="I124" s="320">
        <f t="shared" si="1"/>
        <v>11969252.116331045</v>
      </c>
      <c r="J124" s="133"/>
      <c r="K124" s="175"/>
      <c r="L124" s="591"/>
      <c r="M124" s="592"/>
    </row>
    <row r="125" spans="1:13" s="84" customFormat="1" x14ac:dyDescent="0.25">
      <c r="A125" s="278">
        <f>Données!A126</f>
        <v>5621</v>
      </c>
      <c r="B125" s="282" t="str">
        <f>Données!B126</f>
        <v>Aclens</v>
      </c>
      <c r="C125" s="280">
        <f>VPI!Q126</f>
        <v>60</v>
      </c>
      <c r="D125" s="285">
        <f>Données!Z126</f>
        <v>587</v>
      </c>
      <c r="E125" s="661">
        <f>VPI!R126</f>
        <v>31275.873303030305</v>
      </c>
      <c r="F125" s="218">
        <f>'Péréquation directe'!K132</f>
        <v>444579.89722029178</v>
      </c>
      <c r="G125" s="227">
        <f>PCS!I132</f>
        <v>570109.43247191666</v>
      </c>
      <c r="H125" s="242">
        <f>Police!L126</f>
        <v>86047.299229780765</v>
      </c>
      <c r="I125" s="320">
        <f t="shared" si="1"/>
        <v>1100736.6289219891</v>
      </c>
      <c r="J125" s="133"/>
      <c r="K125" s="175"/>
      <c r="L125" s="591"/>
      <c r="M125" s="592"/>
    </row>
    <row r="126" spans="1:13" s="84" customFormat="1" x14ac:dyDescent="0.25">
      <c r="A126" s="278">
        <f>Données!A127</f>
        <v>5622</v>
      </c>
      <c r="B126" s="282" t="str">
        <f>Données!B127</f>
        <v>Bremblens</v>
      </c>
      <c r="C126" s="280">
        <f>VPI!Q127</f>
        <v>68</v>
      </c>
      <c r="D126" s="285">
        <f>Données!Z127</f>
        <v>615</v>
      </c>
      <c r="E126" s="661">
        <f>VPI!R127</f>
        <v>29645.912352941177</v>
      </c>
      <c r="F126" s="218">
        <f>'Péréquation directe'!K133</f>
        <v>479874.27089793305</v>
      </c>
      <c r="G126" s="227">
        <f>PCS!I133</f>
        <v>356771.37175930798</v>
      </c>
      <c r="H126" s="242">
        <f>Police!L127</f>
        <v>87483.841945589753</v>
      </c>
      <c r="I126" s="320">
        <f t="shared" si="1"/>
        <v>924129.48460283084</v>
      </c>
      <c r="J126" s="133"/>
      <c r="K126" s="175"/>
      <c r="L126" s="591"/>
      <c r="M126" s="592"/>
    </row>
    <row r="127" spans="1:13" s="84" customFormat="1" x14ac:dyDescent="0.25">
      <c r="A127" s="278">
        <f>Données!A128</f>
        <v>5623</v>
      </c>
      <c r="B127" s="282" t="str">
        <f>Données!B128</f>
        <v>Buchillon</v>
      </c>
      <c r="C127" s="280">
        <f>VPI!Q128</f>
        <v>52</v>
      </c>
      <c r="D127" s="285">
        <f>Données!Z128</f>
        <v>686</v>
      </c>
      <c r="E127" s="661">
        <f>VPI!R128</f>
        <v>102629.43480769232</v>
      </c>
      <c r="F127" s="218">
        <f>'Péréquation directe'!K134</f>
        <v>1922358.922929995</v>
      </c>
      <c r="G127" s="227">
        <f>PCS!I134</f>
        <v>3142065.9124013819</v>
      </c>
      <c r="H127" s="242">
        <f>Police!L128</f>
        <v>115321.53828469985</v>
      </c>
      <c r="I127" s="320">
        <f t="shared" si="1"/>
        <v>5179746.3736160761</v>
      </c>
      <c r="J127" s="133"/>
      <c r="K127" s="175"/>
      <c r="L127" s="591"/>
      <c r="M127" s="592"/>
    </row>
    <row r="128" spans="1:13" s="84" customFormat="1" x14ac:dyDescent="0.25">
      <c r="A128" s="278">
        <f>Données!A129</f>
        <v>5624</v>
      </c>
      <c r="B128" s="282" t="str">
        <f>Données!B129</f>
        <v>Bussigny</v>
      </c>
      <c r="C128" s="280">
        <f>VPI!Q129</f>
        <v>62.5</v>
      </c>
      <c r="D128" s="285">
        <f>Données!Z129</f>
        <v>11667</v>
      </c>
      <c r="E128" s="661">
        <f>VPI!R129</f>
        <v>450667.46672000003</v>
      </c>
      <c r="F128" s="218">
        <f>'Péréquation directe'!K135</f>
        <v>-2663169.580052264</v>
      </c>
      <c r="G128" s="227">
        <f>PCS!I135</f>
        <v>6233909.4216877017</v>
      </c>
      <c r="H128" s="242">
        <f>Police!L129</f>
        <v>506401.16662830714</v>
      </c>
      <c r="I128" s="320">
        <f t="shared" si="1"/>
        <v>4077141.0082637449</v>
      </c>
      <c r="J128" s="133"/>
      <c r="K128" s="175"/>
      <c r="L128" s="591"/>
      <c r="M128" s="592"/>
    </row>
    <row r="129" spans="1:13" s="84" customFormat="1" x14ac:dyDescent="0.25">
      <c r="A129" s="278">
        <f>Données!A130</f>
        <v>5627</v>
      </c>
      <c r="B129" s="282" t="str">
        <f>Données!B130</f>
        <v>Chavannes-près-Renens</v>
      </c>
      <c r="C129" s="280">
        <f>VPI!Q130</f>
        <v>77.5</v>
      </c>
      <c r="D129" s="285">
        <f>Données!Z130</f>
        <v>9771</v>
      </c>
      <c r="E129" s="661">
        <f>VPI!R130</f>
        <v>202046.51840860216</v>
      </c>
      <c r="F129" s="218">
        <f>'Péréquation directe'!K136</f>
        <v>-8094896.2358352467</v>
      </c>
      <c r="G129" s="227">
        <f>PCS!I136</f>
        <v>3284241.8561973562</v>
      </c>
      <c r="H129" s="242">
        <f>Police!L130</f>
        <v>227033.45635302589</v>
      </c>
      <c r="I129" s="320">
        <f t="shared" si="1"/>
        <v>-4583620.923284865</v>
      </c>
      <c r="J129" s="133"/>
      <c r="K129" s="175"/>
      <c r="L129" s="591"/>
      <c r="M129" s="592"/>
    </row>
    <row r="130" spans="1:13" s="84" customFormat="1" x14ac:dyDescent="0.25">
      <c r="A130" s="278">
        <f>Données!A131</f>
        <v>5628</v>
      </c>
      <c r="B130" s="282" t="str">
        <f>Données!B131</f>
        <v>Chigny</v>
      </c>
      <c r="C130" s="280">
        <f>VPI!Q131</f>
        <v>62</v>
      </c>
      <c r="D130" s="285">
        <f>Données!Z131</f>
        <v>420</v>
      </c>
      <c r="E130" s="661">
        <f>VPI!R131</f>
        <v>31766.144193548385</v>
      </c>
      <c r="F130" s="218">
        <f>'Péréquation directe'!K137</f>
        <v>567410.13017206872</v>
      </c>
      <c r="G130" s="227">
        <f>PCS!I137</f>
        <v>641105.18367405748</v>
      </c>
      <c r="H130" s="242">
        <f>Police!L131</f>
        <v>74377.406711161952</v>
      </c>
      <c r="I130" s="320">
        <f t="shared" si="1"/>
        <v>1282892.7205572883</v>
      </c>
      <c r="J130" s="133"/>
      <c r="K130" s="175"/>
      <c r="L130" s="591"/>
      <c r="M130" s="592"/>
    </row>
    <row r="131" spans="1:13" s="84" customFormat="1" x14ac:dyDescent="0.25">
      <c r="A131" s="278">
        <f>Données!A132</f>
        <v>5629</v>
      </c>
      <c r="B131" s="282" t="str">
        <f>Données!B132</f>
        <v>Clarmont</v>
      </c>
      <c r="C131" s="280">
        <f>VPI!Q132</f>
        <v>72</v>
      </c>
      <c r="D131" s="285">
        <f>Données!Z132</f>
        <v>228</v>
      </c>
      <c r="E131" s="661">
        <f>VPI!R132</f>
        <v>8028.6466666666693</v>
      </c>
      <c r="F131" s="218">
        <f>'Péréquation directe'!K138</f>
        <v>-7758.1568620322214</v>
      </c>
      <c r="G131" s="227">
        <f>PCS!I138</f>
        <v>108831.98012861569</v>
      </c>
      <c r="H131" s="242">
        <f>Police!L132</f>
        <v>23968.80879682197</v>
      </c>
      <c r="I131" s="320">
        <f t="shared" si="1"/>
        <v>125042.63206340544</v>
      </c>
      <c r="J131" s="133"/>
      <c r="K131" s="175"/>
      <c r="L131" s="591"/>
      <c r="M131" s="592"/>
    </row>
    <row r="132" spans="1:13" s="84" customFormat="1" x14ac:dyDescent="0.25">
      <c r="A132" s="278">
        <f>Données!A133</f>
        <v>5631</v>
      </c>
      <c r="B132" s="282" t="str">
        <f>Données!B133</f>
        <v>Denens</v>
      </c>
      <c r="C132" s="280">
        <f>VPI!Q133</f>
        <v>65</v>
      </c>
      <c r="D132" s="285">
        <f>Données!Z133</f>
        <v>742</v>
      </c>
      <c r="E132" s="661">
        <f>VPI!R133</f>
        <v>46857.544615384613</v>
      </c>
      <c r="F132" s="218">
        <f>'Péréquation directe'!K139</f>
        <v>820695.62579919421</v>
      </c>
      <c r="G132" s="227">
        <f>PCS!I139</f>
        <v>739118.75628752983</v>
      </c>
      <c r="H132" s="242">
        <f>Police!L133</f>
        <v>120991.93771840063</v>
      </c>
      <c r="I132" s="320">
        <f t="shared" si="1"/>
        <v>1680806.3198051248</v>
      </c>
      <c r="J132" s="133"/>
      <c r="K132" s="175"/>
      <c r="L132" s="591"/>
      <c r="M132" s="592"/>
    </row>
    <row r="133" spans="1:13" s="84" customFormat="1" x14ac:dyDescent="0.25">
      <c r="A133" s="278">
        <f>Données!A134</f>
        <v>5632</v>
      </c>
      <c r="B133" s="282" t="str">
        <f>Données!B134</f>
        <v>Denges</v>
      </c>
      <c r="C133" s="280">
        <f>VPI!Q134</f>
        <v>62</v>
      </c>
      <c r="D133" s="285">
        <f>Données!Z134</f>
        <v>1837</v>
      </c>
      <c r="E133" s="661">
        <f>VPI!R134</f>
        <v>84931.199193548397</v>
      </c>
      <c r="F133" s="218">
        <f>'Péréquation directe'!K140</f>
        <v>1024295.1751385274</v>
      </c>
      <c r="G133" s="227">
        <f>PCS!I140</f>
        <v>1294296.4072621781</v>
      </c>
      <c r="H133" s="242">
        <f>Police!L134</f>
        <v>250784.77383533015</v>
      </c>
      <c r="I133" s="320">
        <f t="shared" si="1"/>
        <v>2569376.3562360359</v>
      </c>
      <c r="J133" s="133"/>
      <c r="K133" s="175"/>
      <c r="L133" s="591"/>
      <c r="M133" s="592"/>
    </row>
    <row r="134" spans="1:13" s="84" customFormat="1" x14ac:dyDescent="0.25">
      <c r="A134" s="278">
        <f>Données!A135</f>
        <v>5633</v>
      </c>
      <c r="B134" s="282" t="str">
        <f>Données!B135</f>
        <v>Echandens</v>
      </c>
      <c r="C134" s="280">
        <f>VPI!Q135</f>
        <v>60.5</v>
      </c>
      <c r="D134" s="285">
        <f>Données!Z135</f>
        <v>3004</v>
      </c>
      <c r="E134" s="661">
        <f>VPI!R135</f>
        <v>152816.5752066116</v>
      </c>
      <c r="F134" s="218">
        <f>'Péréquation directe'!K141</f>
        <v>1311717.9144249712</v>
      </c>
      <c r="G134" s="227">
        <f>PCS!I141</f>
        <v>2390194.8300015694</v>
      </c>
      <c r="H134" s="242">
        <f>Police!L135</f>
        <v>448389.17566998978</v>
      </c>
      <c r="I134" s="320">
        <f t="shared" ref="I134:I197" si="2">SUM(F134:H134)</f>
        <v>4150301.9200965306</v>
      </c>
      <c r="J134" s="133"/>
      <c r="K134" s="175"/>
      <c r="L134" s="591"/>
      <c r="M134" s="592"/>
    </row>
    <row r="135" spans="1:13" s="84" customFormat="1" x14ac:dyDescent="0.25">
      <c r="A135" s="278">
        <f>Données!A136</f>
        <v>5634</v>
      </c>
      <c r="B135" s="282" t="str">
        <f>Données!B136</f>
        <v>Echichens</v>
      </c>
      <c r="C135" s="280">
        <f>VPI!Q136</f>
        <v>66</v>
      </c>
      <c r="D135" s="285">
        <f>Données!Z136</f>
        <v>3218</v>
      </c>
      <c r="E135" s="661">
        <f>VPI!R136</f>
        <v>172315.76318181818</v>
      </c>
      <c r="F135" s="218">
        <f>'Péréquation directe'!K142</f>
        <v>2214883.9421969727</v>
      </c>
      <c r="G135" s="227">
        <f>PCS!I142</f>
        <v>2589704.8537867228</v>
      </c>
      <c r="H135" s="242">
        <f>Police!L136</f>
        <v>490009.60449350625</v>
      </c>
      <c r="I135" s="320">
        <f t="shared" si="2"/>
        <v>5294598.4004772017</v>
      </c>
      <c r="J135" s="133"/>
      <c r="K135" s="175"/>
      <c r="L135" s="591"/>
      <c r="M135" s="592"/>
    </row>
    <row r="136" spans="1:13" s="84" customFormat="1" x14ac:dyDescent="0.25">
      <c r="A136" s="278">
        <f>Données!A137</f>
        <v>5635</v>
      </c>
      <c r="B136" s="282" t="str">
        <f>Données!B137</f>
        <v>Ecublens</v>
      </c>
      <c r="C136" s="280">
        <f>VPI!Q137</f>
        <v>62.5</v>
      </c>
      <c r="D136" s="285">
        <f>Données!Z137</f>
        <v>13391</v>
      </c>
      <c r="E136" s="661">
        <f>VPI!R137</f>
        <v>544882.47829333332</v>
      </c>
      <c r="F136" s="218">
        <f>'Péréquation directe'!K143</f>
        <v>-3929915.1348156258</v>
      </c>
      <c r="G136" s="227">
        <f>PCS!I143</f>
        <v>8539197.2055107318</v>
      </c>
      <c r="H136" s="242">
        <f>Police!L137</f>
        <v>612267.67641184572</v>
      </c>
      <c r="I136" s="320">
        <f t="shared" si="2"/>
        <v>5221549.7471069517</v>
      </c>
      <c r="J136" s="133"/>
      <c r="K136" s="175"/>
      <c r="L136" s="591"/>
      <c r="M136" s="592"/>
    </row>
    <row r="137" spans="1:13" s="84" customFormat="1" x14ac:dyDescent="0.25">
      <c r="A137" s="278">
        <f>Données!A138</f>
        <v>5636</v>
      </c>
      <c r="B137" s="282" t="str">
        <f>Données!B138</f>
        <v>Etoy</v>
      </c>
      <c r="C137" s="280">
        <f>VPI!Q138</f>
        <v>60</v>
      </c>
      <c r="D137" s="285">
        <f>Données!Z138</f>
        <v>2966</v>
      </c>
      <c r="E137" s="661">
        <f>VPI!R138</f>
        <v>214499.46883333332</v>
      </c>
      <c r="F137" s="218">
        <f>'Péréquation directe'!K144</f>
        <v>3343749.4964279197</v>
      </c>
      <c r="G137" s="227">
        <f>PCS!I144</f>
        <v>3739020.4806547379</v>
      </c>
      <c r="H137" s="242">
        <f>Police!L138</f>
        <v>514200.47596484295</v>
      </c>
      <c r="I137" s="320">
        <f t="shared" si="2"/>
        <v>7596970.4530475009</v>
      </c>
      <c r="J137" s="133"/>
      <c r="K137" s="175"/>
      <c r="L137" s="591"/>
      <c r="M137" s="592"/>
    </row>
    <row r="138" spans="1:13" s="84" customFormat="1" x14ac:dyDescent="0.25">
      <c r="A138" s="278">
        <f>Données!A139</f>
        <v>5637</v>
      </c>
      <c r="B138" s="282" t="str">
        <f>Données!B139</f>
        <v>Lavigny</v>
      </c>
      <c r="C138" s="280">
        <f>VPI!Q139</f>
        <v>73</v>
      </c>
      <c r="D138" s="285">
        <f>Données!Z139</f>
        <v>1100</v>
      </c>
      <c r="E138" s="661">
        <f>VPI!R139</f>
        <v>37437.327945205478</v>
      </c>
      <c r="F138" s="218">
        <f>'Péréquation directe'!K145</f>
        <v>-1522429.5050824978</v>
      </c>
      <c r="G138" s="227">
        <f>PCS!I145</f>
        <v>638665.96674368461</v>
      </c>
      <c r="H138" s="242">
        <f>Police!L139</f>
        <v>110969.41165670982</v>
      </c>
      <c r="I138" s="320">
        <f t="shared" si="2"/>
        <v>-772794.12668210338</v>
      </c>
      <c r="J138" s="133"/>
      <c r="K138" s="175"/>
      <c r="L138" s="591"/>
      <c r="M138" s="592"/>
    </row>
    <row r="139" spans="1:13" s="84" customFormat="1" x14ac:dyDescent="0.25">
      <c r="A139" s="278">
        <f>Données!A140</f>
        <v>5638</v>
      </c>
      <c r="B139" s="282" t="str">
        <f>Données!B140</f>
        <v>Lonay</v>
      </c>
      <c r="C139" s="280">
        <f>VPI!Q140</f>
        <v>55</v>
      </c>
      <c r="D139" s="285">
        <f>Données!Z140</f>
        <v>2733</v>
      </c>
      <c r="E139" s="661">
        <f>VPI!R140</f>
        <v>156370.75327272728</v>
      </c>
      <c r="F139" s="218">
        <f>'Péréquation directe'!K146</f>
        <v>1831746.1506127808</v>
      </c>
      <c r="G139" s="227">
        <f>PCS!I146</f>
        <v>3982850.0544711137</v>
      </c>
      <c r="H139" s="242">
        <f>Police!L140</f>
        <v>427423.30077634857</v>
      </c>
      <c r="I139" s="320">
        <f t="shared" si="2"/>
        <v>6242019.505860243</v>
      </c>
      <c r="J139" s="133"/>
      <c r="K139" s="175"/>
      <c r="L139" s="591"/>
      <c r="M139" s="592"/>
    </row>
    <row r="140" spans="1:13" s="84" customFormat="1" x14ac:dyDescent="0.25">
      <c r="A140" s="278">
        <f>Données!A141</f>
        <v>5639</v>
      </c>
      <c r="B140" s="282" t="str">
        <f>Données!B141</f>
        <v>Lully</v>
      </c>
      <c r="C140" s="280">
        <f>VPI!Q141</f>
        <v>61</v>
      </c>
      <c r="D140" s="285">
        <f>Données!Z141</f>
        <v>838</v>
      </c>
      <c r="E140" s="661">
        <f>VPI!R141</f>
        <v>55829.926885245906</v>
      </c>
      <c r="F140" s="218">
        <f>'Péréquation directe'!K147</f>
        <v>983969.20470782754</v>
      </c>
      <c r="G140" s="227">
        <f>PCS!I147</f>
        <v>1090120.7268487611</v>
      </c>
      <c r="H140" s="242">
        <f>Police!L141</f>
        <v>139915.70312557148</v>
      </c>
      <c r="I140" s="320">
        <f t="shared" si="2"/>
        <v>2214005.6346821599</v>
      </c>
      <c r="J140" s="133"/>
      <c r="K140" s="175"/>
      <c r="L140" s="591"/>
      <c r="M140" s="592"/>
    </row>
    <row r="141" spans="1:13" s="84" customFormat="1" x14ac:dyDescent="0.25">
      <c r="A141" s="278">
        <f>Données!A142</f>
        <v>5640</v>
      </c>
      <c r="B141" s="282" t="str">
        <f>Données!B142</f>
        <v>Lussy-sur-Morges</v>
      </c>
      <c r="C141" s="280">
        <f>VPI!Q142</f>
        <v>61.5</v>
      </c>
      <c r="D141" s="285">
        <f>Données!Z142</f>
        <v>719</v>
      </c>
      <c r="E141" s="661">
        <f>VPI!R142</f>
        <v>63303.13934959349</v>
      </c>
      <c r="F141" s="218">
        <f>'Péréquation directe'!K148</f>
        <v>1146408.0850913695</v>
      </c>
      <c r="G141" s="227">
        <f>PCS!I148</f>
        <v>1306647.1313574587</v>
      </c>
      <c r="H141" s="242">
        <f>Police!L142</f>
        <v>71131.790033970523</v>
      </c>
      <c r="I141" s="320">
        <f t="shared" si="2"/>
        <v>2524187.0064827986</v>
      </c>
      <c r="J141" s="133"/>
      <c r="K141" s="175"/>
      <c r="L141" s="591"/>
      <c r="M141" s="592"/>
    </row>
    <row r="142" spans="1:13" s="84" customFormat="1" x14ac:dyDescent="0.25">
      <c r="A142" s="278">
        <f>Données!A143</f>
        <v>5642</v>
      </c>
      <c r="B142" s="282" t="str">
        <f>Données!B143</f>
        <v>Morges</v>
      </c>
      <c r="C142" s="280">
        <f>VPI!Q143</f>
        <v>67</v>
      </c>
      <c r="D142" s="285">
        <f>Données!Z143</f>
        <v>17715</v>
      </c>
      <c r="E142" s="661">
        <f>VPI!R143</f>
        <v>1061989.5101492535</v>
      </c>
      <c r="F142" s="218">
        <f>'Péréquation directe'!K149</f>
        <v>5535337.7438266296</v>
      </c>
      <c r="G142" s="227">
        <f>PCS!I149</f>
        <v>18855995.73178868</v>
      </c>
      <c r="H142" s="242">
        <f>Police!L143</f>
        <v>1193324.938231535</v>
      </c>
      <c r="I142" s="320">
        <f t="shared" si="2"/>
        <v>25584658.413846843</v>
      </c>
      <c r="J142" s="133"/>
      <c r="K142" s="175"/>
      <c r="L142" s="591"/>
      <c r="M142" s="592"/>
    </row>
    <row r="143" spans="1:13" s="84" customFormat="1" x14ac:dyDescent="0.25">
      <c r="A143" s="278">
        <f>Données!A144</f>
        <v>5643</v>
      </c>
      <c r="B143" s="282" t="str">
        <f>Données!B144</f>
        <v>Préverenges</v>
      </c>
      <c r="C143" s="280">
        <f>VPI!Q144</f>
        <v>65</v>
      </c>
      <c r="D143" s="285">
        <f>Données!Z144</f>
        <v>5273</v>
      </c>
      <c r="E143" s="661">
        <f>VPI!R144</f>
        <v>254683.39384615389</v>
      </c>
      <c r="F143" s="218">
        <f>'Péréquation directe'!K150</f>
        <v>2733543.1925961054</v>
      </c>
      <c r="G143" s="227">
        <f>PCS!I150</f>
        <v>4194115.2426452278</v>
      </c>
      <c r="H143" s="242">
        <f>Police!L144</f>
        <v>286179.89379890007</v>
      </c>
      <c r="I143" s="320">
        <f t="shared" si="2"/>
        <v>7213838.329040233</v>
      </c>
      <c r="J143" s="133"/>
      <c r="K143" s="175"/>
      <c r="L143" s="591"/>
      <c r="M143" s="592"/>
    </row>
    <row r="144" spans="1:13" s="84" customFormat="1" x14ac:dyDescent="0.25">
      <c r="A144" s="278">
        <f>Données!A145</f>
        <v>5645</v>
      </c>
      <c r="B144" s="282" t="str">
        <f>Données!B145</f>
        <v>Romanel-sur-Morges</v>
      </c>
      <c r="C144" s="280">
        <f>VPI!Q145</f>
        <v>56</v>
      </c>
      <c r="D144" s="285">
        <f>Données!Z145</f>
        <v>454</v>
      </c>
      <c r="E144" s="661">
        <f>VPI!R145</f>
        <v>28308.714642857147</v>
      </c>
      <c r="F144" s="218">
        <f>'Péréquation directe'!K151</f>
        <v>495057.53672545298</v>
      </c>
      <c r="G144" s="227">
        <f>PCS!I151</f>
        <v>461248.89175518218</v>
      </c>
      <c r="H144" s="242">
        <f>Police!L145</f>
        <v>73623.861657959947</v>
      </c>
      <c r="I144" s="320">
        <f t="shared" si="2"/>
        <v>1029930.2901385952</v>
      </c>
      <c r="J144" s="133"/>
      <c r="K144" s="175"/>
      <c r="L144" s="591"/>
      <c r="M144" s="592"/>
    </row>
    <row r="145" spans="1:13" s="84" customFormat="1" x14ac:dyDescent="0.25">
      <c r="A145" s="278">
        <f>Données!A146</f>
        <v>5646</v>
      </c>
      <c r="B145" s="282" t="str">
        <f>Données!B146</f>
        <v>Saint-Prex</v>
      </c>
      <c r="C145" s="280">
        <f>VPI!Q146</f>
        <v>59</v>
      </c>
      <c r="D145" s="285">
        <f>Données!Z146</f>
        <v>5868</v>
      </c>
      <c r="E145" s="661">
        <f>VPI!R146</f>
        <v>465798.68426553684</v>
      </c>
      <c r="F145" s="218">
        <f>'Péréquation directe'!K152</f>
        <v>6644285.1734706024</v>
      </c>
      <c r="G145" s="227">
        <f>PCS!I152</f>
        <v>9031752.7509874552</v>
      </c>
      <c r="H145" s="242">
        <f>Police!L146</f>
        <v>523403.65024074691</v>
      </c>
      <c r="I145" s="320">
        <f t="shared" si="2"/>
        <v>16199441.574698804</v>
      </c>
      <c r="J145" s="133"/>
      <c r="K145" s="175"/>
      <c r="L145" s="591"/>
      <c r="M145" s="592"/>
    </row>
    <row r="146" spans="1:13" s="84" customFormat="1" x14ac:dyDescent="0.25">
      <c r="A146" s="278">
        <f>Données!A147</f>
        <v>5648</v>
      </c>
      <c r="B146" s="282" t="str">
        <f>Données!B147</f>
        <v>Saint-Sulpice</v>
      </c>
      <c r="C146" s="280">
        <f>VPI!Q147</f>
        <v>55</v>
      </c>
      <c r="D146" s="285">
        <f>Données!Z147</f>
        <v>5157</v>
      </c>
      <c r="E146" s="661">
        <f>VPI!R147</f>
        <v>424880.94159090909</v>
      </c>
      <c r="F146" s="218">
        <f>'Péréquation directe'!K153</f>
        <v>6295135.3221795969</v>
      </c>
      <c r="G146" s="227">
        <f>PCS!I153</f>
        <v>8436274.6282145791</v>
      </c>
      <c r="H146" s="242">
        <f>Police!L147</f>
        <v>477425.6417169983</v>
      </c>
      <c r="I146" s="320">
        <f t="shared" si="2"/>
        <v>15208835.592111174</v>
      </c>
      <c r="J146" s="133"/>
      <c r="K146" s="175"/>
      <c r="L146" s="591"/>
      <c r="M146" s="592"/>
    </row>
    <row r="147" spans="1:13" s="84" customFormat="1" x14ac:dyDescent="0.25">
      <c r="A147" s="278">
        <f>Données!A148</f>
        <v>5649</v>
      </c>
      <c r="B147" s="282" t="str">
        <f>Données!B148</f>
        <v>Tolochenaz</v>
      </c>
      <c r="C147" s="280">
        <f>VPI!Q148</f>
        <v>64</v>
      </c>
      <c r="D147" s="285">
        <f>Données!Z148</f>
        <v>1934</v>
      </c>
      <c r="E147" s="661">
        <f>VPI!R148</f>
        <v>431976.43718750001</v>
      </c>
      <c r="F147" s="218">
        <f>'Péréquation directe'!K154</f>
        <v>5375803.4207518343</v>
      </c>
      <c r="G147" s="227">
        <f>PCS!I154</f>
        <v>15731663.869248163</v>
      </c>
      <c r="H147" s="242">
        <f>Police!L148</f>
        <v>485398.6318111603</v>
      </c>
      <c r="I147" s="320">
        <f t="shared" si="2"/>
        <v>21592865.92181116</v>
      </c>
      <c r="J147" s="133"/>
      <c r="K147" s="175"/>
      <c r="L147" s="591"/>
      <c r="M147" s="592"/>
    </row>
    <row r="148" spans="1:13" s="84" customFormat="1" x14ac:dyDescent="0.25">
      <c r="A148" s="278">
        <f>Données!A149</f>
        <v>5650</v>
      </c>
      <c r="B148" s="282" t="str">
        <f>Données!B149</f>
        <v>Vaux-sur-Morges</v>
      </c>
      <c r="C148" s="280">
        <f>VPI!Q149</f>
        <v>56</v>
      </c>
      <c r="D148" s="285">
        <f>Données!Z149</f>
        <v>185</v>
      </c>
      <c r="E148" s="661">
        <f>VPI!R149</f>
        <v>116547.05321428573</v>
      </c>
      <c r="F148" s="218">
        <f>'Péréquation directe'!K155</f>
        <v>893404.13635878358</v>
      </c>
      <c r="G148" s="227">
        <f>PCS!I155</f>
        <v>4719811.9379269313</v>
      </c>
      <c r="H148" s="242">
        <f>Police!L149</f>
        <v>147999.17609558828</v>
      </c>
      <c r="I148" s="320">
        <f t="shared" si="2"/>
        <v>5761215.250381303</v>
      </c>
      <c r="J148" s="133"/>
      <c r="K148" s="175"/>
      <c r="L148" s="591"/>
      <c r="M148" s="592"/>
    </row>
    <row r="149" spans="1:13" s="84" customFormat="1" x14ac:dyDescent="0.25">
      <c r="A149" s="278">
        <f>Données!A150</f>
        <v>5651</v>
      </c>
      <c r="B149" s="282" t="str">
        <f>Données!B150</f>
        <v>Villars-Sainte-Croix</v>
      </c>
      <c r="C149" s="280">
        <f>VPI!Q150</f>
        <v>60.5</v>
      </c>
      <c r="D149" s="285">
        <f>Données!Z150</f>
        <v>955</v>
      </c>
      <c r="E149" s="661">
        <f>VPI!R150</f>
        <v>62685.817685950416</v>
      </c>
      <c r="F149" s="218">
        <f>'Péréquation directe'!K156</f>
        <v>1089926.4667776278</v>
      </c>
      <c r="G149" s="227">
        <f>PCS!I156</f>
        <v>1128340.3529905165</v>
      </c>
      <c r="H149" s="242">
        <f>Police!L150</f>
        <v>70438.124673723854</v>
      </c>
      <c r="I149" s="320">
        <f t="shared" si="2"/>
        <v>2288704.944441868</v>
      </c>
      <c r="J149" s="133"/>
      <c r="K149" s="175"/>
      <c r="L149" s="591"/>
      <c r="M149" s="592"/>
    </row>
    <row r="150" spans="1:13" s="84" customFormat="1" x14ac:dyDescent="0.25">
      <c r="A150" s="278">
        <f>Données!A151</f>
        <v>5652</v>
      </c>
      <c r="B150" s="282" t="str">
        <f>Données!B151</f>
        <v>Villars-sous-Yens</v>
      </c>
      <c r="C150" s="280">
        <f>VPI!Q151</f>
        <v>74</v>
      </c>
      <c r="D150" s="285">
        <f>Données!Z151</f>
        <v>602</v>
      </c>
      <c r="E150" s="661">
        <f>VPI!R151</f>
        <v>27337.435990990991</v>
      </c>
      <c r="F150" s="218">
        <f>'Péréquation directe'!K157</f>
        <v>260479.77454785351</v>
      </c>
      <c r="G150" s="227">
        <f>PCS!I157</f>
        <v>472926.14982386248</v>
      </c>
      <c r="H150" s="242">
        <f>Police!L151</f>
        <v>82082.952756844228</v>
      </c>
      <c r="I150" s="320">
        <f t="shared" si="2"/>
        <v>815488.87712856021</v>
      </c>
      <c r="J150" s="133"/>
      <c r="K150" s="175"/>
      <c r="L150" s="591"/>
      <c r="M150" s="592"/>
    </row>
    <row r="151" spans="1:13" s="84" customFormat="1" x14ac:dyDescent="0.25">
      <c r="A151" s="278">
        <f>Données!A152</f>
        <v>5653</v>
      </c>
      <c r="B151" s="282" t="str">
        <f>Données!B152</f>
        <v>Vufflens-le-Château</v>
      </c>
      <c r="C151" s="280">
        <f>VPI!Q152</f>
        <v>60.5</v>
      </c>
      <c r="D151" s="285">
        <f>Données!Z152</f>
        <v>838</v>
      </c>
      <c r="E151" s="661">
        <f>VPI!R152</f>
        <v>76227.69876033059</v>
      </c>
      <c r="F151" s="218">
        <f>'Péréquation directe'!K158</f>
        <v>1384164.4002131338</v>
      </c>
      <c r="G151" s="227">
        <f>PCS!I158</f>
        <v>1677788.4527556598</v>
      </c>
      <c r="H151" s="242">
        <f>Police!L152</f>
        <v>162836.0518015913</v>
      </c>
      <c r="I151" s="320">
        <f t="shared" si="2"/>
        <v>3224788.9047703845</v>
      </c>
      <c r="J151" s="133"/>
      <c r="K151" s="175"/>
      <c r="L151" s="591"/>
      <c r="M151" s="592"/>
    </row>
    <row r="152" spans="1:13" s="84" customFormat="1" x14ac:dyDescent="0.25">
      <c r="A152" s="278">
        <f>Données!A153</f>
        <v>5654</v>
      </c>
      <c r="B152" s="282" t="str">
        <f>Données!B153</f>
        <v>Vullierens</v>
      </c>
      <c r="C152" s="280">
        <f>VPI!Q153</f>
        <v>76</v>
      </c>
      <c r="D152" s="285">
        <f>Données!Z153</f>
        <v>548</v>
      </c>
      <c r="E152" s="661">
        <f>VPI!R153</f>
        <v>23074.815394736848</v>
      </c>
      <c r="F152" s="218">
        <f>'Péréquation directe'!K159</f>
        <v>99053.906541150238</v>
      </c>
      <c r="G152" s="227">
        <f>PCS!I159</f>
        <v>320768.04478229425</v>
      </c>
      <c r="H152" s="242">
        <f>Police!L153</f>
        <v>68877.127745802223</v>
      </c>
      <c r="I152" s="320">
        <f t="shared" si="2"/>
        <v>488699.07906924671</v>
      </c>
      <c r="J152" s="133"/>
      <c r="K152" s="175"/>
      <c r="L152" s="591"/>
      <c r="M152" s="592"/>
    </row>
    <row r="153" spans="1:13" s="84" customFormat="1" x14ac:dyDescent="0.25">
      <c r="A153" s="278">
        <f>Données!A154</f>
        <v>5655</v>
      </c>
      <c r="B153" s="282" t="str">
        <f>Données!B154</f>
        <v>Yens</v>
      </c>
      <c r="C153" s="280">
        <f>VPI!Q154</f>
        <v>70</v>
      </c>
      <c r="D153" s="285">
        <f>Données!Z154</f>
        <v>1502</v>
      </c>
      <c r="E153" s="661">
        <f>VPI!R154</f>
        <v>99930.986000000004</v>
      </c>
      <c r="F153" s="218">
        <f>'Péréquation directe'!K160</f>
        <v>1640842.968128046</v>
      </c>
      <c r="G153" s="227">
        <f>PCS!I160</f>
        <v>1874709.2770966252</v>
      </c>
      <c r="H153" s="242">
        <f>Police!L154</f>
        <v>250626.32029846252</v>
      </c>
      <c r="I153" s="320">
        <f t="shared" si="2"/>
        <v>3766178.5655231341</v>
      </c>
      <c r="J153" s="133"/>
      <c r="K153" s="175"/>
      <c r="L153" s="591"/>
      <c r="M153" s="592"/>
    </row>
    <row r="154" spans="1:13" s="84" customFormat="1" x14ac:dyDescent="0.25">
      <c r="A154" s="278">
        <f>Données!A155</f>
        <v>5656</v>
      </c>
      <c r="B154" s="282" t="str">
        <f>Données!B155</f>
        <v>Hautemorges</v>
      </c>
      <c r="C154" s="280">
        <f>VPI!Q155</f>
        <v>71</v>
      </c>
      <c r="D154" s="285">
        <f>Données!Z155</f>
        <v>4387</v>
      </c>
      <c r="E154" s="661">
        <f>VPI!R155</f>
        <v>173869.73802816903</v>
      </c>
      <c r="F154" s="218">
        <f>'Péréquation directe'!K161</f>
        <v>-370154.17016582377</v>
      </c>
      <c r="G154" s="227">
        <f>PCS!I161</f>
        <v>2385066.4262541304</v>
      </c>
      <c r="H154" s="242">
        <f>Police!L155</f>
        <v>516065.74135415716</v>
      </c>
      <c r="I154" s="320">
        <f t="shared" si="2"/>
        <v>2530977.9974424639</v>
      </c>
      <c r="J154" s="133"/>
      <c r="K154" s="175"/>
      <c r="L154" s="591"/>
      <c r="M154" s="592"/>
    </row>
    <row r="155" spans="1:13" s="84" customFormat="1" x14ac:dyDescent="0.25">
      <c r="A155" s="278">
        <f>Données!A156</f>
        <v>5661</v>
      </c>
      <c r="B155" s="282" t="str">
        <f>Données!B156</f>
        <v>Boulens</v>
      </c>
      <c r="C155" s="280">
        <f>VPI!Q156</f>
        <v>71.5</v>
      </c>
      <c r="D155" s="285">
        <f>Données!Z156</f>
        <v>368</v>
      </c>
      <c r="E155" s="661">
        <f>VPI!R156</f>
        <v>10070.839300699299</v>
      </c>
      <c r="F155" s="218">
        <f>'Péréquation directe'!K162</f>
        <v>-32248.877166017308</v>
      </c>
      <c r="G155" s="227">
        <f>PCS!I162</f>
        <v>143683.82419631534</v>
      </c>
      <c r="H155" s="242">
        <f>Police!L156</f>
        <v>29651.41422985329</v>
      </c>
      <c r="I155" s="320">
        <f t="shared" si="2"/>
        <v>141086.36126015132</v>
      </c>
      <c r="J155" s="133"/>
      <c r="K155" s="175"/>
      <c r="L155" s="591"/>
      <c r="M155" s="592"/>
    </row>
    <row r="156" spans="1:13" s="84" customFormat="1" x14ac:dyDescent="0.25">
      <c r="A156" s="278">
        <f>Données!A157</f>
        <v>5663</v>
      </c>
      <c r="B156" s="282" t="str">
        <f>Données!B157</f>
        <v>Bussy-sur-Moudon</v>
      </c>
      <c r="C156" s="280">
        <f>VPI!Q157</f>
        <v>78.5</v>
      </c>
      <c r="D156" s="285">
        <f>Données!Z157</f>
        <v>262</v>
      </c>
      <c r="E156" s="661">
        <f>VPI!R157</f>
        <v>5846.5050955414026</v>
      </c>
      <c r="F156" s="218">
        <f>'Péréquation directe'!K163</f>
        <v>-106776.22859141881</v>
      </c>
      <c r="G156" s="227">
        <f>PCS!I163</f>
        <v>77979.546632305312</v>
      </c>
      <c r="H156" s="242">
        <f>Police!L157</f>
        <v>17244.64108064492</v>
      </c>
      <c r="I156" s="320">
        <f t="shared" si="2"/>
        <v>-11552.040878468579</v>
      </c>
      <c r="J156" s="133"/>
      <c r="K156" s="175"/>
      <c r="L156" s="591"/>
      <c r="M156" s="592"/>
    </row>
    <row r="157" spans="1:13" s="84" customFormat="1" x14ac:dyDescent="0.25">
      <c r="A157" s="278">
        <f>Données!A158</f>
        <v>5665</v>
      </c>
      <c r="B157" s="282" t="str">
        <f>Données!B158</f>
        <v>Chavannes-sur-Moudon</v>
      </c>
      <c r="C157" s="280">
        <f>VPI!Q158</f>
        <v>70</v>
      </c>
      <c r="D157" s="285">
        <f>Données!Z158</f>
        <v>229</v>
      </c>
      <c r="E157" s="661">
        <f>VPI!R158</f>
        <v>6553.0082857142861</v>
      </c>
      <c r="F157" s="218">
        <f>'Péréquation directe'!K164</f>
        <v>-13029.350779384433</v>
      </c>
      <c r="G157" s="227">
        <f>PCS!I164</f>
        <v>74668.050446925423</v>
      </c>
      <c r="H157" s="242">
        <f>Police!L158</f>
        <v>19585.850365112583</v>
      </c>
      <c r="I157" s="320">
        <f t="shared" si="2"/>
        <v>81224.550032653569</v>
      </c>
      <c r="J157" s="133"/>
      <c r="K157" s="175"/>
      <c r="L157" s="591"/>
      <c r="M157" s="592"/>
    </row>
    <row r="158" spans="1:13" s="84" customFormat="1" x14ac:dyDescent="0.25">
      <c r="A158" s="278">
        <f>Données!A159</f>
        <v>5669</v>
      </c>
      <c r="B158" s="282" t="str">
        <f>Données!B159</f>
        <v>Curtilles</v>
      </c>
      <c r="C158" s="280">
        <f>VPI!Q159</f>
        <v>73</v>
      </c>
      <c r="D158" s="285">
        <f>Données!Z159</f>
        <v>308</v>
      </c>
      <c r="E158" s="661">
        <f>VPI!R159</f>
        <v>9589.3382191780838</v>
      </c>
      <c r="F158" s="218">
        <f>'Péréquation directe'!K165</f>
        <v>10764.993694252975</v>
      </c>
      <c r="G158" s="227">
        <f>PCS!I165</f>
        <v>136466.89557335532</v>
      </c>
      <c r="H158" s="242">
        <f>Police!L159</f>
        <v>28561.485142809212</v>
      </c>
      <c r="I158" s="320">
        <f t="shared" si="2"/>
        <v>175793.37441041751</v>
      </c>
      <c r="J158" s="133"/>
      <c r="K158" s="175"/>
      <c r="L158" s="591"/>
      <c r="M158" s="592"/>
    </row>
    <row r="159" spans="1:13" s="84" customFormat="1" x14ac:dyDescent="0.25">
      <c r="A159" s="278">
        <f>Données!A160</f>
        <v>5671</v>
      </c>
      <c r="B159" s="282" t="str">
        <f>Données!B160</f>
        <v>Dompierre</v>
      </c>
      <c r="C159" s="280">
        <f>VPI!Q160</f>
        <v>78</v>
      </c>
      <c r="D159" s="285">
        <f>Données!Z160</f>
        <v>240</v>
      </c>
      <c r="E159" s="661">
        <f>VPI!R160</f>
        <v>6077.1303846153842</v>
      </c>
      <c r="F159" s="218">
        <f>'Péréquation directe'!K166</f>
        <v>-76838.756549448342</v>
      </c>
      <c r="G159" s="227">
        <f>PCS!I166</f>
        <v>69137.106528705932</v>
      </c>
      <c r="H159" s="242">
        <f>Police!L160</f>
        <v>17947.209309390619</v>
      </c>
      <c r="I159" s="320">
        <f t="shared" si="2"/>
        <v>10245.559288648208</v>
      </c>
      <c r="J159" s="133"/>
      <c r="K159" s="175"/>
      <c r="L159" s="591"/>
      <c r="M159" s="592"/>
    </row>
    <row r="160" spans="1:13" s="84" customFormat="1" x14ac:dyDescent="0.25">
      <c r="A160" s="278">
        <f>Données!A161</f>
        <v>5673</v>
      </c>
      <c r="B160" s="282" t="str">
        <f>Données!B161</f>
        <v>Hermenches</v>
      </c>
      <c r="C160" s="280">
        <f>VPI!Q161</f>
        <v>73.5</v>
      </c>
      <c r="D160" s="285">
        <f>Données!Z161</f>
        <v>373</v>
      </c>
      <c r="E160" s="661">
        <f>VPI!R161</f>
        <v>10021.842448979593</v>
      </c>
      <c r="F160" s="218">
        <f>'Péréquation directe'!K167</f>
        <v>-668869.17396309506</v>
      </c>
      <c r="G160" s="227">
        <f>PCS!I167</f>
        <v>139989.61505750829</v>
      </c>
      <c r="H160" s="242">
        <f>Police!L161</f>
        <v>29869.832479609318</v>
      </c>
      <c r="I160" s="320">
        <f t="shared" si="2"/>
        <v>-499009.72642597754</v>
      </c>
      <c r="J160" s="133"/>
      <c r="K160" s="175"/>
      <c r="L160" s="591"/>
      <c r="M160" s="592"/>
    </row>
    <row r="161" spans="1:13" s="84" customFormat="1" x14ac:dyDescent="0.25">
      <c r="A161" s="278">
        <f>Données!A162</f>
        <v>5674</v>
      </c>
      <c r="B161" s="282" t="str">
        <f>Données!B162</f>
        <v>Lovatens</v>
      </c>
      <c r="C161" s="280">
        <f>VPI!Q162</f>
        <v>75</v>
      </c>
      <c r="D161" s="285">
        <f>Données!Z162</f>
        <v>146</v>
      </c>
      <c r="E161" s="661">
        <f>VPI!R162</f>
        <v>4190.698742857142</v>
      </c>
      <c r="F161" s="218">
        <f>'Péréquation directe'!K168</f>
        <v>-20240.33690241359</v>
      </c>
      <c r="G161" s="227">
        <f>PCS!I168</f>
        <v>49273.013575533791</v>
      </c>
      <c r="H161" s="242">
        <f>Police!L162</f>
        <v>12474.786441757615</v>
      </c>
      <c r="I161" s="320">
        <f t="shared" si="2"/>
        <v>41507.463114877813</v>
      </c>
      <c r="J161" s="133"/>
      <c r="K161" s="175"/>
      <c r="L161" s="591"/>
      <c r="M161" s="592"/>
    </row>
    <row r="162" spans="1:13" s="84" customFormat="1" x14ac:dyDescent="0.25">
      <c r="A162" s="278">
        <f>Données!A163</f>
        <v>5675</v>
      </c>
      <c r="B162" s="282" t="str">
        <f>Données!B163</f>
        <v>Lucens</v>
      </c>
      <c r="C162" s="280">
        <f>VPI!Q163</f>
        <v>69.5</v>
      </c>
      <c r="D162" s="285">
        <f>Données!Z163</f>
        <v>4734</v>
      </c>
      <c r="E162" s="661">
        <f>VPI!R163</f>
        <v>96219.295291039889</v>
      </c>
      <c r="F162" s="218">
        <f>'Péréquation directe'!K169</f>
        <v>-3190928.3908468811</v>
      </c>
      <c r="G162" s="227">
        <f>PCS!I169</f>
        <v>1735749.2337276572</v>
      </c>
      <c r="H162" s="242">
        <f>Police!L163</f>
        <v>277461.17683906853</v>
      </c>
      <c r="I162" s="320">
        <f t="shared" si="2"/>
        <v>-1177717.9802801553</v>
      </c>
      <c r="J162" s="133"/>
      <c r="K162" s="175"/>
      <c r="L162" s="591"/>
      <c r="M162" s="592"/>
    </row>
    <row r="163" spans="1:13" s="84" customFormat="1" x14ac:dyDescent="0.25">
      <c r="A163" s="278">
        <f>Données!A164</f>
        <v>5678</v>
      </c>
      <c r="B163" s="282" t="str">
        <f>Données!B164</f>
        <v>Moudon</v>
      </c>
      <c r="C163" s="280">
        <f>VPI!Q164</f>
        <v>72.5</v>
      </c>
      <c r="D163" s="285">
        <f>Données!Z164</f>
        <v>6651</v>
      </c>
      <c r="E163" s="661">
        <f>VPI!R164</f>
        <v>144507.28937931036</v>
      </c>
      <c r="F163" s="218">
        <f>'Péréquation directe'!K170</f>
        <v>-5026654.3726081308</v>
      </c>
      <c r="G163" s="227">
        <f>PCS!I170</f>
        <v>2348388.2544947239</v>
      </c>
      <c r="H163" s="242">
        <f>Police!L164</f>
        <v>421430.4220417334</v>
      </c>
      <c r="I163" s="320">
        <f t="shared" si="2"/>
        <v>-2256835.6960716737</v>
      </c>
      <c r="J163" s="133"/>
      <c r="K163" s="175"/>
      <c r="L163" s="591"/>
      <c r="M163" s="592"/>
    </row>
    <row r="164" spans="1:13" s="84" customFormat="1" x14ac:dyDescent="0.25">
      <c r="A164" s="278">
        <f>Données!A165</f>
        <v>5680</v>
      </c>
      <c r="B164" s="282" t="str">
        <f>Données!B165</f>
        <v>Ogens</v>
      </c>
      <c r="C164" s="280">
        <f>VPI!Q165</f>
        <v>78</v>
      </c>
      <c r="D164" s="285">
        <f>Données!Z165</f>
        <v>341</v>
      </c>
      <c r="E164" s="661">
        <f>VPI!R165</f>
        <v>9088.9604700854707</v>
      </c>
      <c r="F164" s="218">
        <f>'Péréquation directe'!K171</f>
        <v>-97991.698102727038</v>
      </c>
      <c r="G164" s="227">
        <f>PCS!I171</f>
        <v>104468.0338816333</v>
      </c>
      <c r="H164" s="242">
        <f>Police!L165</f>
        <v>26668.526265042579</v>
      </c>
      <c r="I164" s="320">
        <f t="shared" si="2"/>
        <v>33144.862043948837</v>
      </c>
      <c r="J164" s="133"/>
      <c r="K164" s="175"/>
      <c r="L164" s="591"/>
      <c r="M164" s="592"/>
    </row>
    <row r="165" spans="1:13" s="84" customFormat="1" x14ac:dyDescent="0.25">
      <c r="A165" s="278">
        <f>Données!A166</f>
        <v>5683</v>
      </c>
      <c r="B165" s="282" t="str">
        <f>Données!B166</f>
        <v>Prévonloup</v>
      </c>
      <c r="C165" s="280">
        <f>VPI!Q166</f>
        <v>72.5</v>
      </c>
      <c r="D165" s="285">
        <f>Données!Z166</f>
        <v>231</v>
      </c>
      <c r="E165" s="661">
        <f>VPI!R166</f>
        <v>3390.948689655173</v>
      </c>
      <c r="F165" s="218">
        <f>'Péréquation directe'!K172</f>
        <v>-154833.30378840867</v>
      </c>
      <c r="G165" s="227">
        <f>PCS!I172</f>
        <v>109079.44908892366</v>
      </c>
      <c r="H165" s="242">
        <f>Police!L166</f>
        <v>9572.5731267467781</v>
      </c>
      <c r="I165" s="320">
        <f t="shared" si="2"/>
        <v>-36181.281572738226</v>
      </c>
      <c r="J165" s="133"/>
      <c r="K165" s="175"/>
      <c r="L165" s="591"/>
      <c r="M165" s="592"/>
    </row>
    <row r="166" spans="1:13" s="84" customFormat="1" x14ac:dyDescent="0.25">
      <c r="A166" s="278">
        <f>Données!A167</f>
        <v>5684</v>
      </c>
      <c r="B166" s="282" t="str">
        <f>Données!B167</f>
        <v>Rossenges</v>
      </c>
      <c r="C166" s="280">
        <f>VPI!Q167</f>
        <v>65</v>
      </c>
      <c r="D166" s="285">
        <f>Données!Z167</f>
        <v>90</v>
      </c>
      <c r="E166" s="661">
        <f>VPI!R167</f>
        <v>10097.406384615384</v>
      </c>
      <c r="F166" s="218">
        <f>'Péréquation directe'!K173</f>
        <v>186143.58597169854</v>
      </c>
      <c r="G166" s="227">
        <f>PCS!I173</f>
        <v>243847.36938169814</v>
      </c>
      <c r="H166" s="242">
        <f>Police!L167</f>
        <v>19635.309422168844</v>
      </c>
      <c r="I166" s="320">
        <f t="shared" si="2"/>
        <v>449626.26477556553</v>
      </c>
      <c r="J166" s="133"/>
      <c r="K166" s="175"/>
      <c r="L166" s="591"/>
      <c r="M166" s="592"/>
    </row>
    <row r="167" spans="1:13" s="84" customFormat="1" x14ac:dyDescent="0.25">
      <c r="A167" s="278">
        <f>Données!A168</f>
        <v>5688</v>
      </c>
      <c r="B167" s="282" t="str">
        <f>Données!B168</f>
        <v>Syens</v>
      </c>
      <c r="C167" s="280">
        <f>VPI!Q168</f>
        <v>65</v>
      </c>
      <c r="D167" s="285">
        <f>Données!Z168</f>
        <v>151</v>
      </c>
      <c r="E167" s="661">
        <f>VPI!R168</f>
        <v>5159.2410769230773</v>
      </c>
      <c r="F167" s="218">
        <f>'Péréquation directe'!K174</f>
        <v>19884.944542614045</v>
      </c>
      <c r="G167" s="227">
        <f>PCS!I174</f>
        <v>72193.868884059048</v>
      </c>
      <c r="H167" s="242">
        <f>Police!L168</f>
        <v>15323.578001783222</v>
      </c>
      <c r="I167" s="320">
        <f t="shared" si="2"/>
        <v>107402.39142845632</v>
      </c>
      <c r="J167" s="133"/>
      <c r="K167" s="175"/>
      <c r="L167" s="591"/>
      <c r="M167" s="592"/>
    </row>
    <row r="168" spans="1:13" s="84" customFormat="1" x14ac:dyDescent="0.25">
      <c r="A168" s="278">
        <f>Données!A169</f>
        <v>5690</v>
      </c>
      <c r="B168" s="282" t="str">
        <f>Données!B169</f>
        <v>Villars-le-Comte</v>
      </c>
      <c r="C168" s="280">
        <f>VPI!Q169</f>
        <v>68</v>
      </c>
      <c r="D168" s="285">
        <f>Données!Z169</f>
        <v>132</v>
      </c>
      <c r="E168" s="661">
        <f>VPI!R169</f>
        <v>4239.3419117647063</v>
      </c>
      <c r="F168" s="218">
        <f>'Péréquation directe'!K175</f>
        <v>22071.757810037292</v>
      </c>
      <c r="G168" s="227">
        <f>PCS!I175</f>
        <v>65698.037125662828</v>
      </c>
      <c r="H168" s="242">
        <f>Police!L169</f>
        <v>12526.554838756341</v>
      </c>
      <c r="I168" s="320">
        <f t="shared" si="2"/>
        <v>100296.34977445647</v>
      </c>
      <c r="J168" s="133"/>
      <c r="K168" s="175"/>
      <c r="L168" s="591"/>
      <c r="M168" s="592"/>
    </row>
    <row r="169" spans="1:13" s="84" customFormat="1" x14ac:dyDescent="0.25">
      <c r="A169" s="278">
        <f>Données!A170</f>
        <v>5692</v>
      </c>
      <c r="B169" s="282" t="str">
        <f>Données!B170</f>
        <v>Vucherens</v>
      </c>
      <c r="C169" s="280">
        <f>VPI!Q170</f>
        <v>75</v>
      </c>
      <c r="D169" s="285">
        <f>Données!Z170</f>
        <v>622</v>
      </c>
      <c r="E169" s="661">
        <f>VPI!R170</f>
        <v>19521.023866666663</v>
      </c>
      <c r="F169" s="218">
        <f>'Péréquation directe'!K176</f>
        <v>-34036.215770888317</v>
      </c>
      <c r="G169" s="227">
        <f>PCS!I176</f>
        <v>289557.56236726634</v>
      </c>
      <c r="H169" s="242">
        <f>Police!L170</f>
        <v>57734.568313942349</v>
      </c>
      <c r="I169" s="320">
        <f t="shared" si="2"/>
        <v>313255.91491032037</v>
      </c>
      <c r="J169" s="133"/>
      <c r="K169" s="175"/>
      <c r="L169" s="591"/>
      <c r="M169" s="592"/>
    </row>
    <row r="170" spans="1:13" s="84" customFormat="1" x14ac:dyDescent="0.25">
      <c r="A170" s="278">
        <f>Données!A171</f>
        <v>5693</v>
      </c>
      <c r="B170" s="282" t="str">
        <f>Données!B171</f>
        <v>Montanaire</v>
      </c>
      <c r="C170" s="280">
        <f>VPI!Q171</f>
        <v>70</v>
      </c>
      <c r="D170" s="285">
        <f>Données!Z171</f>
        <v>2861</v>
      </c>
      <c r="E170" s="661">
        <f>VPI!R171</f>
        <v>77215.400857142857</v>
      </c>
      <c r="F170" s="218">
        <f>'Péréquation directe'!K177</f>
        <v>-1180338.1230075813</v>
      </c>
      <c r="G170" s="227">
        <f>PCS!I177</f>
        <v>1093244.3607084942</v>
      </c>
      <c r="H170" s="242">
        <f>Police!L171</f>
        <v>227574.94767882116</v>
      </c>
      <c r="I170" s="320">
        <f t="shared" si="2"/>
        <v>140481.18537973403</v>
      </c>
      <c r="J170" s="133"/>
      <c r="K170" s="175"/>
      <c r="L170" s="591"/>
      <c r="M170" s="592"/>
    </row>
    <row r="171" spans="1:13" s="84" customFormat="1" x14ac:dyDescent="0.25">
      <c r="A171" s="278">
        <f>Données!A172</f>
        <v>5701</v>
      </c>
      <c r="B171" s="282" t="str">
        <f>Données!B172</f>
        <v>Arnex-sur-Nyon</v>
      </c>
      <c r="C171" s="280">
        <f>VPI!Q172</f>
        <v>68</v>
      </c>
      <c r="D171" s="285">
        <f>Données!Z172</f>
        <v>267</v>
      </c>
      <c r="E171" s="661">
        <f>VPI!R172</f>
        <v>22528.026764705879</v>
      </c>
      <c r="F171" s="218">
        <f>'Péréquation directe'!K178</f>
        <v>406499.53035551478</v>
      </c>
      <c r="G171" s="227">
        <f>PCS!I178</f>
        <v>519234.50224848831</v>
      </c>
      <c r="H171" s="242">
        <f>Police!L172</f>
        <v>49905.238675890461</v>
      </c>
      <c r="I171" s="320">
        <f t="shared" si="2"/>
        <v>975639.27127989358</v>
      </c>
      <c r="J171" s="133"/>
      <c r="K171" s="175"/>
      <c r="L171" s="591"/>
      <c r="M171" s="592"/>
    </row>
    <row r="172" spans="1:13" s="84" customFormat="1" x14ac:dyDescent="0.25">
      <c r="A172" s="278">
        <f>Données!A173</f>
        <v>5702</v>
      </c>
      <c r="B172" s="282" t="str">
        <f>Données!B173</f>
        <v>Arzier-Le Muids</v>
      </c>
      <c r="C172" s="280">
        <f>VPI!Q173</f>
        <v>64</v>
      </c>
      <c r="D172" s="285">
        <f>Données!Z173</f>
        <v>2968</v>
      </c>
      <c r="E172" s="661">
        <f>VPI!R173</f>
        <v>189129.79401041669</v>
      </c>
      <c r="F172" s="218">
        <f>'Péréquation directe'!K179</f>
        <v>2474577.5605218331</v>
      </c>
      <c r="G172" s="227">
        <f>PCS!I179</f>
        <v>3228041.812395161</v>
      </c>
      <c r="H172" s="242">
        <f>Police!L173</f>
        <v>485877.55657365831</v>
      </c>
      <c r="I172" s="320">
        <f t="shared" si="2"/>
        <v>6188496.9294906529</v>
      </c>
      <c r="J172" s="133"/>
      <c r="K172" s="175"/>
      <c r="L172" s="591"/>
      <c r="M172" s="592"/>
    </row>
    <row r="173" spans="1:13" s="84" customFormat="1" x14ac:dyDescent="0.25">
      <c r="A173" s="278">
        <f>Données!A174</f>
        <v>5703</v>
      </c>
      <c r="B173" s="282" t="str">
        <f>Données!B174</f>
        <v>Bassins</v>
      </c>
      <c r="C173" s="280">
        <f>VPI!Q174</f>
        <v>72.5</v>
      </c>
      <c r="D173" s="285">
        <f>Données!Z174</f>
        <v>1484</v>
      </c>
      <c r="E173" s="661">
        <f>VPI!R174</f>
        <v>69884.65087684727</v>
      </c>
      <c r="F173" s="218">
        <f>'Péréquation directe'!K180</f>
        <v>968439.84218331764</v>
      </c>
      <c r="G173" s="227">
        <f>PCS!I180</f>
        <v>921196.53595143172</v>
      </c>
      <c r="H173" s="242">
        <f>Police!L174</f>
        <v>208266.57714665902</v>
      </c>
      <c r="I173" s="320">
        <f t="shared" si="2"/>
        <v>2097902.9552814085</v>
      </c>
      <c r="J173" s="133"/>
      <c r="K173" s="175"/>
      <c r="L173" s="591"/>
      <c r="M173" s="592"/>
    </row>
    <row r="174" spans="1:13" s="84" customFormat="1" x14ac:dyDescent="0.25">
      <c r="A174" s="278">
        <f>Données!A175</f>
        <v>5704</v>
      </c>
      <c r="B174" s="282" t="str">
        <f>Données!B175</f>
        <v>Begnins</v>
      </c>
      <c r="C174" s="280">
        <f>VPI!Q175</f>
        <v>62.5</v>
      </c>
      <c r="D174" s="285">
        <f>Données!Z175</f>
        <v>2041</v>
      </c>
      <c r="E174" s="661">
        <f>VPI!R175</f>
        <v>151723.65322666671</v>
      </c>
      <c r="F174" s="218">
        <f>'Péréquation directe'!K181</f>
        <v>2456385.3315921603</v>
      </c>
      <c r="G174" s="227">
        <f>PCS!I181</f>
        <v>2719595.3153810631</v>
      </c>
      <c r="H174" s="242">
        <f>Police!L175</f>
        <v>358467.03233673616</v>
      </c>
      <c r="I174" s="320">
        <f t="shared" si="2"/>
        <v>5534447.6793099595</v>
      </c>
      <c r="J174" s="133"/>
      <c r="K174" s="175"/>
      <c r="L174" s="591"/>
      <c r="M174" s="592"/>
    </row>
    <row r="175" spans="1:13" s="84" customFormat="1" x14ac:dyDescent="0.25">
      <c r="A175" s="278">
        <f>Données!A176</f>
        <v>5705</v>
      </c>
      <c r="B175" s="282" t="str">
        <f>Données!B176</f>
        <v>Bogis-Bossey</v>
      </c>
      <c r="C175" s="280">
        <f>VPI!Q176</f>
        <v>71</v>
      </c>
      <c r="D175" s="285">
        <f>Données!Z176</f>
        <v>990</v>
      </c>
      <c r="E175" s="661">
        <f>VPI!R176</f>
        <v>60210.898873239443</v>
      </c>
      <c r="F175" s="218">
        <f>'Péréquation directe'!K182</f>
        <v>1049717.6977200122</v>
      </c>
      <c r="G175" s="227">
        <f>PCS!I182</f>
        <v>1035797.6065714245</v>
      </c>
      <c r="H175" s="242">
        <f>Police!L176</f>
        <v>158837.94444100239</v>
      </c>
      <c r="I175" s="320">
        <f t="shared" si="2"/>
        <v>2244353.2487324392</v>
      </c>
      <c r="J175" s="133"/>
      <c r="K175" s="175"/>
      <c r="L175" s="591"/>
      <c r="M175" s="592"/>
    </row>
    <row r="176" spans="1:13" s="84" customFormat="1" x14ac:dyDescent="0.25">
      <c r="A176" s="278">
        <f>Données!A177</f>
        <v>5706</v>
      </c>
      <c r="B176" s="282" t="str">
        <f>Données!B177</f>
        <v>Borex</v>
      </c>
      <c r="C176" s="280">
        <f>VPI!Q177</f>
        <v>57</v>
      </c>
      <c r="D176" s="285">
        <f>Données!Z177</f>
        <v>1144</v>
      </c>
      <c r="E176" s="661">
        <f>VPI!R177</f>
        <v>69165.019824561401</v>
      </c>
      <c r="F176" s="218">
        <f>'Péréquation directe'!K183</f>
        <v>1170469.969526629</v>
      </c>
      <c r="G176" s="227">
        <f>PCS!I183</f>
        <v>1105058.2275202626</v>
      </c>
      <c r="H176" s="242">
        <f>Police!L177</f>
        <v>183083.09620040102</v>
      </c>
      <c r="I176" s="320">
        <f t="shared" si="2"/>
        <v>2458611.2932472927</v>
      </c>
      <c r="J176" s="133"/>
      <c r="K176" s="175"/>
      <c r="L176" s="591"/>
      <c r="M176" s="592"/>
    </row>
    <row r="177" spans="1:13" s="84" customFormat="1" x14ac:dyDescent="0.25">
      <c r="A177" s="278">
        <f>Données!A178</f>
        <v>5707</v>
      </c>
      <c r="B177" s="282" t="str">
        <f>Données!B178</f>
        <v>Chavannes-de-Bogis</v>
      </c>
      <c r="C177" s="280">
        <f>VPI!Q178</f>
        <v>58</v>
      </c>
      <c r="D177" s="285">
        <f>Données!Z178</f>
        <v>1388</v>
      </c>
      <c r="E177" s="661">
        <f>VPI!R178</f>
        <v>100327.22695402298</v>
      </c>
      <c r="F177" s="218">
        <f>'Péréquation directe'!K184</f>
        <v>1691045.9123313867</v>
      </c>
      <c r="G177" s="227">
        <f>PCS!I184</f>
        <v>1903707.7143536105</v>
      </c>
      <c r="H177" s="242">
        <f>Police!L178</f>
        <v>240571.95565561822</v>
      </c>
      <c r="I177" s="320">
        <f t="shared" si="2"/>
        <v>3835325.5823406153</v>
      </c>
      <c r="J177" s="133"/>
      <c r="K177" s="175"/>
      <c r="L177" s="591"/>
      <c r="M177" s="592"/>
    </row>
    <row r="178" spans="1:13" s="84" customFormat="1" x14ac:dyDescent="0.25">
      <c r="A178" s="278">
        <f>Données!A179</f>
        <v>5708</v>
      </c>
      <c r="B178" s="282" t="str">
        <f>Données!B179</f>
        <v>Chavannes-des-Bois</v>
      </c>
      <c r="C178" s="280">
        <f>VPI!Q179</f>
        <v>68</v>
      </c>
      <c r="D178" s="285">
        <f>Données!Z179</f>
        <v>982</v>
      </c>
      <c r="E178" s="661">
        <f>VPI!R179</f>
        <v>70377.065294117638</v>
      </c>
      <c r="F178" s="218">
        <f>'Péréquation directe'!K185</f>
        <v>1250236.7334163182</v>
      </c>
      <c r="G178" s="227">
        <f>PCS!I185</f>
        <v>1221360.4549597555</v>
      </c>
      <c r="H178" s="242">
        <f>Police!L179</f>
        <v>169524.53823943849</v>
      </c>
      <c r="I178" s="320">
        <f t="shared" si="2"/>
        <v>2641121.7266155123</v>
      </c>
      <c r="J178" s="133"/>
      <c r="K178" s="175"/>
      <c r="L178" s="591"/>
      <c r="M178" s="592"/>
    </row>
    <row r="179" spans="1:13" s="84" customFormat="1" x14ac:dyDescent="0.25">
      <c r="A179" s="278">
        <f>Données!A180</f>
        <v>5709</v>
      </c>
      <c r="B179" s="282" t="str">
        <f>Données!B180</f>
        <v>Chéserex</v>
      </c>
      <c r="C179" s="280">
        <f>VPI!Q180</f>
        <v>59</v>
      </c>
      <c r="D179" s="285">
        <f>Données!Z180</f>
        <v>1277</v>
      </c>
      <c r="E179" s="661">
        <f>VPI!R180</f>
        <v>110900.39440677965</v>
      </c>
      <c r="F179" s="218">
        <f>'Péréquation directe'!K186</f>
        <v>1939799.0705867</v>
      </c>
      <c r="G179" s="227">
        <f>PCS!I186</f>
        <v>2449623.9781531929</v>
      </c>
      <c r="H179" s="242">
        <f>Police!L180</f>
        <v>242229.39568954095</v>
      </c>
      <c r="I179" s="320">
        <f t="shared" si="2"/>
        <v>4631652.4444294339</v>
      </c>
      <c r="J179" s="133"/>
      <c r="K179" s="175"/>
      <c r="L179" s="591"/>
      <c r="M179" s="592"/>
    </row>
    <row r="180" spans="1:13" s="84" customFormat="1" x14ac:dyDescent="0.25">
      <c r="A180" s="278">
        <f>Données!A181</f>
        <v>5710</v>
      </c>
      <c r="B180" s="282" t="str">
        <f>Données!B181</f>
        <v>Coinsins</v>
      </c>
      <c r="C180" s="280">
        <f>VPI!Q181</f>
        <v>49</v>
      </c>
      <c r="D180" s="285">
        <f>Données!Z181</f>
        <v>517</v>
      </c>
      <c r="E180" s="661">
        <f>VPI!R181</f>
        <v>25704.31551020408</v>
      </c>
      <c r="F180" s="218">
        <f>'Péréquation directe'!K187</f>
        <v>434359.35915360821</v>
      </c>
      <c r="G180" s="227">
        <f>PCS!I187</f>
        <v>386544.30347247003</v>
      </c>
      <c r="H180" s="242">
        <f>Police!L181</f>
        <v>74708.428491916129</v>
      </c>
      <c r="I180" s="320">
        <f t="shared" si="2"/>
        <v>895612.09111799439</v>
      </c>
      <c r="J180" s="133"/>
      <c r="K180" s="175"/>
      <c r="L180" s="591"/>
      <c r="M180" s="592"/>
    </row>
    <row r="181" spans="1:13" s="84" customFormat="1" x14ac:dyDescent="0.25">
      <c r="A181" s="278">
        <f>Données!A182</f>
        <v>5711</v>
      </c>
      <c r="B181" s="282" t="str">
        <f>Données!B182</f>
        <v>Commugny</v>
      </c>
      <c r="C181" s="280">
        <f>VPI!Q182</f>
        <v>57</v>
      </c>
      <c r="D181" s="285">
        <f>Données!Z182</f>
        <v>2987</v>
      </c>
      <c r="E181" s="661">
        <f>VPI!R182</f>
        <v>294735.07522267208</v>
      </c>
      <c r="F181" s="218">
        <f>'Péréquation directe'!K188</f>
        <v>4910120.4979458544</v>
      </c>
      <c r="G181" s="227">
        <f>PCS!I188</f>
        <v>6815154.7903894437</v>
      </c>
      <c r="H181" s="242">
        <f>Police!L182</f>
        <v>606292.8966403252</v>
      </c>
      <c r="I181" s="320">
        <f t="shared" si="2"/>
        <v>12331568.184975622</v>
      </c>
      <c r="J181" s="133"/>
      <c r="K181" s="175"/>
      <c r="L181" s="591"/>
      <c r="M181" s="592"/>
    </row>
    <row r="182" spans="1:13" s="84" customFormat="1" x14ac:dyDescent="0.25">
      <c r="A182" s="278">
        <f>Données!A183</f>
        <v>5712</v>
      </c>
      <c r="B182" s="282" t="str">
        <f>Données!B183</f>
        <v>Coppet</v>
      </c>
      <c r="C182" s="280">
        <f>VPI!Q183</f>
        <v>57</v>
      </c>
      <c r="D182" s="285">
        <f>Données!Z183</f>
        <v>3216</v>
      </c>
      <c r="E182" s="661">
        <f>VPI!R183</f>
        <v>457797.09461988311</v>
      </c>
      <c r="F182" s="218">
        <f>'Péréquation directe'!K189</f>
        <v>7989641.2118820865</v>
      </c>
      <c r="G182" s="227">
        <f>PCS!I189</f>
        <v>12966033.522754358</v>
      </c>
      <c r="H182" s="242">
        <f>Police!L183</f>
        <v>810611.98954527942</v>
      </c>
      <c r="I182" s="320">
        <f t="shared" si="2"/>
        <v>21766286.724181723</v>
      </c>
      <c r="J182" s="133"/>
      <c r="K182" s="175"/>
      <c r="L182" s="591"/>
      <c r="M182" s="592"/>
    </row>
    <row r="183" spans="1:13" s="84" customFormat="1" x14ac:dyDescent="0.25">
      <c r="A183" s="278">
        <f>Données!A184</f>
        <v>5713</v>
      </c>
      <c r="B183" s="282" t="str">
        <f>Données!B184</f>
        <v>Crans</v>
      </c>
      <c r="C183" s="280">
        <f>VPI!Q184</f>
        <v>59</v>
      </c>
      <c r="D183" s="285">
        <f>Données!Z184</f>
        <v>2455</v>
      </c>
      <c r="E183" s="661">
        <f>VPI!R184</f>
        <v>285226.41440677963</v>
      </c>
      <c r="F183" s="218">
        <f>'Péréquation directe'!K190</f>
        <v>4921566.2179854224</v>
      </c>
      <c r="G183" s="227">
        <f>PCS!I190</f>
        <v>8182912.8798773251</v>
      </c>
      <c r="H183" s="242">
        <f>Police!L184</f>
        <v>320500.14628311794</v>
      </c>
      <c r="I183" s="320">
        <f t="shared" si="2"/>
        <v>13424979.244145865</v>
      </c>
      <c r="J183" s="133"/>
      <c r="K183" s="175"/>
      <c r="L183" s="591"/>
      <c r="M183" s="592"/>
    </row>
    <row r="184" spans="1:13" s="84" customFormat="1" x14ac:dyDescent="0.25">
      <c r="A184" s="278">
        <f>Données!A185</f>
        <v>5714</v>
      </c>
      <c r="B184" s="282" t="str">
        <f>Données!B185</f>
        <v>Crassier</v>
      </c>
      <c r="C184" s="280">
        <f>VPI!Q185</f>
        <v>66.5</v>
      </c>
      <c r="D184" s="285">
        <f>Données!Z185</f>
        <v>1274</v>
      </c>
      <c r="E184" s="661">
        <f>VPI!R185</f>
        <v>67017.221203007502</v>
      </c>
      <c r="F184" s="218">
        <f>'Péréquation directe'!K191</f>
        <v>1079947.3147545937</v>
      </c>
      <c r="G184" s="227">
        <f>PCS!I191</f>
        <v>976972.07748474309</v>
      </c>
      <c r="H184" s="242">
        <f>Police!L185</f>
        <v>192642.91863333213</v>
      </c>
      <c r="I184" s="320">
        <f t="shared" si="2"/>
        <v>2249562.3108726689</v>
      </c>
      <c r="J184" s="133"/>
      <c r="K184" s="175"/>
      <c r="L184" s="591"/>
      <c r="M184" s="592"/>
    </row>
    <row r="185" spans="1:13" s="84" customFormat="1" x14ac:dyDescent="0.25">
      <c r="A185" s="278">
        <f>Données!A186</f>
        <v>5715</v>
      </c>
      <c r="B185" s="282" t="str">
        <f>Données!B186</f>
        <v>Duillier</v>
      </c>
      <c r="C185" s="280">
        <f>VPI!Q186</f>
        <v>66</v>
      </c>
      <c r="D185" s="285">
        <f>Données!Z186</f>
        <v>1143</v>
      </c>
      <c r="E185" s="661">
        <f>VPI!R186</f>
        <v>58499.436969696966</v>
      </c>
      <c r="F185" s="218">
        <f>'Péréquation directe'!K192</f>
        <v>961588.16930196632</v>
      </c>
      <c r="G185" s="227">
        <f>PCS!I192</f>
        <v>877574.30225631979</v>
      </c>
      <c r="H185" s="242">
        <f>Police!L186</f>
        <v>171006.40706712793</v>
      </c>
      <c r="I185" s="320">
        <f t="shared" si="2"/>
        <v>2010168.8786254141</v>
      </c>
      <c r="J185" s="133"/>
      <c r="K185" s="175"/>
      <c r="L185" s="591"/>
      <c r="M185" s="592"/>
    </row>
    <row r="186" spans="1:13" s="84" customFormat="1" x14ac:dyDescent="0.25">
      <c r="A186" s="278">
        <f>Données!A187</f>
        <v>5716</v>
      </c>
      <c r="B186" s="282" t="str">
        <f>Données!B187</f>
        <v>Eysins</v>
      </c>
      <c r="C186" s="280">
        <f>VPI!Q187</f>
        <v>59.5</v>
      </c>
      <c r="D186" s="285">
        <f>Données!Z187</f>
        <v>1772</v>
      </c>
      <c r="E186" s="661">
        <f>VPI!R187</f>
        <v>387894.76554621849</v>
      </c>
      <c r="F186" s="218">
        <f>'Péréquation directe'!K193</f>
        <v>5597740.8530655364</v>
      </c>
      <c r="G186" s="227">
        <f>PCS!I193</f>
        <v>13708359.518152948</v>
      </c>
      <c r="H186" s="242">
        <f>Police!L187</f>
        <v>599069.85317467595</v>
      </c>
      <c r="I186" s="320">
        <f t="shared" si="2"/>
        <v>19905170.224393159</v>
      </c>
      <c r="J186" s="133"/>
      <c r="K186" s="175"/>
      <c r="L186" s="591"/>
      <c r="M186" s="592"/>
    </row>
    <row r="187" spans="1:13" s="84" customFormat="1" x14ac:dyDescent="0.25">
      <c r="A187" s="278">
        <f>Données!A188</f>
        <v>5717</v>
      </c>
      <c r="B187" s="282" t="str">
        <f>Données!B188</f>
        <v>Founex</v>
      </c>
      <c r="C187" s="280">
        <f>VPI!Q188</f>
        <v>57</v>
      </c>
      <c r="D187" s="285">
        <f>Données!Z188</f>
        <v>3748</v>
      </c>
      <c r="E187" s="661">
        <f>VPI!R188</f>
        <v>389506.02859649126</v>
      </c>
      <c r="F187" s="218">
        <f>'Péréquation directe'!K194</f>
        <v>6366941.7701866971</v>
      </c>
      <c r="G187" s="227">
        <f>PCS!I194</f>
        <v>9448188.0882411767</v>
      </c>
      <c r="H187" s="242">
        <f>Police!L188</f>
        <v>782873.59235986765</v>
      </c>
      <c r="I187" s="320">
        <f t="shared" si="2"/>
        <v>16598003.450787742</v>
      </c>
      <c r="J187" s="133"/>
      <c r="K187" s="175"/>
      <c r="L187" s="591"/>
      <c r="M187" s="592"/>
    </row>
    <row r="188" spans="1:13" s="84" customFormat="1" x14ac:dyDescent="0.25">
      <c r="A188" s="278">
        <f>Données!A189</f>
        <v>5718</v>
      </c>
      <c r="B188" s="282" t="str">
        <f>Données!B189</f>
        <v>Genolier</v>
      </c>
      <c r="C188" s="280">
        <f>VPI!Q189</f>
        <v>52</v>
      </c>
      <c r="D188" s="285">
        <f>Données!Z189</f>
        <v>2012</v>
      </c>
      <c r="E188" s="661">
        <f>VPI!R189</f>
        <v>239613.31826923083</v>
      </c>
      <c r="F188" s="218">
        <f>'Péréquation directe'!K195</f>
        <v>4191534.7083787876</v>
      </c>
      <c r="G188" s="227">
        <f>PCS!I195</f>
        <v>6057686.5471714484</v>
      </c>
      <c r="H188" s="242">
        <f>Police!L189</f>
        <v>454554.99181912222</v>
      </c>
      <c r="I188" s="320">
        <f t="shared" si="2"/>
        <v>10703776.247369358</v>
      </c>
      <c r="J188" s="133"/>
      <c r="K188" s="175"/>
      <c r="L188" s="591"/>
      <c r="M188" s="592"/>
    </row>
    <row r="189" spans="1:13" s="84" customFormat="1" x14ac:dyDescent="0.25">
      <c r="A189" s="278">
        <f>Données!A190</f>
        <v>5719</v>
      </c>
      <c r="B189" s="282" t="str">
        <f>Données!B190</f>
        <v>Gingins</v>
      </c>
      <c r="C189" s="280">
        <f>VPI!Q190</f>
        <v>60</v>
      </c>
      <c r="D189" s="285">
        <f>Données!Z190</f>
        <v>1253</v>
      </c>
      <c r="E189" s="661">
        <f>VPI!R190</f>
        <v>173273.6891111111</v>
      </c>
      <c r="F189" s="218">
        <f>'Péréquation directe'!K196</f>
        <v>3172467.7152342228</v>
      </c>
      <c r="G189" s="227">
        <f>PCS!I196</f>
        <v>5598602.3213437721</v>
      </c>
      <c r="H189" s="242">
        <f>Police!L190</f>
        <v>310105.90402809379</v>
      </c>
      <c r="I189" s="320">
        <f t="shared" si="2"/>
        <v>9081175.9406060893</v>
      </c>
      <c r="J189" s="133"/>
      <c r="K189" s="175"/>
      <c r="L189" s="591"/>
      <c r="M189" s="592"/>
    </row>
    <row r="190" spans="1:13" s="84" customFormat="1" x14ac:dyDescent="0.25">
      <c r="A190" s="278">
        <f>Données!A191</f>
        <v>5720</v>
      </c>
      <c r="B190" s="282" t="str">
        <f>Données!B191</f>
        <v>Givrins</v>
      </c>
      <c r="C190" s="280">
        <f>VPI!Q191</f>
        <v>67</v>
      </c>
      <c r="D190" s="285">
        <f>Données!Z191</f>
        <v>1071</v>
      </c>
      <c r="E190" s="661">
        <f>VPI!R191</f>
        <v>77350.1792703151</v>
      </c>
      <c r="F190" s="218">
        <f>'Péréquation directe'!K197</f>
        <v>1331837.2882332536</v>
      </c>
      <c r="G190" s="227">
        <f>PCS!I197</f>
        <v>2863678.0494778482</v>
      </c>
      <c r="H190" s="242">
        <f>Police!L191</f>
        <v>185557.07457947027</v>
      </c>
      <c r="I190" s="320">
        <f t="shared" si="2"/>
        <v>4381072.4122905713</v>
      </c>
      <c r="J190" s="133"/>
      <c r="K190" s="175"/>
      <c r="L190" s="591"/>
      <c r="M190" s="592"/>
    </row>
    <row r="191" spans="1:13" s="84" customFormat="1" x14ac:dyDescent="0.25">
      <c r="A191" s="278">
        <f>Données!A192</f>
        <v>5721</v>
      </c>
      <c r="B191" s="282" t="str">
        <f>Données!B192</f>
        <v>Gland</v>
      </c>
      <c r="C191" s="280">
        <f>VPI!Q192</f>
        <v>61</v>
      </c>
      <c r="D191" s="285">
        <f>Données!Z192</f>
        <v>13968</v>
      </c>
      <c r="E191" s="661">
        <f>VPI!R192</f>
        <v>727883.96163934411</v>
      </c>
      <c r="F191" s="218">
        <f>'Péréquation directe'!K198</f>
        <v>4983625.1995545216</v>
      </c>
      <c r="G191" s="227">
        <f>PCS!I198</f>
        <v>11618782.820849463</v>
      </c>
      <c r="H191" s="242">
        <f>Police!L192</f>
        <v>2104379.1487430702</v>
      </c>
      <c r="I191" s="320">
        <f t="shared" si="2"/>
        <v>18706787.169147056</v>
      </c>
      <c r="J191" s="133"/>
      <c r="K191" s="175"/>
      <c r="L191" s="591"/>
      <c r="M191" s="592"/>
    </row>
    <row r="192" spans="1:13" s="84" customFormat="1" x14ac:dyDescent="0.25">
      <c r="A192" s="278">
        <f>Données!A193</f>
        <v>5722</v>
      </c>
      <c r="B192" s="282" t="str">
        <f>Données!B193</f>
        <v>Grens</v>
      </c>
      <c r="C192" s="280">
        <f>VPI!Q193</f>
        <v>62</v>
      </c>
      <c r="D192" s="285">
        <f>Données!Z193</f>
        <v>394</v>
      </c>
      <c r="E192" s="661">
        <f>VPI!R193</f>
        <v>33694.831129032267</v>
      </c>
      <c r="F192" s="218">
        <f>'Péréquation directe'!K199</f>
        <v>608706.09439211828</v>
      </c>
      <c r="G192" s="227">
        <f>PCS!I199</f>
        <v>747232.19350118574</v>
      </c>
      <c r="H192" s="242">
        <f>Police!L193</f>
        <v>74149.965347994264</v>
      </c>
      <c r="I192" s="320">
        <f t="shared" si="2"/>
        <v>1430088.2532412985</v>
      </c>
      <c r="J192" s="133"/>
      <c r="K192" s="175"/>
      <c r="L192" s="591"/>
      <c r="M192" s="592"/>
    </row>
    <row r="193" spans="1:13" s="84" customFormat="1" x14ac:dyDescent="0.25">
      <c r="A193" s="278">
        <f>Données!A194</f>
        <v>5723</v>
      </c>
      <c r="B193" s="282" t="str">
        <f>Données!B194</f>
        <v>Mies</v>
      </c>
      <c r="C193" s="280">
        <f>VPI!Q194</f>
        <v>53</v>
      </c>
      <c r="D193" s="285">
        <f>Données!Z194</f>
        <v>2163</v>
      </c>
      <c r="E193" s="661">
        <f>VPI!R194</f>
        <v>272663.2930188679</v>
      </c>
      <c r="F193" s="218">
        <f>'Péréquation directe'!K200</f>
        <v>4783760.8389232829</v>
      </c>
      <c r="G193" s="227">
        <f>PCS!I200</f>
        <v>7654859.20371933</v>
      </c>
      <c r="H193" s="242">
        <f>Police!L194</f>
        <v>505599.60764794966</v>
      </c>
      <c r="I193" s="320">
        <f t="shared" si="2"/>
        <v>12944219.650290562</v>
      </c>
      <c r="J193" s="133"/>
      <c r="K193" s="175"/>
      <c r="L193" s="591"/>
      <c r="M193" s="592"/>
    </row>
    <row r="194" spans="1:13" s="84" customFormat="1" x14ac:dyDescent="0.25">
      <c r="A194" s="278">
        <f>Données!A195</f>
        <v>5724</v>
      </c>
      <c r="B194" s="282" t="str">
        <f>Données!B195</f>
        <v>Nyon</v>
      </c>
      <c r="C194" s="280">
        <f>VPI!Q195</f>
        <v>61</v>
      </c>
      <c r="D194" s="285">
        <f>Données!Z195</f>
        <v>23328</v>
      </c>
      <c r="E194" s="661">
        <f>VPI!R195</f>
        <v>1639938.8194535521</v>
      </c>
      <c r="F194" s="218">
        <f>'Péréquation directe'!K201</f>
        <v>11499248.437183239</v>
      </c>
      <c r="G194" s="227">
        <f>PCS!I201</f>
        <v>31597818.28286704</v>
      </c>
      <c r="H194" s="242">
        <f>Police!L195</f>
        <v>1842748.7952803506</v>
      </c>
      <c r="I194" s="320">
        <f t="shared" si="2"/>
        <v>44939815.515330628</v>
      </c>
      <c r="J194" s="133"/>
      <c r="K194" s="175"/>
      <c r="L194" s="591"/>
      <c r="M194" s="592"/>
    </row>
    <row r="195" spans="1:13" s="84" customFormat="1" x14ac:dyDescent="0.25">
      <c r="A195" s="278">
        <f>Données!A196</f>
        <v>5725</v>
      </c>
      <c r="B195" s="282" t="str">
        <f>Données!B196</f>
        <v>Prangins</v>
      </c>
      <c r="C195" s="280">
        <f>VPI!Q196</f>
        <v>55</v>
      </c>
      <c r="D195" s="285">
        <f>Données!Z196</f>
        <v>4280</v>
      </c>
      <c r="E195" s="661">
        <f>VPI!R196</f>
        <v>367942.11179220775</v>
      </c>
      <c r="F195" s="218">
        <f>'Péréquation directe'!K202</f>
        <v>5661008.1758429091</v>
      </c>
      <c r="G195" s="227">
        <f>PCS!I202</f>
        <v>7705284.6667896444</v>
      </c>
      <c r="H195" s="242">
        <f>Police!L196</f>
        <v>413445.23051410244</v>
      </c>
      <c r="I195" s="320">
        <f t="shared" si="2"/>
        <v>13779738.073146656</v>
      </c>
      <c r="J195" s="133"/>
      <c r="K195" s="175"/>
      <c r="L195" s="591"/>
      <c r="M195" s="592"/>
    </row>
    <row r="196" spans="1:13" s="84" customFormat="1" x14ac:dyDescent="0.25">
      <c r="A196" s="278">
        <f>Données!A197</f>
        <v>5726</v>
      </c>
      <c r="B196" s="282" t="str">
        <f>Données!B197</f>
        <v>La Rippe</v>
      </c>
      <c r="C196" s="280">
        <f>VPI!Q197</f>
        <v>63.5</v>
      </c>
      <c r="D196" s="285">
        <f>Données!Z197</f>
        <v>1194</v>
      </c>
      <c r="E196" s="661">
        <f>VPI!R197</f>
        <v>73377.861102362207</v>
      </c>
      <c r="F196" s="218">
        <f>'Péréquation directe'!K203</f>
        <v>1234514.8833417692</v>
      </c>
      <c r="G196" s="227">
        <f>PCS!I203</f>
        <v>1101395.6131276654</v>
      </c>
      <c r="H196" s="242">
        <f>Police!L197</f>
        <v>192422.02773605398</v>
      </c>
      <c r="I196" s="320">
        <f t="shared" si="2"/>
        <v>2528332.5242054882</v>
      </c>
      <c r="J196" s="133"/>
      <c r="K196" s="175"/>
      <c r="L196" s="591"/>
      <c r="M196" s="592"/>
    </row>
    <row r="197" spans="1:13" s="84" customFormat="1" x14ac:dyDescent="0.25">
      <c r="A197" s="278">
        <f>Données!A198</f>
        <v>5727</v>
      </c>
      <c r="B197" s="282" t="str">
        <f>Données!B198</f>
        <v>Saint-Cergue</v>
      </c>
      <c r="C197" s="280">
        <f>VPI!Q198</f>
        <v>66</v>
      </c>
      <c r="D197" s="285">
        <f>Données!Z198</f>
        <v>3012</v>
      </c>
      <c r="E197" s="661">
        <f>VPI!R198</f>
        <v>111772.64025252526</v>
      </c>
      <c r="F197" s="218">
        <f>'Péréquation directe'!K204</f>
        <v>173704.82520292653</v>
      </c>
      <c r="G197" s="227">
        <f>PCS!I204</f>
        <v>1630442.7632247247</v>
      </c>
      <c r="H197" s="242">
        <f>Police!L198</f>
        <v>330989.23875144718</v>
      </c>
      <c r="I197" s="320">
        <f t="shared" si="2"/>
        <v>2135136.8271790985</v>
      </c>
      <c r="J197" s="133"/>
      <c r="K197" s="175"/>
      <c r="L197" s="591"/>
      <c r="M197" s="592"/>
    </row>
    <row r="198" spans="1:13" s="84" customFormat="1" x14ac:dyDescent="0.25">
      <c r="A198" s="278">
        <f>Données!A199</f>
        <v>5728</v>
      </c>
      <c r="B198" s="282" t="str">
        <f>Données!B199</f>
        <v>Signy-Avenex</v>
      </c>
      <c r="C198" s="280">
        <f>VPI!Q199</f>
        <v>58</v>
      </c>
      <c r="D198" s="285">
        <f>Données!Z199</f>
        <v>605</v>
      </c>
      <c r="E198" s="661">
        <f>VPI!R199</f>
        <v>44453.550862068965</v>
      </c>
      <c r="F198" s="218">
        <f>'Péréquation directe'!K205</f>
        <v>791740.72683631419</v>
      </c>
      <c r="G198" s="227">
        <f>PCS!I205</f>
        <v>837403.15715062292</v>
      </c>
      <c r="H198" s="242">
        <f>Police!L199</f>
        <v>105672.69344200895</v>
      </c>
      <c r="I198" s="320">
        <f t="shared" ref="I198:I261" si="3">SUM(F198:H198)</f>
        <v>1734816.577428946</v>
      </c>
      <c r="J198" s="133"/>
      <c r="K198" s="175"/>
      <c r="L198" s="591"/>
      <c r="M198" s="592"/>
    </row>
    <row r="199" spans="1:13" s="84" customFormat="1" x14ac:dyDescent="0.25">
      <c r="A199" s="278">
        <f>Données!A200</f>
        <v>5729</v>
      </c>
      <c r="B199" s="282" t="str">
        <f>Données!B200</f>
        <v>Tannay</v>
      </c>
      <c r="C199" s="280">
        <f>VPI!Q200</f>
        <v>60.5</v>
      </c>
      <c r="D199" s="285">
        <f>Données!Z200</f>
        <v>1728</v>
      </c>
      <c r="E199" s="661">
        <f>VPI!R200</f>
        <v>189691.13223140492</v>
      </c>
      <c r="F199" s="218">
        <f>'Péréquation directe'!K206</f>
        <v>3317783.6622641208</v>
      </c>
      <c r="G199" s="227">
        <f>PCS!I206</f>
        <v>4682961.405471188</v>
      </c>
      <c r="H199" s="242">
        <f>Police!L200</f>
        <v>372302.04812755855</v>
      </c>
      <c r="I199" s="320">
        <f t="shared" si="3"/>
        <v>8373047.1158628669</v>
      </c>
      <c r="J199" s="133"/>
      <c r="K199" s="175"/>
      <c r="L199" s="591"/>
      <c r="M199" s="592"/>
    </row>
    <row r="200" spans="1:13" s="84" customFormat="1" x14ac:dyDescent="0.25">
      <c r="A200" s="278">
        <f>Données!A201</f>
        <v>5730</v>
      </c>
      <c r="B200" s="282" t="str">
        <f>Données!B201</f>
        <v>Trélex</v>
      </c>
      <c r="C200" s="280">
        <f>VPI!Q201</f>
        <v>55.5</v>
      </c>
      <c r="D200" s="285">
        <f>Données!Z201</f>
        <v>1428</v>
      </c>
      <c r="E200" s="661">
        <f>VPI!R201</f>
        <v>170256.05113113116</v>
      </c>
      <c r="F200" s="218">
        <f>'Péréquation directe'!K207</f>
        <v>3048130.9603896453</v>
      </c>
      <c r="G200" s="227">
        <f>PCS!I207</f>
        <v>4245524.6512982063</v>
      </c>
      <c r="H200" s="242">
        <f>Police!L201</f>
        <v>322832.8970041608</v>
      </c>
      <c r="I200" s="320">
        <f t="shared" si="3"/>
        <v>7616488.5086920131</v>
      </c>
      <c r="J200" s="133"/>
      <c r="K200" s="175"/>
      <c r="L200" s="591"/>
      <c r="M200" s="592"/>
    </row>
    <row r="201" spans="1:13" s="84" customFormat="1" x14ac:dyDescent="0.25">
      <c r="A201" s="278">
        <f>Données!A202</f>
        <v>5731</v>
      </c>
      <c r="B201" s="282" t="str">
        <f>Données!B202</f>
        <v>Le Vaud</v>
      </c>
      <c r="C201" s="280">
        <f>VPI!Q202</f>
        <v>71</v>
      </c>
      <c r="D201" s="285">
        <f>Données!Z202</f>
        <v>1374</v>
      </c>
      <c r="E201" s="661">
        <f>VPI!R202</f>
        <v>75089.173286384976</v>
      </c>
      <c r="F201" s="218">
        <f>'Péréquation directe'!K208</f>
        <v>1201097.1081323663</v>
      </c>
      <c r="G201" s="227">
        <f>PCS!I208</f>
        <v>1142376.0745919484</v>
      </c>
      <c r="H201" s="242">
        <f>Police!L202</f>
        <v>210923.3056562558</v>
      </c>
      <c r="I201" s="320">
        <f t="shared" si="3"/>
        <v>2554396.4883805704</v>
      </c>
      <c r="J201" s="133"/>
      <c r="K201" s="175"/>
      <c r="L201" s="591"/>
      <c r="M201" s="592"/>
    </row>
    <row r="202" spans="1:13" s="84" customFormat="1" x14ac:dyDescent="0.25">
      <c r="A202" s="278">
        <f>Données!A203</f>
        <v>5732</v>
      </c>
      <c r="B202" s="282" t="str">
        <f>Données!B203</f>
        <v>Vich</v>
      </c>
      <c r="C202" s="280">
        <f>VPI!Q203</f>
        <v>63</v>
      </c>
      <c r="D202" s="285">
        <f>Données!Z203</f>
        <v>1179</v>
      </c>
      <c r="E202" s="661">
        <f>VPI!R203</f>
        <v>83929.487936507925</v>
      </c>
      <c r="F202" s="218">
        <f>'Péréquation directe'!K209</f>
        <v>1447115.8467930513</v>
      </c>
      <c r="G202" s="227">
        <f>PCS!I209</f>
        <v>1648071.1081573511</v>
      </c>
      <c r="H202" s="242">
        <f>Police!L203</f>
        <v>202897.03874417525</v>
      </c>
      <c r="I202" s="320">
        <f t="shared" si="3"/>
        <v>3298083.9936945778</v>
      </c>
      <c r="J202" s="133"/>
      <c r="K202" s="175"/>
      <c r="L202" s="591"/>
      <c r="M202" s="592"/>
    </row>
    <row r="203" spans="1:13" s="84" customFormat="1" x14ac:dyDescent="0.25">
      <c r="A203" s="278">
        <f>Données!A204</f>
        <v>5741</v>
      </c>
      <c r="B203" s="282" t="str">
        <f>Données!B204</f>
        <v>L'Abergement</v>
      </c>
      <c r="C203" s="280">
        <f>VPI!Q204</f>
        <v>80</v>
      </c>
      <c r="D203" s="285">
        <f>Données!Z204</f>
        <v>270</v>
      </c>
      <c r="E203" s="661">
        <f>VPI!R204</f>
        <v>8081.107937499999</v>
      </c>
      <c r="F203" s="218">
        <f>'Péréquation directe'!K210</f>
        <v>-111158.18449444562</v>
      </c>
      <c r="G203" s="227">
        <f>PCS!I210</f>
        <v>110006.71556827062</v>
      </c>
      <c r="H203" s="242">
        <f>Police!L204</f>
        <v>24072.217607221359</v>
      </c>
      <c r="I203" s="320">
        <f t="shared" si="3"/>
        <v>22920.748681046356</v>
      </c>
      <c r="J203" s="133"/>
      <c r="K203" s="175"/>
      <c r="L203" s="591"/>
      <c r="M203" s="592"/>
    </row>
    <row r="204" spans="1:13" s="84" customFormat="1" x14ac:dyDescent="0.25">
      <c r="A204" s="278">
        <f>Données!A205</f>
        <v>5742</v>
      </c>
      <c r="B204" s="282" t="str">
        <f>Données!B205</f>
        <v>Agiez</v>
      </c>
      <c r="C204" s="280">
        <f>VPI!Q205</f>
        <v>76</v>
      </c>
      <c r="D204" s="285">
        <f>Données!Z205</f>
        <v>373</v>
      </c>
      <c r="E204" s="661">
        <f>VPI!R205</f>
        <v>9603.6136842105243</v>
      </c>
      <c r="F204" s="218">
        <f>'Péréquation directe'!K211</f>
        <v>-105799.51944231609</v>
      </c>
      <c r="G204" s="227">
        <f>PCS!I211</f>
        <v>135279.9192617221</v>
      </c>
      <c r="H204" s="242">
        <f>Police!L205</f>
        <v>28362.7494322602</v>
      </c>
      <c r="I204" s="320">
        <f t="shared" si="3"/>
        <v>57843.149251666211</v>
      </c>
      <c r="J204" s="133"/>
      <c r="K204" s="175"/>
      <c r="L204" s="591"/>
      <c r="M204" s="592"/>
    </row>
    <row r="205" spans="1:13" s="84" customFormat="1" x14ac:dyDescent="0.25">
      <c r="A205" s="278">
        <f>Données!A206</f>
        <v>5743</v>
      </c>
      <c r="B205" s="282" t="str">
        <f>Données!B206</f>
        <v>Arnex-sur-Orbe</v>
      </c>
      <c r="C205" s="280">
        <f>VPI!Q206</f>
        <v>71</v>
      </c>
      <c r="D205" s="285">
        <f>Données!Z206</f>
        <v>697</v>
      </c>
      <c r="E205" s="661">
        <f>VPI!R206</f>
        <v>19616.934718309862</v>
      </c>
      <c r="F205" s="218">
        <f>'Péréquation directe'!K212</f>
        <v>-99660.369298170554</v>
      </c>
      <c r="G205" s="227">
        <f>PCS!I212</f>
        <v>255063.06048170038</v>
      </c>
      <c r="H205" s="242">
        <f>Police!L206</f>
        <v>58378.82598703634</v>
      </c>
      <c r="I205" s="320">
        <f t="shared" si="3"/>
        <v>213781.51717056616</v>
      </c>
      <c r="J205" s="133"/>
      <c r="K205" s="175"/>
      <c r="L205" s="591"/>
      <c r="M205" s="592"/>
    </row>
    <row r="206" spans="1:13" s="84" customFormat="1" x14ac:dyDescent="0.25">
      <c r="A206" s="278">
        <f>Données!A207</f>
        <v>5744</v>
      </c>
      <c r="B206" s="282" t="str">
        <f>Données!B207</f>
        <v>Ballaigues</v>
      </c>
      <c r="C206" s="280">
        <f>VPI!Q207</f>
        <v>65</v>
      </c>
      <c r="D206" s="285">
        <f>Données!Z207</f>
        <v>1209</v>
      </c>
      <c r="E206" s="661">
        <f>VPI!R207</f>
        <v>81085.11846153847</v>
      </c>
      <c r="F206" s="218">
        <f>'Péréquation directe'!K213</f>
        <v>1187374.7534128805</v>
      </c>
      <c r="G206" s="227">
        <f>PCS!I213</f>
        <v>1726583.2510517703</v>
      </c>
      <c r="H206" s="242">
        <f>Police!L207</f>
        <v>202463.96312329819</v>
      </c>
      <c r="I206" s="320">
        <f t="shared" si="3"/>
        <v>3116421.9675879488</v>
      </c>
      <c r="J206" s="133"/>
      <c r="K206" s="175"/>
      <c r="L206" s="591"/>
      <c r="M206" s="592"/>
    </row>
    <row r="207" spans="1:13" s="84" customFormat="1" x14ac:dyDescent="0.25">
      <c r="A207" s="278">
        <f>Données!A208</f>
        <v>5745</v>
      </c>
      <c r="B207" s="282" t="str">
        <f>Données!B208</f>
        <v>Baulmes</v>
      </c>
      <c r="C207" s="280">
        <f>VPI!Q208</f>
        <v>76.5</v>
      </c>
      <c r="D207" s="285">
        <f>Données!Z208</f>
        <v>1168</v>
      </c>
      <c r="E207" s="661">
        <f>VPI!R208</f>
        <v>29568.283921568625</v>
      </c>
      <c r="F207" s="218">
        <f>'Péréquation directe'!K214</f>
        <v>-656871.65563540254</v>
      </c>
      <c r="G207" s="227">
        <f>PCS!I214</f>
        <v>405345.66966015159</v>
      </c>
      <c r="H207" s="242">
        <f>Police!L208</f>
        <v>88070.044638206105</v>
      </c>
      <c r="I207" s="320">
        <f t="shared" si="3"/>
        <v>-163455.94133704485</v>
      </c>
      <c r="J207" s="133"/>
      <c r="K207" s="175"/>
      <c r="L207" s="591"/>
      <c r="M207" s="592"/>
    </row>
    <row r="208" spans="1:13" s="84" customFormat="1" x14ac:dyDescent="0.25">
      <c r="A208" s="278">
        <f>Données!A209</f>
        <v>5746</v>
      </c>
      <c r="B208" s="282" t="str">
        <f>Données!B209</f>
        <v>Bavois</v>
      </c>
      <c r="C208" s="280">
        <f>VPI!Q209</f>
        <v>72</v>
      </c>
      <c r="D208" s="285">
        <f>Données!Z209</f>
        <v>1041</v>
      </c>
      <c r="E208" s="661">
        <f>VPI!R209</f>
        <v>37130.012939814806</v>
      </c>
      <c r="F208" s="218">
        <f>'Péréquation directe'!K215</f>
        <v>73742.315649907221</v>
      </c>
      <c r="G208" s="227">
        <f>PCS!I215</f>
        <v>512915.48063181835</v>
      </c>
      <c r="H208" s="242">
        <f>Police!L209</f>
        <v>109632.58482481458</v>
      </c>
      <c r="I208" s="320">
        <f t="shared" si="3"/>
        <v>696290.38110654021</v>
      </c>
      <c r="J208" s="133"/>
      <c r="K208" s="175"/>
      <c r="L208" s="591"/>
      <c r="M208" s="592"/>
    </row>
    <row r="209" spans="1:13" s="84" customFormat="1" x14ac:dyDescent="0.25">
      <c r="A209" s="278">
        <f>Données!A210</f>
        <v>5747</v>
      </c>
      <c r="B209" s="282" t="str">
        <f>Données!B210</f>
        <v>Bofflens</v>
      </c>
      <c r="C209" s="280">
        <f>VPI!Q210</f>
        <v>69</v>
      </c>
      <c r="D209" s="285">
        <f>Données!Z210</f>
        <v>200</v>
      </c>
      <c r="E209" s="661">
        <f>VPI!R210</f>
        <v>7511.2471014492739</v>
      </c>
      <c r="F209" s="218">
        <f>'Péréquation directe'!K216</f>
        <v>43511.234245980231</v>
      </c>
      <c r="G209" s="227">
        <f>PCS!I216</f>
        <v>100050.28280765262</v>
      </c>
      <c r="H209" s="242">
        <f>Police!L210</f>
        <v>22419.802196245058</v>
      </c>
      <c r="I209" s="320">
        <f t="shared" si="3"/>
        <v>165981.31924987791</v>
      </c>
      <c r="J209" s="133"/>
      <c r="K209" s="175"/>
      <c r="L209" s="591"/>
      <c r="M209" s="592"/>
    </row>
    <row r="210" spans="1:13" s="84" customFormat="1" x14ac:dyDescent="0.25">
      <c r="A210" s="278">
        <f>Données!A211</f>
        <v>5748</v>
      </c>
      <c r="B210" s="282" t="str">
        <f>Données!B211</f>
        <v>Bretonnières</v>
      </c>
      <c r="C210" s="280">
        <f>VPI!Q211</f>
        <v>70.5</v>
      </c>
      <c r="D210" s="285">
        <f>Données!Z211</f>
        <v>261</v>
      </c>
      <c r="E210" s="661">
        <f>VPI!R211</f>
        <v>6883.0895035460999</v>
      </c>
      <c r="F210" s="218">
        <f>'Péréquation directe'!K217</f>
        <v>-103082.80951421501</v>
      </c>
      <c r="G210" s="227">
        <f>PCS!I217</f>
        <v>98672.840435125763</v>
      </c>
      <c r="H210" s="242">
        <f>Police!L211</f>
        <v>20271.906257134149</v>
      </c>
      <c r="I210" s="320">
        <f t="shared" si="3"/>
        <v>15861.9371780449</v>
      </c>
      <c r="J210" s="133"/>
      <c r="K210" s="175"/>
      <c r="L210" s="591"/>
      <c r="M210" s="592"/>
    </row>
    <row r="211" spans="1:13" s="84" customFormat="1" x14ac:dyDescent="0.25">
      <c r="A211" s="278">
        <f>Données!A212</f>
        <v>5749</v>
      </c>
      <c r="B211" s="282" t="str">
        <f>Données!B212</f>
        <v>Chavornay</v>
      </c>
      <c r="C211" s="280">
        <f>VPI!Q212</f>
        <v>70.5</v>
      </c>
      <c r="D211" s="285">
        <f>Données!Z212</f>
        <v>5442</v>
      </c>
      <c r="E211" s="661">
        <f>VPI!R212</f>
        <v>155929.24482269504</v>
      </c>
      <c r="F211" s="218">
        <f>'Péréquation directe'!K218</f>
        <v>-2290594.316835593</v>
      </c>
      <c r="G211" s="227">
        <f>PCS!I218</f>
        <v>2251485.1652821084</v>
      </c>
      <c r="H211" s="242">
        <f>Police!L212</f>
        <v>458316.56612436404</v>
      </c>
      <c r="I211" s="320">
        <f t="shared" si="3"/>
        <v>419207.41457087942</v>
      </c>
      <c r="J211" s="133"/>
      <c r="K211" s="175"/>
      <c r="L211" s="591"/>
      <c r="M211" s="592"/>
    </row>
    <row r="212" spans="1:13" s="84" customFormat="1" x14ac:dyDescent="0.25">
      <c r="A212" s="278">
        <f>Données!A213</f>
        <v>5750</v>
      </c>
      <c r="B212" s="282" t="str">
        <f>Données!B213</f>
        <v>Les Clées</v>
      </c>
      <c r="C212" s="280">
        <f>VPI!Q213</f>
        <v>80</v>
      </c>
      <c r="D212" s="285">
        <f>Données!Z213</f>
        <v>194</v>
      </c>
      <c r="E212" s="661">
        <f>VPI!R213</f>
        <v>6153.1082500000002</v>
      </c>
      <c r="F212" s="218">
        <f>'Péréquation directe'!K219</f>
        <v>-71920.72689068492</v>
      </c>
      <c r="G212" s="227">
        <f>PCS!I219</f>
        <v>102506.98703721812</v>
      </c>
      <c r="H212" s="242">
        <f>Police!L213</f>
        <v>18581.88992731088</v>
      </c>
      <c r="I212" s="320">
        <f t="shared" si="3"/>
        <v>49168.150073844081</v>
      </c>
      <c r="J212" s="133"/>
      <c r="K212" s="175"/>
      <c r="L212" s="591"/>
      <c r="M212" s="592"/>
    </row>
    <row r="213" spans="1:13" s="84" customFormat="1" x14ac:dyDescent="0.25">
      <c r="A213" s="278">
        <f>Données!A214</f>
        <v>5752</v>
      </c>
      <c r="B213" s="282" t="str">
        <f>Données!B214</f>
        <v>Croy</v>
      </c>
      <c r="C213" s="280">
        <f>VPI!Q214</f>
        <v>74</v>
      </c>
      <c r="D213" s="285">
        <f>Données!Z214</f>
        <v>403</v>
      </c>
      <c r="E213" s="661">
        <f>VPI!R214</f>
        <v>10564.904768339768</v>
      </c>
      <c r="F213" s="218">
        <f>'Péréquation directe'!K220</f>
        <v>-101146.30011355699</v>
      </c>
      <c r="G213" s="227">
        <f>PCS!I220</f>
        <v>167543.72669511213</v>
      </c>
      <c r="H213" s="242">
        <f>Police!L214</f>
        <v>31226.956004411491</v>
      </c>
      <c r="I213" s="320">
        <f t="shared" si="3"/>
        <v>97624.382585966625</v>
      </c>
      <c r="J213" s="133"/>
      <c r="K213" s="175"/>
      <c r="L213" s="591"/>
      <c r="M213" s="592"/>
    </row>
    <row r="214" spans="1:13" s="84" customFormat="1" x14ac:dyDescent="0.25">
      <c r="A214" s="278">
        <f>Données!A215</f>
        <v>5754</v>
      </c>
      <c r="B214" s="282" t="str">
        <f>Données!B215</f>
        <v>Juriens</v>
      </c>
      <c r="C214" s="280">
        <f>VPI!Q215</f>
        <v>79</v>
      </c>
      <c r="D214" s="285">
        <f>Données!Z215</f>
        <v>348</v>
      </c>
      <c r="E214" s="661">
        <f>VPI!R215</f>
        <v>8959.0606329113925</v>
      </c>
      <c r="F214" s="218">
        <f>'Péréquation directe'!K221</f>
        <v>-155734.41009430532</v>
      </c>
      <c r="G214" s="227">
        <f>PCS!I221</f>
        <v>121445.98295225031</v>
      </c>
      <c r="H214" s="242">
        <f>Police!L215</f>
        <v>26679.868637109837</v>
      </c>
      <c r="I214" s="320">
        <f t="shared" si="3"/>
        <v>-7608.5585049451693</v>
      </c>
      <c r="J214" s="133"/>
      <c r="K214" s="175"/>
      <c r="L214" s="591"/>
      <c r="M214" s="592"/>
    </row>
    <row r="215" spans="1:13" s="84" customFormat="1" x14ac:dyDescent="0.25">
      <c r="A215" s="278">
        <f>Données!A216</f>
        <v>5755</v>
      </c>
      <c r="B215" s="282" t="str">
        <f>Données!B216</f>
        <v>Lignerolle</v>
      </c>
      <c r="C215" s="280">
        <f>VPI!Q216</f>
        <v>78.5</v>
      </c>
      <c r="D215" s="285">
        <f>Données!Z216</f>
        <v>463</v>
      </c>
      <c r="E215" s="661">
        <f>VPI!R216</f>
        <v>10387.208371246586</v>
      </c>
      <c r="F215" s="218">
        <f>'Péréquation directe'!K222</f>
        <v>-757227.59405529767</v>
      </c>
      <c r="G215" s="227">
        <f>PCS!I222</f>
        <v>162604.03100600361</v>
      </c>
      <c r="H215" s="242">
        <f>Police!L216</f>
        <v>30401.809392567047</v>
      </c>
      <c r="I215" s="320">
        <f t="shared" si="3"/>
        <v>-564221.75365672703</v>
      </c>
      <c r="J215" s="133"/>
      <c r="K215" s="175"/>
      <c r="L215" s="591"/>
      <c r="M215" s="592"/>
    </row>
    <row r="216" spans="1:13" s="84" customFormat="1" x14ac:dyDescent="0.25">
      <c r="A216" s="278">
        <f>Données!A217</f>
        <v>5756</v>
      </c>
      <c r="B216" s="282" t="str">
        <f>Données!B217</f>
        <v>Montcherand</v>
      </c>
      <c r="C216" s="280">
        <f>VPI!Q217</f>
        <v>72</v>
      </c>
      <c r="D216" s="285">
        <f>Données!Z217</f>
        <v>489</v>
      </c>
      <c r="E216" s="661">
        <f>VPI!R217</f>
        <v>21540.691249999996</v>
      </c>
      <c r="F216" s="218">
        <f>'Péréquation directe'!K223</f>
        <v>279482.65238295228</v>
      </c>
      <c r="G216" s="227">
        <f>PCS!I223</f>
        <v>244335.88841015898</v>
      </c>
      <c r="H216" s="242">
        <f>Police!L217</f>
        <v>64799.477846646143</v>
      </c>
      <c r="I216" s="320">
        <f t="shared" si="3"/>
        <v>588618.01863975741</v>
      </c>
      <c r="J216" s="133"/>
      <c r="K216" s="175"/>
      <c r="L216" s="591"/>
      <c r="M216" s="592"/>
    </row>
    <row r="217" spans="1:13" s="84" customFormat="1" x14ac:dyDescent="0.25">
      <c r="A217" s="278">
        <f>Données!A218</f>
        <v>5757</v>
      </c>
      <c r="B217" s="282" t="str">
        <f>Données!B218</f>
        <v>Orbe</v>
      </c>
      <c r="C217" s="280">
        <f>VPI!Q218</f>
        <v>75.5</v>
      </c>
      <c r="D217" s="285">
        <f>Données!Z218</f>
        <v>7962</v>
      </c>
      <c r="E217" s="661">
        <f>VPI!R218</f>
        <v>256549.05814569537</v>
      </c>
      <c r="F217" s="218">
        <f>'Péréquation directe'!K224</f>
        <v>-4597266.6157894107</v>
      </c>
      <c r="G217" s="227">
        <f>PCS!I224</f>
        <v>4617175.8245077627</v>
      </c>
      <c r="H217" s="242">
        <f>Police!L218</f>
        <v>755491.47780832602</v>
      </c>
      <c r="I217" s="320">
        <f t="shared" si="3"/>
        <v>775400.68652667804</v>
      </c>
      <c r="J217" s="133"/>
      <c r="K217" s="175"/>
      <c r="L217" s="591"/>
      <c r="M217" s="592"/>
    </row>
    <row r="218" spans="1:13" s="84" customFormat="1" x14ac:dyDescent="0.25">
      <c r="A218" s="278">
        <f>Données!A219</f>
        <v>5758</v>
      </c>
      <c r="B218" s="282" t="str">
        <f>Données!B219</f>
        <v>La Praz</v>
      </c>
      <c r="C218" s="280">
        <f>VPI!Q219</f>
        <v>83</v>
      </c>
      <c r="D218" s="285">
        <f>Données!Z219</f>
        <v>207</v>
      </c>
      <c r="E218" s="661">
        <f>VPI!R219</f>
        <v>5899.0938554216882</v>
      </c>
      <c r="F218" s="218">
        <f>'Péréquation directe'!K225</f>
        <v>-285603.11118609924</v>
      </c>
      <c r="G218" s="227">
        <f>PCS!I225</f>
        <v>84744.279886423566</v>
      </c>
      <c r="H218" s="242">
        <f>Police!L219</f>
        <v>17587.656532466339</v>
      </c>
      <c r="I218" s="320">
        <f t="shared" si="3"/>
        <v>-183271.17476720933</v>
      </c>
      <c r="J218" s="133"/>
      <c r="K218" s="175"/>
      <c r="L218" s="591"/>
      <c r="M218" s="592"/>
    </row>
    <row r="219" spans="1:13" s="84" customFormat="1" x14ac:dyDescent="0.25">
      <c r="A219" s="278">
        <f>Données!A220</f>
        <v>5759</v>
      </c>
      <c r="B219" s="282" t="str">
        <f>Données!B220</f>
        <v>Premier</v>
      </c>
      <c r="C219" s="280">
        <f>VPI!Q220</f>
        <v>79.5</v>
      </c>
      <c r="D219" s="285">
        <f>Données!Z220</f>
        <v>228</v>
      </c>
      <c r="E219" s="661">
        <f>VPI!R220</f>
        <v>5179.7449056603764</v>
      </c>
      <c r="F219" s="218">
        <f>'Péréquation directe'!K226</f>
        <v>-179322.69243717653</v>
      </c>
      <c r="G219" s="227">
        <f>PCS!I226</f>
        <v>69440.230092658923</v>
      </c>
      <c r="H219" s="242">
        <f>Police!L220</f>
        <v>15319.931808730078</v>
      </c>
      <c r="I219" s="320">
        <f t="shared" si="3"/>
        <v>-94562.530535787533</v>
      </c>
      <c r="J219" s="133"/>
      <c r="K219" s="175"/>
      <c r="L219" s="591"/>
      <c r="M219" s="592"/>
    </row>
    <row r="220" spans="1:13" s="84" customFormat="1" x14ac:dyDescent="0.25">
      <c r="A220" s="278">
        <f>Données!A221</f>
        <v>5760</v>
      </c>
      <c r="B220" s="282" t="str">
        <f>Données!B221</f>
        <v>Rances</v>
      </c>
      <c r="C220" s="280">
        <f>VPI!Q221</f>
        <v>76.5</v>
      </c>
      <c r="D220" s="285">
        <f>Données!Z221</f>
        <v>508</v>
      </c>
      <c r="E220" s="661">
        <f>VPI!R221</f>
        <v>13863.335032679737</v>
      </c>
      <c r="F220" s="218">
        <f>'Péréquation directe'!K227</f>
        <v>-221426.44262478285</v>
      </c>
      <c r="G220" s="227">
        <f>PCS!I227</f>
        <v>201951.25398070517</v>
      </c>
      <c r="H220" s="242">
        <f>Police!L221</f>
        <v>41033.994675780232</v>
      </c>
      <c r="I220" s="320">
        <f t="shared" si="3"/>
        <v>21558.806031702545</v>
      </c>
      <c r="J220" s="133"/>
      <c r="K220" s="175"/>
      <c r="L220" s="591"/>
      <c r="M220" s="592"/>
    </row>
    <row r="221" spans="1:13" s="84" customFormat="1" x14ac:dyDescent="0.25">
      <c r="A221" s="278">
        <f>Données!A222</f>
        <v>5761</v>
      </c>
      <c r="B221" s="282" t="str">
        <f>Données!B222</f>
        <v>Romainmôtier-Envy</v>
      </c>
      <c r="C221" s="280">
        <f>VPI!Q222</f>
        <v>81</v>
      </c>
      <c r="D221" s="285">
        <f>Données!Z222</f>
        <v>560</v>
      </c>
      <c r="E221" s="661">
        <f>VPI!R222</f>
        <v>14116.093355780025</v>
      </c>
      <c r="F221" s="218">
        <f>'Péréquation directe'!K228</f>
        <v>-329411.9577262713</v>
      </c>
      <c r="G221" s="227">
        <f>PCS!I228</f>
        <v>197758.67579804012</v>
      </c>
      <c r="H221" s="242">
        <f>Police!L222</f>
        <v>41698.66621257698</v>
      </c>
      <c r="I221" s="320">
        <f t="shared" si="3"/>
        <v>-89954.615715654203</v>
      </c>
      <c r="J221" s="133"/>
      <c r="K221" s="175"/>
      <c r="L221" s="591"/>
      <c r="M221" s="592"/>
    </row>
    <row r="222" spans="1:13" s="84" customFormat="1" x14ac:dyDescent="0.25">
      <c r="A222" s="278">
        <f>Données!A223</f>
        <v>5762</v>
      </c>
      <c r="B222" s="282" t="str">
        <f>Données!B223</f>
        <v>Sergey</v>
      </c>
      <c r="C222" s="280">
        <f>VPI!Q223</f>
        <v>76</v>
      </c>
      <c r="D222" s="285">
        <f>Données!Z223</f>
        <v>133</v>
      </c>
      <c r="E222" s="661">
        <f>VPI!R223</f>
        <v>3517.4810526315791</v>
      </c>
      <c r="F222" s="218">
        <f>'Péréquation directe'!K229</f>
        <v>-68151.343235450273</v>
      </c>
      <c r="G222" s="227">
        <f>PCS!I229</f>
        <v>53248.149244363442</v>
      </c>
      <c r="H222" s="242">
        <f>Police!L223</f>
        <v>10399.259183566519</v>
      </c>
      <c r="I222" s="320">
        <f t="shared" si="3"/>
        <v>-4503.9348075203125</v>
      </c>
      <c r="J222" s="133"/>
      <c r="K222" s="175"/>
      <c r="L222" s="591"/>
      <c r="M222" s="592"/>
    </row>
    <row r="223" spans="1:13" s="84" customFormat="1" x14ac:dyDescent="0.25">
      <c r="A223" s="278">
        <f>Données!A224</f>
        <v>5763</v>
      </c>
      <c r="B223" s="282" t="str">
        <f>Données!B224</f>
        <v>Valeyres-sous-Rances</v>
      </c>
      <c r="C223" s="280">
        <f>VPI!Q224</f>
        <v>71</v>
      </c>
      <c r="D223" s="285">
        <f>Données!Z224</f>
        <v>583</v>
      </c>
      <c r="E223" s="661">
        <f>VPI!R224</f>
        <v>22039.299577464786</v>
      </c>
      <c r="F223" s="218">
        <f>'Péréquation directe'!K230</f>
        <v>116544.33371923695</v>
      </c>
      <c r="G223" s="227">
        <f>PCS!I230</f>
        <v>351148.25603229942</v>
      </c>
      <c r="H223" s="242">
        <f>Police!L224</f>
        <v>66387.396089596048</v>
      </c>
      <c r="I223" s="320">
        <f t="shared" si="3"/>
        <v>534079.98584113247</v>
      </c>
      <c r="J223" s="133"/>
      <c r="K223" s="175"/>
      <c r="L223" s="591"/>
      <c r="M223" s="592"/>
    </row>
    <row r="224" spans="1:13" s="84" customFormat="1" x14ac:dyDescent="0.25">
      <c r="A224" s="278">
        <f>Données!A225</f>
        <v>5764</v>
      </c>
      <c r="B224" s="282" t="str">
        <f>Données!B225</f>
        <v>Vallorbe</v>
      </c>
      <c r="C224" s="280">
        <f>VPI!Q225</f>
        <v>71.5</v>
      </c>
      <c r="D224" s="285">
        <f>Données!Z225</f>
        <v>4328</v>
      </c>
      <c r="E224" s="661">
        <f>VPI!R225</f>
        <v>94918.330489510496</v>
      </c>
      <c r="F224" s="218">
        <f>'Péréquation directe'!K231</f>
        <v>-4644287.5272069825</v>
      </c>
      <c r="G224" s="227">
        <f>PCS!I231</f>
        <v>2542924.1998758819</v>
      </c>
      <c r="H224" s="242">
        <f>Police!L225</f>
        <v>278691.79446371982</v>
      </c>
      <c r="I224" s="320">
        <f t="shared" si="3"/>
        <v>-1822671.5328673809</v>
      </c>
      <c r="J224" s="133"/>
      <c r="K224" s="175"/>
      <c r="L224" s="591"/>
      <c r="M224" s="592"/>
    </row>
    <row r="225" spans="1:13" s="84" customFormat="1" x14ac:dyDescent="0.25">
      <c r="A225" s="278">
        <f>Données!A226</f>
        <v>5765</v>
      </c>
      <c r="B225" s="282" t="str">
        <f>Données!B226</f>
        <v>Vaulion</v>
      </c>
      <c r="C225" s="280">
        <f>VPI!Q226</f>
        <v>81</v>
      </c>
      <c r="D225" s="285">
        <f>Données!Z226</f>
        <v>489</v>
      </c>
      <c r="E225" s="661">
        <f>VPI!R226</f>
        <v>10165.546419753087</v>
      </c>
      <c r="F225" s="218">
        <f>'Péréquation directe'!K232</f>
        <v>-416891.33258935617</v>
      </c>
      <c r="G225" s="227">
        <f>PCS!I232</f>
        <v>175637.06493630775</v>
      </c>
      <c r="H225" s="242">
        <f>Police!L226</f>
        <v>30007.903352568221</v>
      </c>
      <c r="I225" s="320">
        <f t="shared" si="3"/>
        <v>-211246.3643004802</v>
      </c>
      <c r="J225" s="133"/>
      <c r="K225" s="175"/>
      <c r="L225" s="591"/>
      <c r="M225" s="592"/>
    </row>
    <row r="226" spans="1:13" s="84" customFormat="1" x14ac:dyDescent="0.25">
      <c r="A226" s="278">
        <f>Données!A227</f>
        <v>5766</v>
      </c>
      <c r="B226" s="282" t="str">
        <f>Données!B227</f>
        <v>Vuiteboeuf</v>
      </c>
      <c r="C226" s="280">
        <f>VPI!Q227</f>
        <v>75</v>
      </c>
      <c r="D226" s="285">
        <f>Données!Z227</f>
        <v>607</v>
      </c>
      <c r="E226" s="661">
        <f>VPI!R227</f>
        <v>15485.667942857142</v>
      </c>
      <c r="F226" s="218">
        <f>'Péréquation directe'!K233</f>
        <v>-231850.00395732751</v>
      </c>
      <c r="G226" s="227">
        <f>PCS!I233</f>
        <v>249675.38217374991</v>
      </c>
      <c r="H226" s="242">
        <f>Police!L227</f>
        <v>45564.47688516925</v>
      </c>
      <c r="I226" s="320">
        <f t="shared" si="3"/>
        <v>63389.855101591646</v>
      </c>
      <c r="J226" s="133"/>
      <c r="K226" s="175"/>
      <c r="L226" s="591"/>
      <c r="M226" s="592"/>
    </row>
    <row r="227" spans="1:13" s="84" customFormat="1" x14ac:dyDescent="0.25">
      <c r="A227" s="278">
        <f>Données!A228</f>
        <v>5785</v>
      </c>
      <c r="B227" s="282" t="str">
        <f>Données!B228</f>
        <v>Corcelles-le-Jorat</v>
      </c>
      <c r="C227" s="280">
        <f>VPI!Q228</f>
        <v>75</v>
      </c>
      <c r="D227" s="285">
        <f>Données!Z228</f>
        <v>499</v>
      </c>
      <c r="E227" s="661">
        <f>VPI!R228</f>
        <v>15190.065466666669</v>
      </c>
      <c r="F227" s="218">
        <f>'Péréquation directe'!K234</f>
        <v>-39337.109459237603</v>
      </c>
      <c r="G227" s="227">
        <f>PCS!I234</f>
        <v>343578.15819635743</v>
      </c>
      <c r="H227" s="242">
        <f>Police!L228</f>
        <v>45020.233477500988</v>
      </c>
      <c r="I227" s="320">
        <f t="shared" si="3"/>
        <v>349261.28221462079</v>
      </c>
      <c r="J227" s="133"/>
      <c r="K227" s="175"/>
      <c r="L227" s="591"/>
      <c r="M227" s="592"/>
    </row>
    <row r="228" spans="1:13" s="84" customFormat="1" x14ac:dyDescent="0.25">
      <c r="A228" s="278">
        <f>Données!A229</f>
        <v>5790</v>
      </c>
      <c r="B228" s="282" t="str">
        <f>Données!B229</f>
        <v>Maracon</v>
      </c>
      <c r="C228" s="280">
        <f>VPI!Q229</f>
        <v>74.5</v>
      </c>
      <c r="D228" s="285">
        <f>Données!Z229</f>
        <v>569</v>
      </c>
      <c r="E228" s="661">
        <f>VPI!R229</f>
        <v>16291.788187919459</v>
      </c>
      <c r="F228" s="218">
        <f>'Péréquation directe'!K235</f>
        <v>-96974.191478234541</v>
      </c>
      <c r="G228" s="227">
        <f>PCS!I235</f>
        <v>214005.0003365365</v>
      </c>
      <c r="H228" s="242">
        <f>Police!L229</f>
        <v>48165.136035236603</v>
      </c>
      <c r="I228" s="320">
        <f t="shared" si="3"/>
        <v>165195.94489353854</v>
      </c>
      <c r="J228" s="133"/>
      <c r="K228" s="175"/>
      <c r="L228" s="591"/>
      <c r="M228" s="592"/>
    </row>
    <row r="229" spans="1:13" s="84" customFormat="1" x14ac:dyDescent="0.25">
      <c r="A229" s="278">
        <f>Données!A230</f>
        <v>5792</v>
      </c>
      <c r="B229" s="282" t="str">
        <f>Données!B230</f>
        <v>Montpreveyres</v>
      </c>
      <c r="C229" s="280">
        <f>VPI!Q230</f>
        <v>74.5</v>
      </c>
      <c r="D229" s="285">
        <f>Données!Z230</f>
        <v>653</v>
      </c>
      <c r="E229" s="661">
        <f>VPI!R230</f>
        <v>20010.357852348992</v>
      </c>
      <c r="F229" s="218">
        <f>'Péréquation directe'!K236</f>
        <v>-175287.75316935108</v>
      </c>
      <c r="G229" s="227">
        <f>PCS!I236</f>
        <v>340595.27685815468</v>
      </c>
      <c r="H229" s="242">
        <f>Police!L230</f>
        <v>59141.513659614771</v>
      </c>
      <c r="I229" s="320">
        <f t="shared" si="3"/>
        <v>224449.03734841838</v>
      </c>
      <c r="J229" s="133"/>
      <c r="K229" s="175"/>
      <c r="L229" s="591"/>
      <c r="M229" s="592"/>
    </row>
    <row r="230" spans="1:13" s="84" customFormat="1" x14ac:dyDescent="0.25">
      <c r="A230" s="278">
        <f>Données!A231</f>
        <v>5798</v>
      </c>
      <c r="B230" s="282" t="str">
        <f>Données!B231</f>
        <v>Ropraz</v>
      </c>
      <c r="C230" s="280">
        <f>VPI!Q231</f>
        <v>77.5</v>
      </c>
      <c r="D230" s="285">
        <f>Données!Z231</f>
        <v>529</v>
      </c>
      <c r="E230" s="661">
        <f>VPI!R231</f>
        <v>15645.960516129035</v>
      </c>
      <c r="F230" s="218">
        <f>'Péréquation directe'!K237</f>
        <v>-60880.610967560031</v>
      </c>
      <c r="G230" s="227">
        <f>PCS!I237</f>
        <v>244684.50386370183</v>
      </c>
      <c r="H230" s="242">
        <f>Police!L231</f>
        <v>46006.189999739829</v>
      </c>
      <c r="I230" s="320">
        <f t="shared" si="3"/>
        <v>229810.08289588161</v>
      </c>
      <c r="J230" s="133"/>
      <c r="K230" s="175"/>
      <c r="L230" s="591"/>
      <c r="M230" s="592"/>
    </row>
    <row r="231" spans="1:13" s="84" customFormat="1" x14ac:dyDescent="0.25">
      <c r="A231" s="278">
        <f>Données!A232</f>
        <v>5799</v>
      </c>
      <c r="B231" s="282" t="str">
        <f>Données!B232</f>
        <v>Servion</v>
      </c>
      <c r="C231" s="280">
        <f>VPI!Q232</f>
        <v>69</v>
      </c>
      <c r="D231" s="285">
        <f>Données!Z232</f>
        <v>2228</v>
      </c>
      <c r="E231" s="661">
        <f>VPI!R232</f>
        <v>79870.61985507248</v>
      </c>
      <c r="F231" s="218">
        <f>'Péréquation directe'!K238</f>
        <v>153944.32202830166</v>
      </c>
      <c r="G231" s="227">
        <f>PCS!I238</f>
        <v>1177215.0935196159</v>
      </c>
      <c r="H231" s="242">
        <f>Police!L232</f>
        <v>235935.77321733435</v>
      </c>
      <c r="I231" s="320">
        <f t="shared" si="3"/>
        <v>1567095.188765252</v>
      </c>
      <c r="J231" s="133"/>
      <c r="K231" s="175"/>
      <c r="L231" s="591"/>
      <c r="M231" s="592"/>
    </row>
    <row r="232" spans="1:13" s="84" customFormat="1" x14ac:dyDescent="0.25">
      <c r="A232" s="278">
        <f>Données!A233</f>
        <v>5803</v>
      </c>
      <c r="B232" s="282" t="str">
        <f>Données!B233</f>
        <v>Vulliens</v>
      </c>
      <c r="C232" s="280">
        <f>VPI!Q233</f>
        <v>74</v>
      </c>
      <c r="D232" s="285">
        <f>Données!Z233</f>
        <v>628</v>
      </c>
      <c r="E232" s="661">
        <f>VPI!R233</f>
        <v>18493.730135135131</v>
      </c>
      <c r="F232" s="218">
        <f>'Péréquation directe'!K239</f>
        <v>-517922.49316744762</v>
      </c>
      <c r="G232" s="227">
        <f>PCS!I239</f>
        <v>271317.70707365498</v>
      </c>
      <c r="H232" s="242">
        <f>Police!L233</f>
        <v>54678.430960060927</v>
      </c>
      <c r="I232" s="320">
        <f t="shared" si="3"/>
        <v>-191926.35513373173</v>
      </c>
      <c r="J232" s="133"/>
      <c r="K232" s="175"/>
      <c r="L232" s="591"/>
      <c r="M232" s="592"/>
    </row>
    <row r="233" spans="1:13" s="84" customFormat="1" x14ac:dyDescent="0.25">
      <c r="A233" s="278">
        <f>Données!A234</f>
        <v>5804</v>
      </c>
      <c r="B233" s="282" t="str">
        <f>Données!B234</f>
        <v>Jorat-Menthue</v>
      </c>
      <c r="C233" s="280">
        <f>VPI!Q234</f>
        <v>70.5</v>
      </c>
      <c r="D233" s="285">
        <f>Données!Z234</f>
        <v>1576</v>
      </c>
      <c r="E233" s="661">
        <f>VPI!R234</f>
        <v>48159.833333333336</v>
      </c>
      <c r="F233" s="218">
        <f>'Péréquation directe'!K240</f>
        <v>-504831.42080803507</v>
      </c>
      <c r="G233" s="227">
        <f>PCS!I240</f>
        <v>676792.2238805762</v>
      </c>
      <c r="H233" s="242">
        <f>Police!L234</f>
        <v>142174.3442555017</v>
      </c>
      <c r="I233" s="320">
        <f t="shared" si="3"/>
        <v>314135.14732804283</v>
      </c>
      <c r="J233" s="133"/>
      <c r="K233" s="175"/>
      <c r="L233" s="591"/>
      <c r="M233" s="592"/>
    </row>
    <row r="234" spans="1:13" s="84" customFormat="1" x14ac:dyDescent="0.25">
      <c r="A234" s="278">
        <f>Données!A235</f>
        <v>5805</v>
      </c>
      <c r="B234" s="282" t="str">
        <f>Données!B235</f>
        <v>Oron</v>
      </c>
      <c r="C234" s="280">
        <f>VPI!Q235</f>
        <v>69</v>
      </c>
      <c r="D234" s="285">
        <f>Données!Z235</f>
        <v>6345</v>
      </c>
      <c r="E234" s="661">
        <f>VPI!R235</f>
        <v>189171.20249011857</v>
      </c>
      <c r="F234" s="218">
        <f>'Péréquation directe'!K241</f>
        <v>-2533268.6329892804</v>
      </c>
      <c r="G234" s="227">
        <f>PCS!I241</f>
        <v>2878001.0574153014</v>
      </c>
      <c r="H234" s="242">
        <f>Police!L235</f>
        <v>555698.00028124021</v>
      </c>
      <c r="I234" s="320">
        <f t="shared" si="3"/>
        <v>900430.42470726126</v>
      </c>
      <c r="J234" s="133"/>
      <c r="K234" s="175"/>
      <c r="L234" s="591"/>
      <c r="M234" s="592"/>
    </row>
    <row r="235" spans="1:13" s="84" customFormat="1" x14ac:dyDescent="0.25">
      <c r="A235" s="278">
        <f>Données!A236</f>
        <v>5806</v>
      </c>
      <c r="B235" s="282" t="str">
        <f>Données!B236</f>
        <v>Jorat-Mézières</v>
      </c>
      <c r="C235" s="280">
        <f>VPI!Q236</f>
        <v>71</v>
      </c>
      <c r="D235" s="285">
        <f>Données!Z236</f>
        <v>3189</v>
      </c>
      <c r="E235" s="661">
        <f>VPI!R236</f>
        <v>101965.39633802818</v>
      </c>
      <c r="F235" s="218">
        <f>'Péréquation directe'!K242</f>
        <v>-499470.67318051495</v>
      </c>
      <c r="G235" s="227">
        <f>PCS!I242</f>
        <v>1575896.5355314079</v>
      </c>
      <c r="H235" s="242">
        <f>Police!L236</f>
        <v>300904.88544743077</v>
      </c>
      <c r="I235" s="320">
        <f t="shared" si="3"/>
        <v>1377330.7477983236</v>
      </c>
      <c r="J235" s="133"/>
      <c r="K235" s="175"/>
      <c r="L235" s="591"/>
      <c r="M235" s="592"/>
    </row>
    <row r="236" spans="1:13" s="84" customFormat="1" x14ac:dyDescent="0.25">
      <c r="A236" s="278">
        <f>Données!A237</f>
        <v>5812</v>
      </c>
      <c r="B236" s="282" t="str">
        <f>Données!B237</f>
        <v>Champtauroz</v>
      </c>
      <c r="C236" s="280">
        <f>VPI!Q237</f>
        <v>77</v>
      </c>
      <c r="D236" s="285">
        <f>Données!Z237</f>
        <v>196</v>
      </c>
      <c r="E236" s="661">
        <f>VPI!R237</f>
        <v>3968.7312987012979</v>
      </c>
      <c r="F236" s="218">
        <f>'Péréquation directe'!K243</f>
        <v>-95718.613202171153</v>
      </c>
      <c r="G236" s="227">
        <f>PCS!I243</f>
        <v>61682.884063187339</v>
      </c>
      <c r="H236" s="242">
        <f>Police!L237</f>
        <v>11722.41943586944</v>
      </c>
      <c r="I236" s="320">
        <f t="shared" si="3"/>
        <v>-22313.309703114373</v>
      </c>
      <c r="J236" s="133"/>
      <c r="K236" s="175"/>
      <c r="L236" s="591"/>
      <c r="M236" s="592"/>
    </row>
    <row r="237" spans="1:13" s="84" customFormat="1" x14ac:dyDescent="0.25">
      <c r="A237" s="278">
        <f>Données!A238</f>
        <v>5813</v>
      </c>
      <c r="B237" s="282" t="str">
        <f>Données!B238</f>
        <v>Chevroux</v>
      </c>
      <c r="C237" s="280">
        <f>VPI!Q238</f>
        <v>68.5</v>
      </c>
      <c r="D237" s="285">
        <f>Données!Z238</f>
        <v>495</v>
      </c>
      <c r="E237" s="661">
        <f>VPI!R238</f>
        <v>19281.459294403892</v>
      </c>
      <c r="F237" s="218">
        <f>'Péréquation directe'!K244</f>
        <v>56660.391396688647</v>
      </c>
      <c r="G237" s="227">
        <f>PCS!I244</f>
        <v>241186.36426792503</v>
      </c>
      <c r="H237" s="242">
        <f>Police!L238</f>
        <v>57063.133523699711</v>
      </c>
      <c r="I237" s="320">
        <f t="shared" si="3"/>
        <v>354909.88918831339</v>
      </c>
      <c r="J237" s="133"/>
      <c r="K237" s="175"/>
      <c r="L237" s="591"/>
      <c r="M237" s="592"/>
    </row>
    <row r="238" spans="1:13" s="84" customFormat="1" x14ac:dyDescent="0.25">
      <c r="A238" s="278">
        <f>Données!A239</f>
        <v>5816</v>
      </c>
      <c r="B238" s="282" t="str">
        <f>Données!B239</f>
        <v>Corcelles-près-Payerne</v>
      </c>
      <c r="C238" s="280">
        <f>VPI!Q239</f>
        <v>65</v>
      </c>
      <c r="D238" s="285">
        <f>Données!Z239</f>
        <v>3004</v>
      </c>
      <c r="E238" s="661">
        <f>VPI!R239</f>
        <v>73731.873296703299</v>
      </c>
      <c r="F238" s="218">
        <f>'Péréquation directe'!K245</f>
        <v>-1125494.8719330162</v>
      </c>
      <c r="G238" s="227">
        <f>PCS!I245</f>
        <v>1165140.0573392464</v>
      </c>
      <c r="H238" s="242">
        <f>Police!L239</f>
        <v>217338.48827780853</v>
      </c>
      <c r="I238" s="320">
        <f t="shared" si="3"/>
        <v>256983.67368403869</v>
      </c>
      <c r="J238" s="133"/>
      <c r="K238" s="175"/>
      <c r="L238" s="591"/>
      <c r="M238" s="592"/>
    </row>
    <row r="239" spans="1:13" s="84" customFormat="1" x14ac:dyDescent="0.25">
      <c r="A239" s="278">
        <f>Données!A240</f>
        <v>5817</v>
      </c>
      <c r="B239" s="282" t="str">
        <f>Données!B240</f>
        <v>Grandcour</v>
      </c>
      <c r="C239" s="280">
        <f>VPI!Q240</f>
        <v>72</v>
      </c>
      <c r="D239" s="285">
        <f>Données!Z240</f>
        <v>983</v>
      </c>
      <c r="E239" s="661">
        <f>VPI!R240</f>
        <v>27223.795694444449</v>
      </c>
      <c r="F239" s="218">
        <f>'Péréquation directe'!K246</f>
        <v>-218758.11147854908</v>
      </c>
      <c r="G239" s="227">
        <f>PCS!I246</f>
        <v>369157.29699691583</v>
      </c>
      <c r="H239" s="242">
        <f>Police!L240</f>
        <v>80611.358013857593</v>
      </c>
      <c r="I239" s="320">
        <f t="shared" si="3"/>
        <v>231010.54353222434</v>
      </c>
      <c r="J239" s="133"/>
      <c r="K239" s="175"/>
      <c r="L239" s="591"/>
      <c r="M239" s="592"/>
    </row>
    <row r="240" spans="1:13" s="84" customFormat="1" x14ac:dyDescent="0.25">
      <c r="A240" s="278">
        <f>Données!A241</f>
        <v>5819</v>
      </c>
      <c r="B240" s="282" t="str">
        <f>Données!B241</f>
        <v>Henniez</v>
      </c>
      <c r="C240" s="280">
        <f>VPI!Q241</f>
        <v>69</v>
      </c>
      <c r="D240" s="285">
        <f>Données!Z241</f>
        <v>468</v>
      </c>
      <c r="E240" s="661">
        <f>VPI!R241</f>
        <v>14881.811884057974</v>
      </c>
      <c r="F240" s="218">
        <f>'Péréquation directe'!K247</f>
        <v>-634.781516917923</v>
      </c>
      <c r="G240" s="227">
        <f>PCS!I247</f>
        <v>187879.40272289282</v>
      </c>
      <c r="H240" s="242">
        <f>Police!L241</f>
        <v>43414.58254991869</v>
      </c>
      <c r="I240" s="320">
        <f t="shared" si="3"/>
        <v>230659.20375589357</v>
      </c>
      <c r="J240" s="133"/>
      <c r="K240" s="175"/>
      <c r="L240" s="591"/>
      <c r="M240" s="592"/>
    </row>
    <row r="241" spans="1:13" s="84" customFormat="1" x14ac:dyDescent="0.25">
      <c r="A241" s="278">
        <f>Données!A242</f>
        <v>5821</v>
      </c>
      <c r="B241" s="282" t="str">
        <f>Données!B242</f>
        <v>Missy</v>
      </c>
      <c r="C241" s="280">
        <f>VPI!Q242</f>
        <v>69</v>
      </c>
      <c r="D241" s="285">
        <f>Données!Z242</f>
        <v>384</v>
      </c>
      <c r="E241" s="661">
        <f>VPI!R242</f>
        <v>10384.069710144928</v>
      </c>
      <c r="F241" s="218">
        <f>'Péréquation directe'!K248</f>
        <v>-14865.089938805002</v>
      </c>
      <c r="G241" s="227">
        <f>PCS!I248</f>
        <v>136796.6719305781</v>
      </c>
      <c r="H241" s="242">
        <f>Police!L242</f>
        <v>30742.016457312478</v>
      </c>
      <c r="I241" s="320">
        <f t="shared" si="3"/>
        <v>152673.59844908558</v>
      </c>
      <c r="J241" s="133"/>
      <c r="K241" s="175"/>
      <c r="L241" s="591"/>
      <c r="M241" s="592"/>
    </row>
    <row r="242" spans="1:13" s="84" customFormat="1" x14ac:dyDescent="0.25">
      <c r="A242" s="278">
        <f>Données!A243</f>
        <v>5822</v>
      </c>
      <c r="B242" s="282" t="str">
        <f>Données!B243</f>
        <v>Payerne</v>
      </c>
      <c r="C242" s="280">
        <f>VPI!Q243</f>
        <v>70</v>
      </c>
      <c r="D242" s="285">
        <f>Données!Z243</f>
        <v>10802</v>
      </c>
      <c r="E242" s="661">
        <f>VPI!R243</f>
        <v>250662.19871428571</v>
      </c>
      <c r="F242" s="218">
        <f>'Péréquation directe'!K249</f>
        <v>-8026996.0668613063</v>
      </c>
      <c r="G242" s="227">
        <f>PCS!I249</f>
        <v>3779645.3748474829</v>
      </c>
      <c r="H242" s="242">
        <f>Police!L243</f>
        <v>728126.64797824994</v>
      </c>
      <c r="I242" s="320">
        <f t="shared" si="3"/>
        <v>-3519224.0440355735</v>
      </c>
      <c r="J242" s="133"/>
      <c r="K242" s="175"/>
      <c r="L242" s="591"/>
      <c r="M242" s="592"/>
    </row>
    <row r="243" spans="1:13" s="84" customFormat="1" x14ac:dyDescent="0.25">
      <c r="A243" s="278">
        <f>Données!A244</f>
        <v>5827</v>
      </c>
      <c r="B243" s="282" t="str">
        <f>Données!B244</f>
        <v>Trey</v>
      </c>
      <c r="C243" s="280">
        <f>VPI!Q244</f>
        <v>78</v>
      </c>
      <c r="D243" s="285">
        <f>Données!Z244</f>
        <v>318</v>
      </c>
      <c r="E243" s="661">
        <f>VPI!R244</f>
        <v>8694.454487179486</v>
      </c>
      <c r="F243" s="218">
        <f>'Péréquation directe'!K250</f>
        <v>-80224.980186009139</v>
      </c>
      <c r="G243" s="227">
        <f>PCS!I250</f>
        <v>120907.87500504276</v>
      </c>
      <c r="H243" s="242">
        <f>Police!L244</f>
        <v>25840.494850363662</v>
      </c>
      <c r="I243" s="320">
        <f t="shared" si="3"/>
        <v>66523.389669397293</v>
      </c>
      <c r="J243" s="133"/>
      <c r="K243" s="175"/>
      <c r="L243" s="591"/>
      <c r="M243" s="592"/>
    </row>
    <row r="244" spans="1:13" s="84" customFormat="1" x14ac:dyDescent="0.25">
      <c r="A244" s="278">
        <f>Données!A245</f>
        <v>5828</v>
      </c>
      <c r="B244" s="282" t="str">
        <f>Données!B245</f>
        <v>Treytorrens (Payerne)</v>
      </c>
      <c r="C244" s="280">
        <f>VPI!Q245</f>
        <v>81.5</v>
      </c>
      <c r="D244" s="285">
        <f>Données!Z245</f>
        <v>109</v>
      </c>
      <c r="E244" s="661">
        <f>VPI!R245</f>
        <v>2843.8202453987728</v>
      </c>
      <c r="F244" s="218">
        <f>'Péréquation directe'!K251</f>
        <v>-60641.242285842134</v>
      </c>
      <c r="G244" s="227">
        <f>PCS!I251</f>
        <v>35889.581735726992</v>
      </c>
      <c r="H244" s="242">
        <f>Police!L245</f>
        <v>8423.0016572492405</v>
      </c>
      <c r="I244" s="320">
        <f t="shared" si="3"/>
        <v>-16328.658892865902</v>
      </c>
      <c r="J244" s="133"/>
      <c r="K244" s="175"/>
      <c r="L244" s="591"/>
      <c r="M244" s="592"/>
    </row>
    <row r="245" spans="1:13" s="84" customFormat="1" x14ac:dyDescent="0.25">
      <c r="A245" s="278">
        <f>Données!A246</f>
        <v>5830</v>
      </c>
      <c r="B245" s="282" t="str">
        <f>Données!B246</f>
        <v>Villarzel</v>
      </c>
      <c r="C245" s="280">
        <f>VPI!Q246</f>
        <v>75</v>
      </c>
      <c r="D245" s="285">
        <f>Données!Z246</f>
        <v>524</v>
      </c>
      <c r="E245" s="661">
        <f>VPI!R246</f>
        <v>15008.365333333331</v>
      </c>
      <c r="F245" s="218">
        <f>'Péréquation directe'!K252</f>
        <v>-102010.28826287389</v>
      </c>
      <c r="G245" s="227">
        <f>PCS!I252</f>
        <v>238796.7107265447</v>
      </c>
      <c r="H245" s="242">
        <f>Police!L246</f>
        <v>44989.121028058042</v>
      </c>
      <c r="I245" s="320">
        <f t="shared" si="3"/>
        <v>181775.54349172884</v>
      </c>
      <c r="J245" s="133"/>
      <c r="K245" s="175"/>
      <c r="L245" s="591"/>
      <c r="M245" s="592"/>
    </row>
    <row r="246" spans="1:13" s="84" customFormat="1" x14ac:dyDescent="0.25">
      <c r="A246" s="278">
        <f>Données!A247</f>
        <v>5831</v>
      </c>
      <c r="B246" s="282" t="str">
        <f>Données!B247</f>
        <v>Valbroye</v>
      </c>
      <c r="C246" s="280">
        <f>VPI!Q247</f>
        <v>70.5</v>
      </c>
      <c r="D246" s="285">
        <f>Données!Z247</f>
        <v>3435</v>
      </c>
      <c r="E246" s="661">
        <f>VPI!R247</f>
        <v>87116.396643026019</v>
      </c>
      <c r="F246" s="218">
        <f>'Péréquation directe'!K253</f>
        <v>-1822261.4629934358</v>
      </c>
      <c r="G246" s="227">
        <f>PCS!I253</f>
        <v>2202490.2456945856</v>
      </c>
      <c r="H246" s="242">
        <f>Police!L247</f>
        <v>255023.60267515871</v>
      </c>
      <c r="I246" s="320">
        <f t="shared" si="3"/>
        <v>635252.38537630858</v>
      </c>
      <c r="J246" s="133"/>
      <c r="K246" s="175"/>
      <c r="L246" s="591"/>
      <c r="M246" s="592"/>
    </row>
    <row r="247" spans="1:13" s="84" customFormat="1" x14ac:dyDescent="0.25">
      <c r="A247" s="278">
        <f>Données!A248</f>
        <v>5841</v>
      </c>
      <c r="B247" s="282" t="str">
        <f>Données!B248</f>
        <v>Château-d'Oex</v>
      </c>
      <c r="C247" s="280">
        <f>VPI!Q248</f>
        <v>81.5</v>
      </c>
      <c r="D247" s="285">
        <f>Données!Z248</f>
        <v>3656</v>
      </c>
      <c r="E247" s="661">
        <f>VPI!R248</f>
        <v>123941.3219631902</v>
      </c>
      <c r="F247" s="218">
        <f>'Péréquation directe'!K254</f>
        <v>-2753326.6194362822</v>
      </c>
      <c r="G247" s="227">
        <f>PCS!I254</f>
        <v>2231767.4914126825</v>
      </c>
      <c r="H247" s="242">
        <f>Police!L248</f>
        <v>359708.24502328178</v>
      </c>
      <c r="I247" s="320">
        <f t="shared" si="3"/>
        <v>-161850.88300031796</v>
      </c>
      <c r="J247" s="133"/>
      <c r="K247" s="175"/>
      <c r="L247" s="591"/>
      <c r="M247" s="592"/>
    </row>
    <row r="248" spans="1:13" s="84" customFormat="1" x14ac:dyDescent="0.25">
      <c r="A248" s="278">
        <f>Données!A249</f>
        <v>5842</v>
      </c>
      <c r="B248" s="282" t="str">
        <f>Données!B249</f>
        <v>Rossinière</v>
      </c>
      <c r="C248" s="280">
        <f>VPI!Q249</f>
        <v>81</v>
      </c>
      <c r="D248" s="285">
        <f>Données!Z249</f>
        <v>499</v>
      </c>
      <c r="E248" s="661">
        <f>VPI!R249</f>
        <v>15883.310411522634</v>
      </c>
      <c r="F248" s="218">
        <f>'Péréquation directe'!K255</f>
        <v>-442326.28181493119</v>
      </c>
      <c r="G248" s="227">
        <f>PCS!I255</f>
        <v>552570.7311042659</v>
      </c>
      <c r="H248" s="242">
        <f>Police!L249</f>
        <v>47113.549201550384</v>
      </c>
      <c r="I248" s="320">
        <f t="shared" si="3"/>
        <v>157357.99849088507</v>
      </c>
      <c r="J248" s="133"/>
      <c r="K248" s="175"/>
      <c r="L248" s="591"/>
      <c r="M248" s="592"/>
    </row>
    <row r="249" spans="1:13" s="84" customFormat="1" x14ac:dyDescent="0.25">
      <c r="A249" s="278">
        <f>Données!A250</f>
        <v>5843</v>
      </c>
      <c r="B249" s="282" t="str">
        <f>Données!B250</f>
        <v>Rougemont</v>
      </c>
      <c r="C249" s="280">
        <f>VPI!Q250</f>
        <v>79</v>
      </c>
      <c r="D249" s="285">
        <f>Données!Z250</f>
        <v>812</v>
      </c>
      <c r="E249" s="661">
        <f>VPI!R250</f>
        <v>87174.419831223626</v>
      </c>
      <c r="F249" s="218">
        <f>'Péréquation directe'!K256</f>
        <v>1371419.7194467087</v>
      </c>
      <c r="G249" s="227">
        <f>PCS!I256</f>
        <v>2934791.2785578901</v>
      </c>
      <c r="H249" s="242">
        <f>Police!L250</f>
        <v>172741.89793774608</v>
      </c>
      <c r="I249" s="320">
        <f t="shared" si="3"/>
        <v>4478952.8959423443</v>
      </c>
      <c r="J249" s="133"/>
      <c r="K249" s="175"/>
      <c r="L249" s="591"/>
      <c r="M249" s="592"/>
    </row>
    <row r="250" spans="1:13" s="84" customFormat="1" x14ac:dyDescent="0.25">
      <c r="A250" s="278">
        <f>Données!A251</f>
        <v>5851</v>
      </c>
      <c r="B250" s="282" t="str">
        <f>Données!B251</f>
        <v>Allaman</v>
      </c>
      <c r="C250" s="280">
        <f>VPI!Q251</f>
        <v>65</v>
      </c>
      <c r="D250" s="285">
        <f>Données!Z251</f>
        <v>430</v>
      </c>
      <c r="E250" s="661">
        <f>VPI!R251</f>
        <v>27728.701333333334</v>
      </c>
      <c r="F250" s="218">
        <f>'Péréquation directe'!K257</f>
        <v>486868.07487557962</v>
      </c>
      <c r="G250" s="227">
        <f>PCS!I257</f>
        <v>448848.32452356094</v>
      </c>
      <c r="H250" s="242">
        <f>Police!L251</f>
        <v>70761.674671220331</v>
      </c>
      <c r="I250" s="320">
        <f t="shared" si="3"/>
        <v>1006478.074070361</v>
      </c>
      <c r="J250" s="133"/>
      <c r="K250" s="175"/>
      <c r="L250" s="591"/>
      <c r="M250" s="592"/>
    </row>
    <row r="251" spans="1:13" s="84" customFormat="1" x14ac:dyDescent="0.25">
      <c r="A251" s="278">
        <f>Données!A252</f>
        <v>5852</v>
      </c>
      <c r="B251" s="282" t="str">
        <f>Données!B252</f>
        <v>Bursinel</v>
      </c>
      <c r="C251" s="280">
        <f>VPI!Q252</f>
        <v>62</v>
      </c>
      <c r="D251" s="285">
        <f>Données!Z252</f>
        <v>530</v>
      </c>
      <c r="E251" s="661">
        <f>VPI!R252</f>
        <v>42943.776182795707</v>
      </c>
      <c r="F251" s="218">
        <f>'Péréquation directe'!K258</f>
        <v>772088.8104837219</v>
      </c>
      <c r="G251" s="227">
        <f>PCS!I258</f>
        <v>837976.01759178238</v>
      </c>
      <c r="H251" s="242">
        <f>Police!L252</f>
        <v>97068.568973317189</v>
      </c>
      <c r="I251" s="320">
        <f t="shared" si="3"/>
        <v>1707133.3970488217</v>
      </c>
      <c r="J251" s="133"/>
      <c r="K251" s="175"/>
      <c r="L251" s="591"/>
      <c r="M251" s="592"/>
    </row>
    <row r="252" spans="1:13" s="84" customFormat="1" x14ac:dyDescent="0.25">
      <c r="A252" s="278">
        <f>Données!A253</f>
        <v>5853</v>
      </c>
      <c r="B252" s="282" t="str">
        <f>Données!B253</f>
        <v>Bursins</v>
      </c>
      <c r="C252" s="280">
        <f>VPI!Q253</f>
        <v>71</v>
      </c>
      <c r="D252" s="285">
        <f>Données!Z253</f>
        <v>825</v>
      </c>
      <c r="E252" s="661">
        <f>VPI!R253</f>
        <v>44996.737042253524</v>
      </c>
      <c r="F252" s="218">
        <f>'Péréquation directe'!K259</f>
        <v>746718.73736508458</v>
      </c>
      <c r="G252" s="227">
        <f>PCS!I259</f>
        <v>637732.74362005445</v>
      </c>
      <c r="H252" s="242">
        <f>Police!L253</f>
        <v>126545.45723844401</v>
      </c>
      <c r="I252" s="320">
        <f t="shared" si="3"/>
        <v>1510996.9382235832</v>
      </c>
      <c r="J252" s="133"/>
      <c r="K252" s="175"/>
      <c r="L252" s="591"/>
      <c r="M252" s="592"/>
    </row>
    <row r="253" spans="1:13" s="84" customFormat="1" x14ac:dyDescent="0.25">
      <c r="A253" s="278">
        <f>Données!A254</f>
        <v>5854</v>
      </c>
      <c r="B253" s="282" t="str">
        <f>Données!B254</f>
        <v>Burtigny</v>
      </c>
      <c r="C253" s="280">
        <f>VPI!Q254</f>
        <v>75</v>
      </c>
      <c r="D253" s="285">
        <f>Données!Z254</f>
        <v>401</v>
      </c>
      <c r="E253" s="661">
        <f>VPI!R254</f>
        <v>16635.489777777777</v>
      </c>
      <c r="F253" s="218">
        <f>'Péréquation directe'!K260</f>
        <v>192246.38678616408</v>
      </c>
      <c r="G253" s="227">
        <f>PCS!I260</f>
        <v>262006.72006296756</v>
      </c>
      <c r="H253" s="242">
        <f>Police!L254</f>
        <v>49753.324037734987</v>
      </c>
      <c r="I253" s="320">
        <f t="shared" si="3"/>
        <v>504006.43088686664</v>
      </c>
      <c r="J253" s="133"/>
      <c r="K253" s="175"/>
      <c r="L253" s="591"/>
      <c r="M253" s="592"/>
    </row>
    <row r="254" spans="1:13" s="84" customFormat="1" x14ac:dyDescent="0.25">
      <c r="A254" s="278">
        <f>Données!A255</f>
        <v>5855</v>
      </c>
      <c r="B254" s="282" t="str">
        <f>Données!B255</f>
        <v>Dully</v>
      </c>
      <c r="C254" s="280">
        <f>VPI!Q255</f>
        <v>53</v>
      </c>
      <c r="D254" s="285">
        <f>Données!Z255</f>
        <v>623</v>
      </c>
      <c r="E254" s="661">
        <f>VPI!R255</f>
        <v>98996.558301886791</v>
      </c>
      <c r="F254" s="218">
        <f>'Péréquation directe'!K261</f>
        <v>1859457.6243138481</v>
      </c>
      <c r="G254" s="227">
        <f>PCS!I261</f>
        <v>2693301.6133587034</v>
      </c>
      <c r="H254" s="242">
        <f>Police!L255</f>
        <v>168618.82567981182</v>
      </c>
      <c r="I254" s="320">
        <f t="shared" si="3"/>
        <v>4721378.0633523632</v>
      </c>
      <c r="J254" s="133"/>
      <c r="K254" s="175"/>
      <c r="L254" s="591"/>
      <c r="M254" s="592"/>
    </row>
    <row r="255" spans="1:13" s="84" customFormat="1" x14ac:dyDescent="0.25">
      <c r="A255" s="278">
        <f>Données!A256</f>
        <v>5856</v>
      </c>
      <c r="B255" s="282" t="str">
        <f>Données!B256</f>
        <v>Essertines-sur-Rolle</v>
      </c>
      <c r="C255" s="280">
        <f>VPI!Q256</f>
        <v>66.5</v>
      </c>
      <c r="D255" s="285">
        <f>Données!Z256</f>
        <v>789</v>
      </c>
      <c r="E255" s="661">
        <f>VPI!R256</f>
        <v>36628.421873915555</v>
      </c>
      <c r="F255" s="218">
        <f>'Péréquation directe'!K262</f>
        <v>564353.77700828016</v>
      </c>
      <c r="G255" s="227">
        <f>PCS!I262</f>
        <v>552085.14073068334</v>
      </c>
      <c r="H255" s="242">
        <f>Police!L256</f>
        <v>108116.34108583254</v>
      </c>
      <c r="I255" s="320">
        <f t="shared" si="3"/>
        <v>1224555.258824796</v>
      </c>
      <c r="J255" s="133"/>
      <c r="K255" s="175"/>
      <c r="L255" s="591"/>
      <c r="M255" s="592"/>
    </row>
    <row r="256" spans="1:13" s="84" customFormat="1" x14ac:dyDescent="0.25">
      <c r="A256" s="278">
        <f>Données!A257</f>
        <v>5857</v>
      </c>
      <c r="B256" s="282" t="str">
        <f>Données!B257</f>
        <v>Gilly</v>
      </c>
      <c r="C256" s="280">
        <f>VPI!Q257</f>
        <v>64.5</v>
      </c>
      <c r="D256" s="285">
        <f>Données!Z257</f>
        <v>1441</v>
      </c>
      <c r="E256" s="661">
        <f>VPI!R257</f>
        <v>96678.753643410862</v>
      </c>
      <c r="F256" s="218">
        <f>'Péréquation directe'!K263</f>
        <v>1599738.787410778</v>
      </c>
      <c r="G256" s="227">
        <f>PCS!I263</f>
        <v>1689353.0466075141</v>
      </c>
      <c r="H256" s="242">
        <f>Police!L257</f>
        <v>241353.67534253641</v>
      </c>
      <c r="I256" s="320">
        <f t="shared" si="3"/>
        <v>3530445.5093608284</v>
      </c>
      <c r="J256" s="133"/>
      <c r="K256" s="175"/>
      <c r="L256" s="591"/>
      <c r="M256" s="592"/>
    </row>
    <row r="257" spans="1:13" s="84" customFormat="1" x14ac:dyDescent="0.25">
      <c r="A257" s="278">
        <f>Données!A258</f>
        <v>5858</v>
      </c>
      <c r="B257" s="282" t="str">
        <f>Données!B258</f>
        <v>Luins</v>
      </c>
      <c r="C257" s="280">
        <f>VPI!Q258</f>
        <v>58.5</v>
      </c>
      <c r="D257" s="285">
        <f>Données!Z258</f>
        <v>637</v>
      </c>
      <c r="E257" s="661">
        <f>VPI!R258</f>
        <v>41203.097378917373</v>
      </c>
      <c r="F257" s="218">
        <f>'Péréquation directe'!K264</f>
        <v>723714.75668242888</v>
      </c>
      <c r="G257" s="227">
        <f>PCS!I264</f>
        <v>620429.32628062507</v>
      </c>
      <c r="H257" s="242">
        <f>Police!L258</f>
        <v>104967.51737150506</v>
      </c>
      <c r="I257" s="320">
        <f t="shared" si="3"/>
        <v>1449111.6003345591</v>
      </c>
      <c r="J257" s="133"/>
      <c r="K257" s="175"/>
      <c r="L257" s="591"/>
      <c r="M257" s="592"/>
    </row>
    <row r="258" spans="1:13" s="84" customFormat="1" x14ac:dyDescent="0.25">
      <c r="A258" s="278">
        <f>Données!A259</f>
        <v>5859</v>
      </c>
      <c r="B258" s="282" t="str">
        <f>Données!B259</f>
        <v>Mont-sur-Rolle</v>
      </c>
      <c r="C258" s="280">
        <f>VPI!Q259</f>
        <v>63.5</v>
      </c>
      <c r="D258" s="285">
        <f>Données!Z259</f>
        <v>2749</v>
      </c>
      <c r="E258" s="661">
        <f>VPI!R259</f>
        <v>175152.20519685047</v>
      </c>
      <c r="F258" s="218">
        <f>'Péréquation directe'!K265</f>
        <v>2652537.4483285793</v>
      </c>
      <c r="G258" s="227">
        <f>PCS!I265</f>
        <v>3088200.7629942028</v>
      </c>
      <c r="H258" s="242">
        <f>Police!L259</f>
        <v>450001.06970369373</v>
      </c>
      <c r="I258" s="320">
        <f t="shared" si="3"/>
        <v>6190739.2810264761</v>
      </c>
      <c r="J258" s="133"/>
      <c r="K258" s="175"/>
      <c r="L258" s="591"/>
      <c r="M258" s="592"/>
    </row>
    <row r="259" spans="1:13" s="84" customFormat="1" x14ac:dyDescent="0.25">
      <c r="A259" s="278">
        <f>Données!A260</f>
        <v>5860</v>
      </c>
      <c r="B259" s="282" t="str">
        <f>Données!B260</f>
        <v>Perroy</v>
      </c>
      <c r="C259" s="280">
        <f>VPI!Q260</f>
        <v>58.5</v>
      </c>
      <c r="D259" s="285">
        <f>Données!Z260</f>
        <v>1588</v>
      </c>
      <c r="E259" s="661">
        <f>VPI!R260</f>
        <v>114833.15061143985</v>
      </c>
      <c r="F259" s="218">
        <f>'Péréquation directe'!K266</f>
        <v>1901209.0513326009</v>
      </c>
      <c r="G259" s="227">
        <f>PCS!I266</f>
        <v>2071983.1487197487</v>
      </c>
      <c r="H259" s="242">
        <f>Police!L260</f>
        <v>275292.18139901053</v>
      </c>
      <c r="I259" s="320">
        <f t="shared" si="3"/>
        <v>4248484.38145136</v>
      </c>
      <c r="J259" s="133"/>
      <c r="K259" s="175"/>
      <c r="L259" s="591"/>
      <c r="M259" s="592"/>
    </row>
    <row r="260" spans="1:13" s="84" customFormat="1" x14ac:dyDescent="0.25">
      <c r="A260" s="278">
        <f>Données!A261</f>
        <v>5861</v>
      </c>
      <c r="B260" s="282" t="str">
        <f>Données!B261</f>
        <v>Rolle</v>
      </c>
      <c r="C260" s="280">
        <f>VPI!Q261</f>
        <v>59.5</v>
      </c>
      <c r="D260" s="285">
        <f>Données!Z261</f>
        <v>6537</v>
      </c>
      <c r="E260" s="661">
        <f>VPI!R261</f>
        <v>1001631.7391596638</v>
      </c>
      <c r="F260" s="218">
        <f>'Péréquation directe'!K267</f>
        <v>16730250.113010926</v>
      </c>
      <c r="G260" s="227">
        <f>PCS!I267</f>
        <v>29394323.901936598</v>
      </c>
      <c r="H260" s="242">
        <f>Police!L261</f>
        <v>1727572.4187689472</v>
      </c>
      <c r="I260" s="320">
        <f t="shared" si="3"/>
        <v>47852146.433716476</v>
      </c>
      <c r="J260" s="133"/>
      <c r="K260" s="175"/>
      <c r="L260" s="591"/>
      <c r="M260" s="592"/>
    </row>
    <row r="261" spans="1:13" s="84" customFormat="1" x14ac:dyDescent="0.25">
      <c r="A261" s="278">
        <f>Données!A262</f>
        <v>5862</v>
      </c>
      <c r="B261" s="282" t="str">
        <f>Données!B262</f>
        <v>Tartegnin</v>
      </c>
      <c r="C261" s="280">
        <f>VPI!Q262</f>
        <v>79</v>
      </c>
      <c r="D261" s="285">
        <f>Données!Z262</f>
        <v>238</v>
      </c>
      <c r="E261" s="661">
        <f>VPI!R262</f>
        <v>12378.270379746835</v>
      </c>
      <c r="F261" s="218">
        <f>'Péréquation directe'!K268</f>
        <v>211220.58605490075</v>
      </c>
      <c r="G261" s="227">
        <f>PCS!I268</f>
        <v>161381.77816659579</v>
      </c>
      <c r="H261" s="242">
        <f>Police!L262</f>
        <v>35829.316687533763</v>
      </c>
      <c r="I261" s="320">
        <f t="shared" si="3"/>
        <v>408431.68090903026</v>
      </c>
      <c r="J261" s="133"/>
      <c r="K261" s="175"/>
      <c r="L261" s="591"/>
      <c r="M261" s="592"/>
    </row>
    <row r="262" spans="1:13" s="84" customFormat="1" x14ac:dyDescent="0.25">
      <c r="A262" s="278">
        <f>Données!A263</f>
        <v>5863</v>
      </c>
      <c r="B262" s="282" t="str">
        <f>Données!B263</f>
        <v>Vinzel</v>
      </c>
      <c r="C262" s="280">
        <f>VPI!Q263</f>
        <v>65</v>
      </c>
      <c r="D262" s="285">
        <f>Données!Z263</f>
        <v>387</v>
      </c>
      <c r="E262" s="661">
        <f>VPI!R263</f>
        <v>20119.523999999998</v>
      </c>
      <c r="F262" s="218">
        <f>'Péréquation directe'!K269</f>
        <v>343295.07504895341</v>
      </c>
      <c r="G262" s="227">
        <f>PCS!I269</f>
        <v>290127.08782245871</v>
      </c>
      <c r="H262" s="242">
        <f>Police!L263</f>
        <v>58251.097602540525</v>
      </c>
      <c r="I262" s="320">
        <f t="shared" ref="I262:I304" si="4">SUM(F262:H262)</f>
        <v>691673.26047395263</v>
      </c>
      <c r="J262" s="133"/>
      <c r="K262" s="175"/>
      <c r="L262" s="591"/>
      <c r="M262" s="592"/>
    </row>
    <row r="263" spans="1:13" s="84" customFormat="1" x14ac:dyDescent="0.25">
      <c r="A263" s="278">
        <f>Données!A264</f>
        <v>5871</v>
      </c>
      <c r="B263" s="282" t="str">
        <f>Données!B264</f>
        <v>L'Abbaye</v>
      </c>
      <c r="C263" s="280">
        <f>VPI!Q264</f>
        <v>77.209999999999994</v>
      </c>
      <c r="D263" s="285">
        <f>Données!Z264</f>
        <v>1538</v>
      </c>
      <c r="E263" s="661">
        <f>VPI!R264</f>
        <v>50137.027069032512</v>
      </c>
      <c r="F263" s="218">
        <f>'Péréquation directe'!K270</f>
        <v>-237640.57020553853</v>
      </c>
      <c r="G263" s="227">
        <f>PCS!I270</f>
        <v>911617.92411833315</v>
      </c>
      <c r="H263" s="242">
        <f>Police!L264</f>
        <v>148458.5009303572</v>
      </c>
      <c r="I263" s="320">
        <f t="shared" si="4"/>
        <v>822435.85484315176</v>
      </c>
      <c r="J263" s="133"/>
      <c r="K263" s="175"/>
      <c r="L263" s="591"/>
      <c r="M263" s="592"/>
    </row>
    <row r="264" spans="1:13" s="84" customFormat="1" x14ac:dyDescent="0.25">
      <c r="A264" s="278">
        <f>Données!A265</f>
        <v>5872</v>
      </c>
      <c r="B264" s="282" t="str">
        <f>Données!B265</f>
        <v>Le Chenit</v>
      </c>
      <c r="C264" s="280">
        <f>VPI!Q265</f>
        <v>66.33</v>
      </c>
      <c r="D264" s="285">
        <f>Données!Z265</f>
        <v>4760</v>
      </c>
      <c r="E264" s="661">
        <f>VPI!R265</f>
        <v>359580.06573194644</v>
      </c>
      <c r="F264" s="218">
        <f>'Péréquation directe'!K271</f>
        <v>5035892.1079612626</v>
      </c>
      <c r="G264" s="227">
        <f>PCS!I271</f>
        <v>8544870.482882224</v>
      </c>
      <c r="H264" s="242">
        <f>Police!L265</f>
        <v>842453.75873455056</v>
      </c>
      <c r="I264" s="320">
        <f t="shared" si="4"/>
        <v>14423216.349578038</v>
      </c>
      <c r="J264" s="133"/>
      <c r="K264" s="175"/>
      <c r="L264" s="591"/>
      <c r="M264" s="592"/>
    </row>
    <row r="265" spans="1:13" s="84" customFormat="1" x14ac:dyDescent="0.25">
      <c r="A265" s="278">
        <f>Données!A266</f>
        <v>5873</v>
      </c>
      <c r="B265" s="282" t="str">
        <f>Données!B266</f>
        <v>Le Lieu</v>
      </c>
      <c r="C265" s="280">
        <f>VPI!Q266</f>
        <v>70</v>
      </c>
      <c r="D265" s="285">
        <f>Données!Z266</f>
        <v>925</v>
      </c>
      <c r="E265" s="661">
        <f>VPI!R266</f>
        <v>31550.524000000001</v>
      </c>
      <c r="F265" s="218">
        <f>'Péréquation directe'!K272</f>
        <v>-1353738.1569765573</v>
      </c>
      <c r="G265" s="227">
        <f>PCS!I272</f>
        <v>800453.88479706564</v>
      </c>
      <c r="H265" s="242">
        <f>Police!L266</f>
        <v>94091.258243954333</v>
      </c>
      <c r="I265" s="320">
        <f t="shared" si="4"/>
        <v>-459193.01393553737</v>
      </c>
      <c r="J265" s="133"/>
      <c r="K265" s="175"/>
      <c r="L265" s="591"/>
      <c r="M265" s="592"/>
    </row>
    <row r="266" spans="1:13" s="84" customFormat="1" x14ac:dyDescent="0.25">
      <c r="A266" s="278">
        <f>Données!A267</f>
        <v>5882</v>
      </c>
      <c r="B266" s="282" t="str">
        <f>Données!B267</f>
        <v>Chardonne</v>
      </c>
      <c r="C266" s="280">
        <f>VPI!Q267</f>
        <v>68</v>
      </c>
      <c r="D266" s="285">
        <f>Données!Z267</f>
        <v>3340</v>
      </c>
      <c r="E266" s="661">
        <f>VPI!R267</f>
        <v>202050.46544117649</v>
      </c>
      <c r="F266" s="218">
        <f>'Péréquation directe'!K273</f>
        <v>2623732.9173962972</v>
      </c>
      <c r="G266" s="227">
        <f>PCS!I273</f>
        <v>3396702.4073395059</v>
      </c>
      <c r="H266" s="242">
        <f>Police!L267</f>
        <v>227037.89151209095</v>
      </c>
      <c r="I266" s="320">
        <f t="shared" si="4"/>
        <v>6247473.2162478948</v>
      </c>
      <c r="J266" s="133"/>
      <c r="K266" s="175"/>
      <c r="L266" s="591"/>
      <c r="M266" s="592"/>
    </row>
    <row r="267" spans="1:13" s="84" customFormat="1" x14ac:dyDescent="0.25">
      <c r="A267" s="278">
        <f>Données!A268</f>
        <v>5883</v>
      </c>
      <c r="B267" s="282" t="str">
        <f>Données!B268</f>
        <v>Corseaux</v>
      </c>
      <c r="C267" s="280">
        <f>VPI!Q268</f>
        <v>67.5</v>
      </c>
      <c r="D267" s="285">
        <f>Données!Z268</f>
        <v>2322</v>
      </c>
      <c r="E267" s="661">
        <f>VPI!R268</f>
        <v>187748.47585185184</v>
      </c>
      <c r="F267" s="218">
        <f>'Péréquation directe'!K274</f>
        <v>3058592.8491279446</v>
      </c>
      <c r="G267" s="227">
        <f>PCS!I274</f>
        <v>3965043.4996463396</v>
      </c>
      <c r="H267" s="242">
        <f>Police!L268</f>
        <v>210967.18584111848</v>
      </c>
      <c r="I267" s="320">
        <f t="shared" si="4"/>
        <v>7234603.534615403</v>
      </c>
      <c r="J267" s="133"/>
      <c r="K267" s="175"/>
      <c r="L267" s="591"/>
      <c r="M267" s="592"/>
    </row>
    <row r="268" spans="1:13" s="84" customFormat="1" x14ac:dyDescent="0.25">
      <c r="A268" s="278">
        <f>Données!A269</f>
        <v>5884</v>
      </c>
      <c r="B268" s="282" t="str">
        <f>Données!B269</f>
        <v>Corsier-sur-Vevey</v>
      </c>
      <c r="C268" s="280">
        <f>VPI!Q269</f>
        <v>64.5</v>
      </c>
      <c r="D268" s="285">
        <f>Données!Z269</f>
        <v>3389</v>
      </c>
      <c r="E268" s="661">
        <f>VPI!R269</f>
        <v>160309.28653746771</v>
      </c>
      <c r="F268" s="218">
        <f>'Péréquation directe'!K275</f>
        <v>585933.12642882299</v>
      </c>
      <c r="G268" s="227">
        <f>PCS!I275</f>
        <v>2370228.5283713872</v>
      </c>
      <c r="H268" s="242">
        <f>Police!L269</f>
        <v>180134.61303245771</v>
      </c>
      <c r="I268" s="320">
        <f t="shared" si="4"/>
        <v>3136296.267832668</v>
      </c>
      <c r="J268" s="133"/>
      <c r="K268" s="175"/>
      <c r="L268" s="591"/>
      <c r="M268" s="592"/>
    </row>
    <row r="269" spans="1:13" s="84" customFormat="1" x14ac:dyDescent="0.25">
      <c r="A269" s="278">
        <f>Données!A270</f>
        <v>5885</v>
      </c>
      <c r="B269" s="282" t="str">
        <f>Données!B270</f>
        <v>Jongny</v>
      </c>
      <c r="C269" s="280">
        <f>VPI!Q270</f>
        <v>69.5</v>
      </c>
      <c r="D269" s="285">
        <f>Données!Z270</f>
        <v>1921</v>
      </c>
      <c r="E269" s="661">
        <f>VPI!R270</f>
        <v>105153.24390887292</v>
      </c>
      <c r="F269" s="218">
        <f>'Péréquation directe'!K276</f>
        <v>1452037.1868518852</v>
      </c>
      <c r="G269" s="227">
        <f>PCS!I276</f>
        <v>1610232.122303348</v>
      </c>
      <c r="H269" s="242">
        <f>Police!L270</f>
        <v>118157.46492144343</v>
      </c>
      <c r="I269" s="320">
        <f t="shared" si="4"/>
        <v>3180426.7740766765</v>
      </c>
      <c r="J269" s="133"/>
      <c r="K269" s="175"/>
      <c r="L269" s="591"/>
      <c r="M269" s="592"/>
    </row>
    <row r="270" spans="1:13" s="84" customFormat="1" x14ac:dyDescent="0.25">
      <c r="A270" s="278">
        <f>Données!A271</f>
        <v>5886</v>
      </c>
      <c r="B270" s="282" t="str">
        <f>Données!B271</f>
        <v>Montreux</v>
      </c>
      <c r="C270" s="280">
        <f>VPI!Q271</f>
        <v>65</v>
      </c>
      <c r="D270" s="285">
        <f>Données!Z271</f>
        <v>26964</v>
      </c>
      <c r="E270" s="661">
        <f>VPI!R271</f>
        <v>1120945.0450256411</v>
      </c>
      <c r="F270" s="218">
        <f>'Péréquation directe'!K277</f>
        <v>-12252788.359725505</v>
      </c>
      <c r="G270" s="227">
        <f>PCS!I277</f>
        <v>28884579.162721463</v>
      </c>
      <c r="H270" s="242">
        <f>Police!L271</f>
        <v>1259571.4588820871</v>
      </c>
      <c r="I270" s="320">
        <f t="shared" si="4"/>
        <v>17891362.261878043</v>
      </c>
      <c r="J270" s="133"/>
      <c r="K270" s="175"/>
      <c r="L270" s="591"/>
      <c r="M270" s="592"/>
    </row>
    <row r="271" spans="1:13" s="84" customFormat="1" x14ac:dyDescent="0.25">
      <c r="A271" s="278">
        <f>Données!A272</f>
        <v>5889</v>
      </c>
      <c r="B271" s="282" t="str">
        <f>Données!B272</f>
        <v>La Tour-de-Peilz</v>
      </c>
      <c r="C271" s="280">
        <f>VPI!Q272</f>
        <v>64</v>
      </c>
      <c r="D271" s="285">
        <f>Données!Z272</f>
        <v>12812</v>
      </c>
      <c r="E271" s="661">
        <f>VPI!R272</f>
        <v>728841.71013020864</v>
      </c>
      <c r="F271" s="218">
        <f>'Péréquation directe'!K278</f>
        <v>5242053.3814623058</v>
      </c>
      <c r="G271" s="227">
        <f>PCS!I278</f>
        <v>12883451.204713369</v>
      </c>
      <c r="H271" s="242">
        <f>Police!L272</f>
        <v>818977.00533733366</v>
      </c>
      <c r="I271" s="320">
        <f t="shared" si="4"/>
        <v>18944481.591513008</v>
      </c>
      <c r="J271" s="133"/>
      <c r="K271" s="175"/>
      <c r="L271" s="591"/>
      <c r="M271" s="592"/>
    </row>
    <row r="272" spans="1:13" s="84" customFormat="1" x14ac:dyDescent="0.25">
      <c r="A272" s="278">
        <f>Données!A273</f>
        <v>5890</v>
      </c>
      <c r="B272" s="282" t="str">
        <f>Données!B273</f>
        <v>Vevey</v>
      </c>
      <c r="C272" s="280">
        <f>VPI!Q273</f>
        <v>74.5</v>
      </c>
      <c r="D272" s="285">
        <f>Données!Z273</f>
        <v>20146</v>
      </c>
      <c r="E272" s="661">
        <f>VPI!R273</f>
        <v>1064325.313736018</v>
      </c>
      <c r="F272" s="218">
        <f>'Péréquation directe'!K279</f>
        <v>1751619.7854636535</v>
      </c>
      <c r="G272" s="227">
        <f>PCS!I279</f>
        <v>14943186.180121023</v>
      </c>
      <c r="H272" s="242">
        <f>Police!L273</f>
        <v>1195949.6088561111</v>
      </c>
      <c r="I272" s="320">
        <f t="shared" si="4"/>
        <v>17890755.574440788</v>
      </c>
      <c r="J272" s="133"/>
      <c r="K272" s="175"/>
      <c r="L272" s="591"/>
      <c r="M272" s="592"/>
    </row>
    <row r="273" spans="1:13" s="84" customFormat="1" x14ac:dyDescent="0.25">
      <c r="A273" s="278">
        <f>Données!A274</f>
        <v>5891</v>
      </c>
      <c r="B273" s="282" t="str">
        <f>Données!B274</f>
        <v>Veytaux</v>
      </c>
      <c r="C273" s="280">
        <f>VPI!Q274</f>
        <v>67.5</v>
      </c>
      <c r="D273" s="285">
        <f>Données!Z274</f>
        <v>1043</v>
      </c>
      <c r="E273" s="661">
        <f>VPI!R274</f>
        <v>41068.156987654322</v>
      </c>
      <c r="F273" s="218">
        <f>'Péréquation directe'!K280</f>
        <v>-143191.11097988614</v>
      </c>
      <c r="G273" s="227">
        <f>PCS!I280</f>
        <v>590443.81097973336</v>
      </c>
      <c r="H273" s="242">
        <f>Police!L274</f>
        <v>46147.024459486398</v>
      </c>
      <c r="I273" s="320">
        <f t="shared" si="4"/>
        <v>493399.72445933364</v>
      </c>
      <c r="J273" s="133"/>
      <c r="K273" s="175"/>
      <c r="L273" s="591"/>
      <c r="M273" s="592"/>
    </row>
    <row r="274" spans="1:13" s="84" customFormat="1" x14ac:dyDescent="0.25">
      <c r="A274" s="278">
        <f>Données!A275</f>
        <v>5892</v>
      </c>
      <c r="B274" s="282" t="str">
        <f>Données!B275</f>
        <v>Blonay - Saint-Légier</v>
      </c>
      <c r="C274" s="280">
        <f>VPI!Q275</f>
        <v>68.5</v>
      </c>
      <c r="D274" s="285">
        <f>Données!Z275</f>
        <v>12463</v>
      </c>
      <c r="E274" s="661">
        <f>VPI!R275</f>
        <v>755904.99576642353</v>
      </c>
      <c r="F274" s="218">
        <f>'Péréquation directe'!K281</f>
        <v>4633010.2053059991</v>
      </c>
      <c r="G274" s="227">
        <f>PCS!I281</f>
        <v>13846669.01451249</v>
      </c>
      <c r="H274" s="242">
        <f>Police!L275</f>
        <v>849387.18674829672</v>
      </c>
      <c r="I274" s="320">
        <f t="shared" si="4"/>
        <v>19329066.406566784</v>
      </c>
      <c r="J274" s="133"/>
      <c r="K274" s="175"/>
      <c r="L274" s="591"/>
      <c r="M274" s="592"/>
    </row>
    <row r="275" spans="1:13" s="84" customFormat="1" x14ac:dyDescent="0.25">
      <c r="A275" s="278">
        <f>Données!A276</f>
        <v>5902</v>
      </c>
      <c r="B275" s="282" t="str">
        <f>Données!B276</f>
        <v>Belmont-sur-Yverdon</v>
      </c>
      <c r="C275" s="280">
        <f>VPI!Q276</f>
        <v>70</v>
      </c>
      <c r="D275" s="285">
        <f>Données!Z276</f>
        <v>445</v>
      </c>
      <c r="E275" s="661">
        <f>VPI!R276</f>
        <v>12357.530428571426</v>
      </c>
      <c r="F275" s="218">
        <f>'Péréquation directe'!K282</f>
        <v>-33341.596442658483</v>
      </c>
      <c r="G275" s="227">
        <f>PCS!I282</f>
        <v>150903.19483721105</v>
      </c>
      <c r="H275" s="242">
        <f>Police!L276</f>
        <v>36465.851880234528</v>
      </c>
      <c r="I275" s="320">
        <f t="shared" si="4"/>
        <v>154027.45027478709</v>
      </c>
      <c r="J275" s="133"/>
      <c r="K275" s="175"/>
      <c r="L275" s="591"/>
      <c r="M275" s="592"/>
    </row>
    <row r="276" spans="1:13" s="84" customFormat="1" x14ac:dyDescent="0.25">
      <c r="A276" s="278">
        <f>Données!A277</f>
        <v>5903</v>
      </c>
      <c r="B276" s="282" t="str">
        <f>Données!B277</f>
        <v>Bioley-Magnoux</v>
      </c>
      <c r="C276" s="280">
        <f>VPI!Q277</f>
        <v>72</v>
      </c>
      <c r="D276" s="285">
        <f>Données!Z277</f>
        <v>257</v>
      </c>
      <c r="E276" s="661">
        <f>VPI!R277</f>
        <v>7020.1331746031747</v>
      </c>
      <c r="F276" s="218">
        <f>'Péréquation directe'!K283</f>
        <v>-219960.62593508736</v>
      </c>
      <c r="G276" s="227">
        <f>PCS!I283</f>
        <v>107162.6880838322</v>
      </c>
      <c r="H276" s="242">
        <f>Police!L277</f>
        <v>20732.214881478787</v>
      </c>
      <c r="I276" s="320">
        <f t="shared" si="4"/>
        <v>-92065.722969776369</v>
      </c>
      <c r="J276" s="133"/>
      <c r="K276" s="175"/>
      <c r="L276" s="591"/>
      <c r="M276" s="592"/>
    </row>
    <row r="277" spans="1:13" s="84" customFormat="1" x14ac:dyDescent="0.25">
      <c r="A277" s="278">
        <f>Données!A278</f>
        <v>5904</v>
      </c>
      <c r="B277" s="282" t="str">
        <f>Données!B278</f>
        <v>Chamblon</v>
      </c>
      <c r="C277" s="280">
        <f>VPI!Q278</f>
        <v>66</v>
      </c>
      <c r="D277" s="285">
        <f>Données!Z278</f>
        <v>554</v>
      </c>
      <c r="E277" s="661">
        <f>VPI!R278</f>
        <v>17094.436818181817</v>
      </c>
      <c r="F277" s="218">
        <f>'Péréquation directe'!K284</f>
        <v>72257.723937562609</v>
      </c>
      <c r="G277" s="227">
        <f>PCS!I284</f>
        <v>246577.52773916841</v>
      </c>
      <c r="H277" s="242">
        <f>Police!L278</f>
        <v>19208.492706573685</v>
      </c>
      <c r="I277" s="320">
        <f t="shared" si="4"/>
        <v>338043.74438330473</v>
      </c>
      <c r="J277" s="133"/>
      <c r="K277" s="175"/>
      <c r="L277" s="591"/>
      <c r="M277" s="592"/>
    </row>
    <row r="278" spans="1:13" s="84" customFormat="1" x14ac:dyDescent="0.25">
      <c r="A278" s="278">
        <f>Données!A279</f>
        <v>5905</v>
      </c>
      <c r="B278" s="282" t="str">
        <f>Données!B279</f>
        <v>Champvent</v>
      </c>
      <c r="C278" s="280">
        <f>VPI!Q279</f>
        <v>70</v>
      </c>
      <c r="D278" s="285">
        <f>Données!Z279</f>
        <v>725</v>
      </c>
      <c r="E278" s="661">
        <f>VPI!R279</f>
        <v>21074.306571428569</v>
      </c>
      <c r="F278" s="218">
        <f>'Péréquation directe'!K285</f>
        <v>-95357.178890849173</v>
      </c>
      <c r="G278" s="227">
        <f>PCS!I285</f>
        <v>334460.18464242527</v>
      </c>
      <c r="H278" s="242">
        <f>Police!L279</f>
        <v>62351.901613585593</v>
      </c>
      <c r="I278" s="320">
        <f t="shared" si="4"/>
        <v>301454.90736516169</v>
      </c>
      <c r="J278" s="133"/>
      <c r="K278" s="175"/>
      <c r="L278" s="591"/>
      <c r="M278" s="592"/>
    </row>
    <row r="279" spans="1:13" s="84" customFormat="1" x14ac:dyDescent="0.25">
      <c r="A279" s="278">
        <f>Données!A280</f>
        <v>5907</v>
      </c>
      <c r="B279" s="282" t="str">
        <f>Données!B280</f>
        <v>Chavannes-le-Chêne</v>
      </c>
      <c r="C279" s="280">
        <f>VPI!Q280</f>
        <v>75</v>
      </c>
      <c r="D279" s="285">
        <f>Données!Z280</f>
        <v>322</v>
      </c>
      <c r="E279" s="661">
        <f>VPI!R280</f>
        <v>7797.3521333333319</v>
      </c>
      <c r="F279" s="218">
        <f>'Péréquation directe'!K286</f>
        <v>-145913.78295441851</v>
      </c>
      <c r="G279" s="227">
        <f>PCS!I286</f>
        <v>101199.12501501359</v>
      </c>
      <c r="H279" s="242">
        <f>Police!L280</f>
        <v>22819.391623751999</v>
      </c>
      <c r="I279" s="320">
        <f t="shared" si="4"/>
        <v>-21895.26631565292</v>
      </c>
      <c r="J279" s="133"/>
      <c r="K279" s="175"/>
      <c r="L279" s="591"/>
      <c r="M279" s="592"/>
    </row>
    <row r="280" spans="1:13" s="84" customFormat="1" x14ac:dyDescent="0.25">
      <c r="A280" s="278">
        <f>Données!A281</f>
        <v>5908</v>
      </c>
      <c r="B280" s="282" t="str">
        <f>Données!B281</f>
        <v>Chêne-Pâquier</v>
      </c>
      <c r="C280" s="280">
        <f>VPI!Q281</f>
        <v>75</v>
      </c>
      <c r="D280" s="285">
        <f>Données!Z281</f>
        <v>173</v>
      </c>
      <c r="E280" s="661">
        <f>VPI!R281</f>
        <v>5664.0389333333333</v>
      </c>
      <c r="F280" s="218">
        <f>'Péréquation directe'!K287</f>
        <v>-4917.3974710658222</v>
      </c>
      <c r="G280" s="227">
        <f>PCS!I287</f>
        <v>84949.840188526432</v>
      </c>
      <c r="H280" s="242">
        <f>Police!L281</f>
        <v>16897.712150077208</v>
      </c>
      <c r="I280" s="320">
        <f t="shared" si="4"/>
        <v>96930.154867537814</v>
      </c>
      <c r="J280" s="133"/>
      <c r="K280" s="175"/>
      <c r="L280" s="591"/>
      <c r="M280" s="592"/>
    </row>
    <row r="281" spans="1:13" s="84" customFormat="1" x14ac:dyDescent="0.25">
      <c r="A281" s="278">
        <f>Données!A282</f>
        <v>5909</v>
      </c>
      <c r="B281" s="282" t="str">
        <f>Données!B282</f>
        <v>Cheseaux-Noréaz</v>
      </c>
      <c r="C281" s="280">
        <f>VPI!Q282</f>
        <v>67</v>
      </c>
      <c r="D281" s="285">
        <f>Données!Z282</f>
        <v>734</v>
      </c>
      <c r="E281" s="661">
        <f>VPI!R282</f>
        <v>31504.478358208951</v>
      </c>
      <c r="F281" s="218">
        <f>'Péréquation directe'!K288</f>
        <v>330543.42005794292</v>
      </c>
      <c r="G281" s="227">
        <f>PCS!I288</f>
        <v>570738.99977960705</v>
      </c>
      <c r="H281" s="242">
        <f>Police!L282</f>
        <v>35400.613030106826</v>
      </c>
      <c r="I281" s="320">
        <f t="shared" si="4"/>
        <v>936683.0328676569</v>
      </c>
      <c r="J281" s="133"/>
      <c r="K281" s="175"/>
      <c r="L281" s="591"/>
      <c r="M281" s="592"/>
    </row>
    <row r="282" spans="1:13" s="84" customFormat="1" x14ac:dyDescent="0.25">
      <c r="A282" s="278">
        <f>Données!A283</f>
        <v>5910</v>
      </c>
      <c r="B282" s="282" t="str">
        <f>Données!B283</f>
        <v>Cronay</v>
      </c>
      <c r="C282" s="280">
        <f>VPI!Q283</f>
        <v>75</v>
      </c>
      <c r="D282" s="285">
        <f>Données!Z283</f>
        <v>425</v>
      </c>
      <c r="E282" s="661">
        <f>VPI!R283</f>
        <v>11511.156533333333</v>
      </c>
      <c r="F282" s="218">
        <f>'Péréquation directe'!K289</f>
        <v>-191652.77233398208</v>
      </c>
      <c r="G282" s="227">
        <f>PCS!I289</f>
        <v>132857.40048136769</v>
      </c>
      <c r="H282" s="242">
        <f>Police!L283</f>
        <v>34063.449498423906</v>
      </c>
      <c r="I282" s="320">
        <f t="shared" si="4"/>
        <v>-24731.922354190487</v>
      </c>
      <c r="J282" s="133"/>
      <c r="K282" s="175"/>
      <c r="L282" s="591"/>
      <c r="M282" s="592"/>
    </row>
    <row r="283" spans="1:13" s="84" customFormat="1" x14ac:dyDescent="0.25">
      <c r="A283" s="278">
        <f>Données!A284</f>
        <v>5911</v>
      </c>
      <c r="B283" s="282" t="str">
        <f>Données!B284</f>
        <v>Cuarny</v>
      </c>
      <c r="C283" s="280">
        <f>VPI!Q284</f>
        <v>77</v>
      </c>
      <c r="D283" s="285">
        <f>Données!Z284</f>
        <v>241</v>
      </c>
      <c r="E283" s="661">
        <f>VPI!R284</f>
        <v>7072.9457142857154</v>
      </c>
      <c r="F283" s="218">
        <f>'Péréquation directe'!K290</f>
        <v>-84252.84521818455</v>
      </c>
      <c r="G283" s="227">
        <f>PCS!I290</f>
        <v>328136.17745566403</v>
      </c>
      <c r="H283" s="242">
        <f>Police!L284</f>
        <v>21046.458498196869</v>
      </c>
      <c r="I283" s="320">
        <f t="shared" si="4"/>
        <v>264929.79073567636</v>
      </c>
      <c r="J283" s="133"/>
      <c r="K283" s="175"/>
      <c r="L283" s="591"/>
      <c r="M283" s="592"/>
    </row>
    <row r="284" spans="1:13" s="84" customFormat="1" x14ac:dyDescent="0.25">
      <c r="A284" s="278">
        <f>Données!A285</f>
        <v>5912</v>
      </c>
      <c r="B284" s="282" t="str">
        <f>Données!B285</f>
        <v>Démoret</v>
      </c>
      <c r="C284" s="280">
        <f>VPI!Q285</f>
        <v>78</v>
      </c>
      <c r="D284" s="285">
        <f>Données!Z285</f>
        <v>172</v>
      </c>
      <c r="E284" s="661">
        <f>VPI!R285</f>
        <v>4054.1132051282052</v>
      </c>
      <c r="F284" s="218">
        <f>'Péréquation directe'!K291</f>
        <v>-92731.845296357322</v>
      </c>
      <c r="G284" s="227">
        <f>PCS!I291</f>
        <v>53486.699923979511</v>
      </c>
      <c r="H284" s="242">
        <f>Police!L285</f>
        <v>12015.757403555799</v>
      </c>
      <c r="I284" s="320">
        <f t="shared" si="4"/>
        <v>-27229.387968822011</v>
      </c>
      <c r="J284" s="133"/>
      <c r="K284" s="175"/>
      <c r="L284" s="591"/>
      <c r="M284" s="592"/>
    </row>
    <row r="285" spans="1:13" s="84" customFormat="1" x14ac:dyDescent="0.25">
      <c r="A285" s="278">
        <f>Données!A286</f>
        <v>5913</v>
      </c>
      <c r="B285" s="282" t="str">
        <f>Données!B286</f>
        <v>Donneloye</v>
      </c>
      <c r="C285" s="280">
        <f>VPI!Q286</f>
        <v>73</v>
      </c>
      <c r="D285" s="285">
        <f>Données!Z286</f>
        <v>917</v>
      </c>
      <c r="E285" s="661">
        <f>VPI!R286</f>
        <v>21866.794931506847</v>
      </c>
      <c r="F285" s="218">
        <f>'Péréquation directe'!K292</f>
        <v>-287429.40214535297</v>
      </c>
      <c r="G285" s="227">
        <f>PCS!I292</f>
        <v>324726.92593364289</v>
      </c>
      <c r="H285" s="242">
        <f>Police!L286</f>
        <v>64578.819481482409</v>
      </c>
      <c r="I285" s="320">
        <f t="shared" si="4"/>
        <v>101876.34326977233</v>
      </c>
      <c r="J285" s="133"/>
      <c r="K285" s="175"/>
      <c r="L285" s="591"/>
      <c r="M285" s="592"/>
    </row>
    <row r="286" spans="1:13" s="84" customFormat="1" x14ac:dyDescent="0.25">
      <c r="A286" s="278">
        <f>Données!A287</f>
        <v>5914</v>
      </c>
      <c r="B286" s="282" t="str">
        <f>Données!B287</f>
        <v>Ependes</v>
      </c>
      <c r="C286" s="280">
        <f>VPI!Q287</f>
        <v>73.5</v>
      </c>
      <c r="D286" s="285">
        <f>Données!Z287</f>
        <v>381</v>
      </c>
      <c r="E286" s="661">
        <f>VPI!R287</f>
        <v>10606.318639455782</v>
      </c>
      <c r="F286" s="218">
        <f>'Péréquation directe'!K293</f>
        <v>-99493.955951420852</v>
      </c>
      <c r="G286" s="227">
        <f>PCS!I293</f>
        <v>142193.13977953771</v>
      </c>
      <c r="H286" s="242">
        <f>Police!L287</f>
        <v>11917.993929632832</v>
      </c>
      <c r="I286" s="320">
        <f t="shared" si="4"/>
        <v>54617.17775774969</v>
      </c>
      <c r="J286" s="133"/>
      <c r="K286" s="175"/>
      <c r="L286" s="591"/>
      <c r="M286" s="592"/>
    </row>
    <row r="287" spans="1:13" s="84" customFormat="1" x14ac:dyDescent="0.25">
      <c r="A287" s="278">
        <f>Données!A288</f>
        <v>5919</v>
      </c>
      <c r="B287" s="282" t="str">
        <f>Données!B288</f>
        <v>Mathod</v>
      </c>
      <c r="C287" s="280">
        <f>VPI!Q288</f>
        <v>72</v>
      </c>
      <c r="D287" s="285">
        <f>Données!Z288</f>
        <v>725</v>
      </c>
      <c r="E287" s="661">
        <f>VPI!R288</f>
        <v>21430.97550925926</v>
      </c>
      <c r="F287" s="218">
        <f>'Péréquation directe'!K294</f>
        <v>-136761.72540656594</v>
      </c>
      <c r="G287" s="227">
        <f>PCS!I294</f>
        <v>324292.57800362172</v>
      </c>
      <c r="H287" s="242">
        <f>Police!L288</f>
        <v>24081.327811076142</v>
      </c>
      <c r="I287" s="320">
        <f t="shared" si="4"/>
        <v>211612.18040813191</v>
      </c>
      <c r="J287" s="133"/>
      <c r="K287" s="175"/>
      <c r="L287" s="591"/>
      <c r="M287" s="592"/>
    </row>
    <row r="288" spans="1:13" s="84" customFormat="1" x14ac:dyDescent="0.25">
      <c r="A288" s="278">
        <f>Données!A289</f>
        <v>5921</v>
      </c>
      <c r="B288" s="282" t="str">
        <f>Données!B289</f>
        <v>Molondin</v>
      </c>
      <c r="C288" s="280">
        <f>VPI!Q289</f>
        <v>81</v>
      </c>
      <c r="D288" s="285">
        <f>Données!Z289</f>
        <v>269</v>
      </c>
      <c r="E288" s="661">
        <f>VPI!R289</f>
        <v>8425.9467901234584</v>
      </c>
      <c r="F288" s="218">
        <f>'Péréquation directe'!K295</f>
        <v>-20789.751827614178</v>
      </c>
      <c r="G288" s="227">
        <f>PCS!I295</f>
        <v>129999.70866742145</v>
      </c>
      <c r="H288" s="242">
        <f>Police!L289</f>
        <v>25225.411487215173</v>
      </c>
      <c r="I288" s="320">
        <f t="shared" si="4"/>
        <v>134435.36832702244</v>
      </c>
      <c r="J288" s="133"/>
      <c r="K288" s="175"/>
      <c r="L288" s="591"/>
      <c r="M288" s="592"/>
    </row>
    <row r="289" spans="1:13" s="84" customFormat="1" x14ac:dyDescent="0.25">
      <c r="A289" s="278">
        <f>Données!A290</f>
        <v>5922</v>
      </c>
      <c r="B289" s="282" t="str">
        <f>Données!B290</f>
        <v>Montagny-près-Yverdon</v>
      </c>
      <c r="C289" s="280">
        <f>VPI!Q290</f>
        <v>64.5</v>
      </c>
      <c r="D289" s="285">
        <f>Données!Z290</f>
        <v>783</v>
      </c>
      <c r="E289" s="661">
        <f>VPI!R290</f>
        <v>40785.058217054269</v>
      </c>
      <c r="F289" s="218">
        <f>'Péréquation directe'!K296</f>
        <v>520069.35704359057</v>
      </c>
      <c r="G289" s="227">
        <f>PCS!I296</f>
        <v>766288.68953971216</v>
      </c>
      <c r="H289" s="242">
        <f>Police!L290</f>
        <v>113883.27570124253</v>
      </c>
      <c r="I289" s="320">
        <f t="shared" si="4"/>
        <v>1400241.3222845453</v>
      </c>
      <c r="J289" s="133"/>
      <c r="K289" s="175"/>
      <c r="L289" s="591"/>
      <c r="M289" s="592"/>
    </row>
    <row r="290" spans="1:13" s="84" customFormat="1" x14ac:dyDescent="0.25">
      <c r="A290" s="278">
        <f>Données!A291</f>
        <v>5923</v>
      </c>
      <c r="B290" s="282" t="str">
        <f>Données!B291</f>
        <v>Oppens</v>
      </c>
      <c r="C290" s="280">
        <f>VPI!Q291</f>
        <v>79</v>
      </c>
      <c r="D290" s="285">
        <f>Données!Z291</f>
        <v>202</v>
      </c>
      <c r="E290" s="661">
        <f>VPI!R291</f>
        <v>5683.6511392405064</v>
      </c>
      <c r="F290" s="218">
        <f>'Péréquation directe'!K297</f>
        <v>-138804.44446788428</v>
      </c>
      <c r="G290" s="227">
        <f>PCS!I297</f>
        <v>71077.590535493116</v>
      </c>
      <c r="H290" s="242">
        <f>Police!L291</f>
        <v>17057.600624638755</v>
      </c>
      <c r="I290" s="320">
        <f t="shared" si="4"/>
        <v>-50669.253307752413</v>
      </c>
      <c r="J290" s="133"/>
      <c r="K290" s="175"/>
      <c r="L290" s="591"/>
      <c r="M290" s="592"/>
    </row>
    <row r="291" spans="1:13" s="84" customFormat="1" x14ac:dyDescent="0.25">
      <c r="A291" s="278">
        <f>Données!A292</f>
        <v>5924</v>
      </c>
      <c r="B291" s="282" t="str">
        <f>Données!B292</f>
        <v>Orges</v>
      </c>
      <c r="C291" s="280">
        <f>VPI!Q292</f>
        <v>74</v>
      </c>
      <c r="D291" s="285">
        <f>Données!Z292</f>
        <v>424</v>
      </c>
      <c r="E291" s="661">
        <f>VPI!R292</f>
        <v>13265.35135135135</v>
      </c>
      <c r="F291" s="218">
        <f>'Péréquation directe'!K298</f>
        <v>-60495.415714530653</v>
      </c>
      <c r="G291" s="227">
        <f>PCS!I298</f>
        <v>200587.41602556538</v>
      </c>
      <c r="H291" s="242">
        <f>Police!L292</f>
        <v>39663.9360962192</v>
      </c>
      <c r="I291" s="320">
        <f t="shared" si="4"/>
        <v>179755.93640725393</v>
      </c>
      <c r="J291" s="133"/>
      <c r="K291" s="175"/>
      <c r="L291" s="591"/>
      <c r="M291" s="592"/>
    </row>
    <row r="292" spans="1:13" s="84" customFormat="1" x14ac:dyDescent="0.25">
      <c r="A292" s="278">
        <f>Données!A293</f>
        <v>5925</v>
      </c>
      <c r="B292" s="282" t="str">
        <f>Données!B293</f>
        <v>Orzens</v>
      </c>
      <c r="C292" s="280">
        <f>VPI!Q293</f>
        <v>79</v>
      </c>
      <c r="D292" s="285">
        <f>Données!Z293</f>
        <v>216</v>
      </c>
      <c r="E292" s="661">
        <f>VPI!R293</f>
        <v>5055.3741772151898</v>
      </c>
      <c r="F292" s="218">
        <f>'Péréquation directe'!K299</f>
        <v>-79585.79430090409</v>
      </c>
      <c r="G292" s="227">
        <f>PCS!I299</f>
        <v>74465.075069047103</v>
      </c>
      <c r="H292" s="242">
        <f>Police!L293</f>
        <v>14839.821841523339</v>
      </c>
      <c r="I292" s="320">
        <f t="shared" si="4"/>
        <v>9719.1026096663518</v>
      </c>
      <c r="J292" s="133"/>
      <c r="K292" s="175"/>
      <c r="L292" s="591"/>
      <c r="M292" s="592"/>
    </row>
    <row r="293" spans="1:13" s="84" customFormat="1" x14ac:dyDescent="0.25">
      <c r="A293" s="278">
        <f>Données!A294</f>
        <v>5926</v>
      </c>
      <c r="B293" s="282" t="str">
        <f>Données!B294</f>
        <v>Pomy</v>
      </c>
      <c r="C293" s="280">
        <f>VPI!Q294</f>
        <v>71</v>
      </c>
      <c r="D293" s="285">
        <f>Données!Z294</f>
        <v>877</v>
      </c>
      <c r="E293" s="661">
        <f>VPI!R294</f>
        <v>26646.407887323945</v>
      </c>
      <c r="F293" s="218">
        <f>'Péréquation directe'!K300</f>
        <v>-39412.954702172079</v>
      </c>
      <c r="G293" s="227">
        <f>PCS!I300</f>
        <v>441072.53167451487</v>
      </c>
      <c r="H293" s="242">
        <f>Police!L294</f>
        <v>29941.748710648022</v>
      </c>
      <c r="I293" s="320">
        <f t="shared" si="4"/>
        <v>431601.32568299084</v>
      </c>
      <c r="J293" s="133"/>
      <c r="K293" s="175"/>
      <c r="L293" s="591"/>
      <c r="M293" s="592"/>
    </row>
    <row r="294" spans="1:13" s="84" customFormat="1" x14ac:dyDescent="0.25">
      <c r="A294" s="278">
        <f>Données!A295</f>
        <v>5928</v>
      </c>
      <c r="B294" s="282" t="str">
        <f>Données!B295</f>
        <v>Rovray</v>
      </c>
      <c r="C294" s="280">
        <f>VPI!Q295</f>
        <v>73</v>
      </c>
      <c r="D294" s="285">
        <f>Données!Z295</f>
        <v>195</v>
      </c>
      <c r="E294" s="661">
        <f>VPI!R295</f>
        <v>5997.0809589041082</v>
      </c>
      <c r="F294" s="218">
        <f>'Péréquation directe'!K301</f>
        <v>-2251.7624015605979</v>
      </c>
      <c r="G294" s="227">
        <f>PCS!I301</f>
        <v>81432.065283149976</v>
      </c>
      <c r="H294" s="242">
        <f>Police!L295</f>
        <v>17939.82878546913</v>
      </c>
      <c r="I294" s="320">
        <f t="shared" si="4"/>
        <v>97120.131667058507</v>
      </c>
      <c r="J294" s="133"/>
      <c r="K294" s="175"/>
      <c r="L294" s="591"/>
      <c r="M294" s="592"/>
    </row>
    <row r="295" spans="1:13" s="84" customFormat="1" x14ac:dyDescent="0.25">
      <c r="A295" s="278">
        <f>Données!A296</f>
        <v>5929</v>
      </c>
      <c r="B295" s="282" t="str">
        <f>Données!B296</f>
        <v>Suchy</v>
      </c>
      <c r="C295" s="280">
        <f>VPI!Q296</f>
        <v>70</v>
      </c>
      <c r="D295" s="285">
        <f>Données!Z296</f>
        <v>670</v>
      </c>
      <c r="E295" s="661">
        <f>VPI!R296</f>
        <v>22958.537249999998</v>
      </c>
      <c r="F295" s="218">
        <f>'Péréquation directe'!K302</f>
        <v>144963.7978041672</v>
      </c>
      <c r="G295" s="227">
        <f>PCS!I302</f>
        <v>335792.84317194996</v>
      </c>
      <c r="H295" s="242">
        <f>Police!L296</f>
        <v>25797.801940522211</v>
      </c>
      <c r="I295" s="320">
        <f t="shared" si="4"/>
        <v>506554.44291663938</v>
      </c>
      <c r="J295" s="133"/>
      <c r="K295" s="175"/>
      <c r="L295" s="591"/>
      <c r="M295" s="592"/>
    </row>
    <row r="296" spans="1:13" s="84" customFormat="1" x14ac:dyDescent="0.25">
      <c r="A296" s="278">
        <f>Données!A297</f>
        <v>5930</v>
      </c>
      <c r="B296" s="282" t="str">
        <f>Données!B297</f>
        <v>Suscévaz</v>
      </c>
      <c r="C296" s="280">
        <f>VPI!Q297</f>
        <v>72</v>
      </c>
      <c r="D296" s="285">
        <f>Données!Z297</f>
        <v>237</v>
      </c>
      <c r="E296" s="661">
        <f>VPI!R297</f>
        <v>5123.1661111111116</v>
      </c>
      <c r="F296" s="218">
        <f>'Péréquation directe'!K303</f>
        <v>-109339.07670459224</v>
      </c>
      <c r="G296" s="227">
        <f>PCS!I303</f>
        <v>72656.481359226935</v>
      </c>
      <c r="H296" s="242">
        <f>Police!L297</f>
        <v>5756.7441341603708</v>
      </c>
      <c r="I296" s="320">
        <f t="shared" si="4"/>
        <v>-30925.851211204936</v>
      </c>
      <c r="J296" s="133"/>
      <c r="K296" s="175"/>
      <c r="L296" s="591"/>
      <c r="M296" s="592"/>
    </row>
    <row r="297" spans="1:13" s="84" customFormat="1" x14ac:dyDescent="0.25">
      <c r="A297" s="278">
        <f>Données!A298</f>
        <v>5931</v>
      </c>
      <c r="B297" s="282" t="str">
        <f>Données!B298</f>
        <v>Treycovagnes</v>
      </c>
      <c r="C297" s="280">
        <f>VPI!Q298</f>
        <v>73</v>
      </c>
      <c r="D297" s="285">
        <f>Données!Z298</f>
        <v>513</v>
      </c>
      <c r="E297" s="661">
        <f>VPI!R298</f>
        <v>16489.594109589041</v>
      </c>
      <c r="F297" s="218">
        <f>'Péréquation directe'!K304</f>
        <v>15608.103132127144</v>
      </c>
      <c r="G297" s="227">
        <f>PCS!I304</f>
        <v>212252.48307901423</v>
      </c>
      <c r="H297" s="242">
        <f>Police!L298</f>
        <v>18528.849564175951</v>
      </c>
      <c r="I297" s="320">
        <f t="shared" si="4"/>
        <v>246389.43577531731</v>
      </c>
      <c r="J297" s="133"/>
      <c r="K297" s="175"/>
      <c r="L297" s="591"/>
      <c r="M297" s="592"/>
    </row>
    <row r="298" spans="1:13" s="84" customFormat="1" x14ac:dyDescent="0.25">
      <c r="A298" s="278">
        <f>Données!A299</f>
        <v>5932</v>
      </c>
      <c r="B298" s="282" t="str">
        <f>Données!B299</f>
        <v>Ursins</v>
      </c>
      <c r="C298" s="280">
        <f>VPI!Q299</f>
        <v>75</v>
      </c>
      <c r="D298" s="285">
        <f>Données!Z299</f>
        <v>233</v>
      </c>
      <c r="E298" s="661">
        <f>VPI!R299</f>
        <v>9309.2870666666695</v>
      </c>
      <c r="F298" s="218">
        <f>'Péréquation directe'!K305</f>
        <v>83266.719384352196</v>
      </c>
      <c r="G298" s="227">
        <f>PCS!I305</f>
        <v>102799.01912018452</v>
      </c>
      <c r="H298" s="242">
        <f>Police!L299</f>
        <v>28077.845590505709</v>
      </c>
      <c r="I298" s="320">
        <f t="shared" si="4"/>
        <v>214143.58409504243</v>
      </c>
      <c r="J298" s="133"/>
      <c r="K298" s="175"/>
      <c r="L298" s="591"/>
      <c r="M298" s="592"/>
    </row>
    <row r="299" spans="1:13" s="84" customFormat="1" x14ac:dyDescent="0.25">
      <c r="A299" s="278">
        <f>Données!A300</f>
        <v>5933</v>
      </c>
      <c r="B299" s="282" t="str">
        <f>Données!B300</f>
        <v>Valeyres-sous-Montagny</v>
      </c>
      <c r="C299" s="280">
        <f>VPI!Q300</f>
        <v>70.5</v>
      </c>
      <c r="D299" s="285">
        <f>Données!Z300</f>
        <v>706</v>
      </c>
      <c r="E299" s="661">
        <f>VPI!R300</f>
        <v>23289.682127659577</v>
      </c>
      <c r="F299" s="218">
        <f>'Péréquation directe'!K306</f>
        <v>-468621.61458285613</v>
      </c>
      <c r="G299" s="227">
        <f>PCS!I306</f>
        <v>301349.41876281449</v>
      </c>
      <c r="H299" s="242">
        <f>Police!L300</f>
        <v>68976.168471043318</v>
      </c>
      <c r="I299" s="320">
        <f t="shared" si="4"/>
        <v>-98296.027348998323</v>
      </c>
      <c r="J299" s="133"/>
      <c r="K299" s="175"/>
      <c r="L299" s="591"/>
      <c r="M299" s="592"/>
    </row>
    <row r="300" spans="1:13" s="84" customFormat="1" x14ac:dyDescent="0.25">
      <c r="A300" s="278">
        <f>Données!A301</f>
        <v>5934</v>
      </c>
      <c r="B300" s="282" t="str">
        <f>Données!B301</f>
        <v>Valeyres-sous-Ursins</v>
      </c>
      <c r="C300" s="280">
        <f>VPI!Q301</f>
        <v>77</v>
      </c>
      <c r="D300" s="285">
        <f>Données!Z301</f>
        <v>236</v>
      </c>
      <c r="E300" s="661">
        <f>VPI!R301</f>
        <v>8590.653896103895</v>
      </c>
      <c r="F300" s="218">
        <f>'Péréquation directe'!K307</f>
        <v>44437.912320571661</v>
      </c>
      <c r="G300" s="227">
        <f>PCS!I307</f>
        <v>143626.1984117692</v>
      </c>
      <c r="H300" s="242">
        <f>Police!L301</f>
        <v>25936.446980153451</v>
      </c>
      <c r="I300" s="320">
        <f t="shared" si="4"/>
        <v>214000.55771249431</v>
      </c>
      <c r="J300" s="133"/>
      <c r="K300" s="175"/>
      <c r="L300" s="591"/>
      <c r="M300" s="592"/>
    </row>
    <row r="301" spans="1:13" s="84" customFormat="1" x14ac:dyDescent="0.25">
      <c r="A301" s="278">
        <f>Données!A302</f>
        <v>5935</v>
      </c>
      <c r="B301" s="282" t="str">
        <f>Données!B302</f>
        <v>Villars-Epeney</v>
      </c>
      <c r="C301" s="280">
        <f>VPI!Q302</f>
        <v>68</v>
      </c>
      <c r="D301" s="285">
        <f>Données!Z302</f>
        <v>108</v>
      </c>
      <c r="E301" s="661">
        <f>VPI!R302</f>
        <v>10030.652647058823</v>
      </c>
      <c r="F301" s="218">
        <f>'Péréquation directe'!K308</f>
        <v>182441.30175065802</v>
      </c>
      <c r="G301" s="227">
        <f>PCS!I308</f>
        <v>237165.50625440397</v>
      </c>
      <c r="H301" s="242">
        <f>Police!L302</f>
        <v>21218.133208205116</v>
      </c>
      <c r="I301" s="320">
        <f t="shared" si="4"/>
        <v>440824.9412132671</v>
      </c>
      <c r="J301" s="133"/>
      <c r="K301" s="175"/>
      <c r="L301" s="591"/>
      <c r="M301" s="592"/>
    </row>
    <row r="302" spans="1:13" s="84" customFormat="1" x14ac:dyDescent="0.25">
      <c r="A302" s="278">
        <f>Données!A303</f>
        <v>5937</v>
      </c>
      <c r="B302" s="282" t="str">
        <f>Données!B303</f>
        <v>Vugelles-La Mothe</v>
      </c>
      <c r="C302" s="280">
        <f>VPI!Q303</f>
        <v>70</v>
      </c>
      <c r="D302" s="285">
        <f>Données!Z303</f>
        <v>147</v>
      </c>
      <c r="E302" s="661">
        <f>VPI!R303</f>
        <v>4424.7368571428569</v>
      </c>
      <c r="F302" s="218">
        <f>'Péréquation directe'!K309</f>
        <v>-1147.1405833430472</v>
      </c>
      <c r="G302" s="227">
        <f>PCS!I309</f>
        <v>49684.985040377556</v>
      </c>
      <c r="H302" s="242">
        <f>Police!L303</f>
        <v>13249.745812966697</v>
      </c>
      <c r="I302" s="320">
        <f t="shared" si="4"/>
        <v>61787.590270001208</v>
      </c>
      <c r="J302" s="133"/>
      <c r="K302" s="175"/>
      <c r="L302" s="591"/>
      <c r="M302" s="592"/>
    </row>
    <row r="303" spans="1:13" s="84" customFormat="1" x14ac:dyDescent="0.25">
      <c r="A303" s="278">
        <f>Données!A304</f>
        <v>5938</v>
      </c>
      <c r="B303" s="282" t="str">
        <f>Données!B304</f>
        <v>Yverdon-les-Bains</v>
      </c>
      <c r="C303" s="280">
        <f>VPI!Q304</f>
        <v>75</v>
      </c>
      <c r="D303" s="285">
        <f>Données!Z304</f>
        <v>30332</v>
      </c>
      <c r="E303" s="661">
        <f>VPI!R304</f>
        <v>801823.39555555547</v>
      </c>
      <c r="F303" s="218">
        <f>'Péréquation directe'!K310</f>
        <v>-32288229.78610988</v>
      </c>
      <c r="G303" s="227">
        <f>PCS!I310</f>
        <v>13854620.40552716</v>
      </c>
      <c r="H303" s="242">
        <f>Police!L304</f>
        <v>900984.27981596335</v>
      </c>
      <c r="I303" s="320">
        <f t="shared" si="4"/>
        <v>-17532625.100766756</v>
      </c>
      <c r="J303" s="133"/>
      <c r="K303" s="175"/>
      <c r="L303" s="591"/>
      <c r="M303" s="592"/>
    </row>
    <row r="304" spans="1:13" s="84" customFormat="1" x14ac:dyDescent="0.25">
      <c r="A304" s="279">
        <f>Données!A305</f>
        <v>5939</v>
      </c>
      <c r="B304" s="283" t="str">
        <f>Données!B305</f>
        <v>Yvonand</v>
      </c>
      <c r="C304" s="280">
        <f>VPI!Q305</f>
        <v>71.5</v>
      </c>
      <c r="D304" s="286">
        <f>Données!Z305</f>
        <v>3525</v>
      </c>
      <c r="E304" s="661">
        <f>VPI!R305</f>
        <v>95983.007692307685</v>
      </c>
      <c r="F304" s="233">
        <f>'Péréquation directe'!K311</f>
        <v>-1480557.6523356794</v>
      </c>
      <c r="G304" s="358">
        <f>PCS!I311</f>
        <v>1456497.1720368145</v>
      </c>
      <c r="H304" s="243">
        <f>Police!L305</f>
        <v>280899.55402494193</v>
      </c>
      <c r="I304" s="339">
        <f t="shared" si="4"/>
        <v>256839.07372607704</v>
      </c>
      <c r="J304" s="133"/>
      <c r="K304" s="175"/>
      <c r="L304" s="591"/>
      <c r="M304" s="592"/>
    </row>
    <row r="305" spans="1:10" x14ac:dyDescent="0.25">
      <c r="A305" s="142"/>
      <c r="B305" s="281">
        <f>COUNTA(B5:B304)</f>
        <v>300</v>
      </c>
      <c r="C305" s="289">
        <f>VPI!Q306</f>
        <v>67.533896385427909</v>
      </c>
      <c r="D305" s="643">
        <f>SUM(D5:D304)</f>
        <v>855749</v>
      </c>
      <c r="E305" s="662">
        <f>SUM(E5:E304)</f>
        <v>42757870.01587484</v>
      </c>
      <c r="F305" s="334">
        <f>ROUND(SUM(F5:F304),5)</f>
        <v>450000</v>
      </c>
      <c r="G305" s="335">
        <f>ROUND(SUM(G5:G304),5)</f>
        <v>806647592</v>
      </c>
      <c r="H305" s="336">
        <f>ROUND(SUM(H5:H304),5)</f>
        <v>73172185</v>
      </c>
      <c r="I305" s="337">
        <f>SUM(I5:I304)</f>
        <v>880269776.99999976</v>
      </c>
    </row>
    <row r="306" spans="1:10" x14ac:dyDescent="0.25">
      <c r="D306" s="10"/>
      <c r="E306" s="10"/>
      <c r="G306" s="4"/>
      <c r="H306" s="4"/>
      <c r="I306" s="4"/>
      <c r="J306" s="4"/>
    </row>
    <row r="307" spans="1:10" x14ac:dyDescent="0.25">
      <c r="G307" s="4"/>
      <c r="H307" s="4"/>
      <c r="I307" s="4"/>
      <c r="J307" s="4"/>
    </row>
  </sheetData>
  <sheetProtection sheet="1" objects="1" scenarios="1"/>
  <phoneticPr fontId="0" type="noConversion"/>
  <conditionalFormatting sqref="F305">
    <cfRule type="cellIs" dxfId="2" priority="1" operator="equal">
      <formula>450000</formula>
    </cfRule>
  </conditionalFormatting>
  <hyperlinks>
    <hyperlink ref="D1" location="'Table des matières'!A1" display="Table des matières" xr:uid="{090680B4-EB0E-4E15-8AAA-D0F34968B211}"/>
    <hyperlink ref="C1" location="Police!A1" display="← Précédent" xr:uid="{64470B6D-289A-4292-A2C1-B49B6B7BEF3C}"/>
    <hyperlink ref="E1" location="'Décompte vs acomptes'!A1" display="Suivant →" xr:uid="{272CB11A-40D6-45B0-BD95-5E8B832019FD}"/>
  </hyperlinks>
  <printOptions horizontalCentered="1" verticalCentered="1"/>
  <pageMargins left="0.19685039370078741" right="0.19685039370078741" top="0" bottom="0" header="0.51181102362204722" footer="0.51181102362204722"/>
  <pageSetup paperSize="9" fitToHeight="7" orientation="landscape" horizontalDpi="1200" verticalDpi="1200" r:id="rId1"/>
  <headerFooter alignWithMargins="0">
    <oddFooter>&amp;LSCL - Division finances communales&amp;C- &amp;P -</oddFooter>
  </headerFooter>
  <legacyDrawing r:id="rId2"/>
  <extLst>
    <ext xmlns:x14="http://schemas.microsoft.com/office/spreadsheetml/2009/9/main" uri="{78C0D931-6437-407d-A8EE-F0AAD7539E65}">
      <x14:conditionalFormattings>
        <x14:conditionalFormatting xmlns:xm="http://schemas.microsoft.com/office/excel/2006/main">
          <x14:cfRule type="cellIs" priority="7" operator="equal" id="{F8010477-7BD4-48D1-BB1D-325051C343E7}">
            <xm:f>Paramètres!$B$11</xm:f>
            <x14:dxf>
              <fill>
                <patternFill>
                  <bgColor rgb="FF00B050"/>
                </patternFill>
              </fill>
            </x14:dxf>
          </x14:cfRule>
          <xm:sqref>G305</xm:sqref>
        </x14:conditionalFormatting>
        <x14:conditionalFormatting xmlns:xm="http://schemas.microsoft.com/office/excel/2006/main">
          <x14:cfRule type="cellIs" priority="5" operator="equal" id="{B3933958-71B3-4AD2-B33A-F05BD16E4DE8}">
            <xm:f>Paramètres!$B$56</xm:f>
            <x14:dxf>
              <fill>
                <patternFill>
                  <bgColor rgb="FF00B050"/>
                </patternFill>
              </fill>
            </x14:dxf>
          </x14:cfRule>
          <xm:sqref>H305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10C10-50F0-45D0-BA57-CF12150E4EF1}">
  <sheetPr>
    <tabColor theme="3" tint="0.59999389629810485"/>
  </sheetPr>
  <dimension ref="A1:W310"/>
  <sheetViews>
    <sheetView workbookViewId="0">
      <pane xSplit="2" ySplit="5" topLeftCell="C6" activePane="bottomRight" state="frozen"/>
      <selection pane="topRight" activeCell="C1" sqref="C1"/>
      <selection pane="bottomLeft" activeCell="A6" sqref="A6"/>
      <selection pane="bottomRight"/>
    </sheetView>
  </sheetViews>
  <sheetFormatPr baseColWidth="10" defaultColWidth="11" defaultRowHeight="12.75" x14ac:dyDescent="0.2"/>
  <cols>
    <col min="1" max="1" width="11" style="178"/>
    <col min="2" max="2" width="26.375" style="178" customWidth="1"/>
    <col min="3" max="3" width="12.25" style="178" customWidth="1"/>
    <col min="4" max="5" width="12.25" style="177" customWidth="1"/>
    <col min="6" max="6" width="12.25" style="178" customWidth="1"/>
    <col min="7" max="8" width="12.25" style="177" customWidth="1"/>
    <col min="9" max="9" width="12.25" style="178" customWidth="1"/>
    <col min="10" max="11" width="12.25" style="177" customWidth="1"/>
    <col min="12" max="12" width="15" style="177" bestFit="1" customWidth="1"/>
    <col min="13" max="13" width="11.125" style="177" bestFit="1" customWidth="1"/>
    <col min="14" max="14" width="15" style="177" bestFit="1" customWidth="1"/>
    <col min="15" max="15" width="11.125" style="177" bestFit="1" customWidth="1"/>
    <col min="16" max="16" width="14" style="177" bestFit="1" customWidth="1"/>
    <col min="17" max="17" width="11.125" style="177" bestFit="1" customWidth="1"/>
    <col min="18" max="18" width="14" style="177" bestFit="1" customWidth="1"/>
    <col min="19" max="19" width="11.125" style="177" bestFit="1" customWidth="1"/>
    <col min="20" max="20" width="13" style="177" bestFit="1" customWidth="1"/>
    <col min="21" max="21" width="11.125" style="177" bestFit="1" customWidth="1"/>
    <col min="22" max="22" width="13" style="177" bestFit="1" customWidth="1"/>
    <col min="23" max="23" width="11.125" style="177" bestFit="1" customWidth="1"/>
    <col min="24" max="16384" width="11" style="178"/>
  </cols>
  <sheetData>
    <row r="1" spans="1:11" s="177" customFormat="1" ht="27" customHeight="1" x14ac:dyDescent="0.2">
      <c r="A1" s="204" t="s">
        <v>401</v>
      </c>
      <c r="B1" s="205"/>
      <c r="C1" s="287" t="s">
        <v>402</v>
      </c>
      <c r="D1" s="571" t="s">
        <v>394</v>
      </c>
      <c r="E1" s="570"/>
      <c r="F1" s="33"/>
      <c r="G1" s="33"/>
      <c r="H1" s="33"/>
      <c r="I1" s="33"/>
      <c r="J1" s="33"/>
      <c r="K1" s="33"/>
    </row>
    <row r="2" spans="1:11" s="177" customFormat="1" ht="21" x14ac:dyDescent="0.2">
      <c r="A2" s="254"/>
      <c r="B2" s="32"/>
      <c r="C2" s="174"/>
      <c r="D2" s="174"/>
      <c r="E2" s="174"/>
      <c r="F2" s="33"/>
      <c r="G2" s="33"/>
      <c r="H2" s="33"/>
      <c r="I2" s="33"/>
      <c r="J2" s="33"/>
      <c r="K2" s="33"/>
    </row>
    <row r="3" spans="1:11" s="177" customFormat="1" ht="15" x14ac:dyDescent="0.2">
      <c r="A3"/>
      <c r="B3" s="33"/>
      <c r="C3" s="33"/>
      <c r="D3" s="33"/>
      <c r="E3" s="33"/>
      <c r="F3" s="33"/>
      <c r="G3" s="33"/>
      <c r="H3" s="33"/>
      <c r="I3" s="33"/>
      <c r="J3" s="33"/>
      <c r="K3" s="33"/>
    </row>
    <row r="4" spans="1:11" s="177" customFormat="1" ht="31.5" customHeight="1" x14ac:dyDescent="0.2">
      <c r="A4" s="727" t="s">
        <v>44</v>
      </c>
      <c r="B4" s="789" t="s">
        <v>388</v>
      </c>
      <c r="C4" s="791" t="s">
        <v>391</v>
      </c>
      <c r="D4" s="792"/>
      <c r="E4" s="793"/>
      <c r="F4" s="794" t="s">
        <v>389</v>
      </c>
      <c r="G4" s="794"/>
      <c r="H4" s="795"/>
      <c r="I4" s="787" t="s">
        <v>406</v>
      </c>
      <c r="J4" s="787"/>
      <c r="K4" s="788"/>
    </row>
    <row r="5" spans="1:11" s="177" customFormat="1" ht="30" x14ac:dyDescent="0.2">
      <c r="A5" s="728"/>
      <c r="B5" s="790"/>
      <c r="C5" s="219" t="s">
        <v>552</v>
      </c>
      <c r="D5" s="219" t="s">
        <v>553</v>
      </c>
      <c r="E5" s="219" t="s">
        <v>554</v>
      </c>
      <c r="F5" s="340" t="s">
        <v>555</v>
      </c>
      <c r="G5" s="340" t="s">
        <v>556</v>
      </c>
      <c r="H5" s="340" t="s">
        <v>557</v>
      </c>
      <c r="I5" s="341" t="s">
        <v>558</v>
      </c>
      <c r="J5" s="341" t="s">
        <v>559</v>
      </c>
      <c r="K5" s="341" t="s">
        <v>560</v>
      </c>
    </row>
    <row r="6" spans="1:11" s="177" customFormat="1" ht="15" x14ac:dyDescent="0.25">
      <c r="A6" s="83">
        <f>Données!A6</f>
        <v>5401</v>
      </c>
      <c r="B6" s="282" t="str">
        <f>Données!B6</f>
        <v>Aigle</v>
      </c>
      <c r="C6" s="644">
        <v>5029414.4008794567</v>
      </c>
      <c r="D6" s="645">
        <f>+Synthèse!G5</f>
        <v>5113353.6634173021</v>
      </c>
      <c r="E6" s="646">
        <f>+D6-C6</f>
        <v>83939.26253784541</v>
      </c>
      <c r="F6" s="647">
        <v>-8141498.709252432</v>
      </c>
      <c r="G6" s="648">
        <f>+Synthèse!F5</f>
        <v>-9841523.1521304976</v>
      </c>
      <c r="H6" s="648">
        <f>+G6-F6</f>
        <v>-1700024.4428780656</v>
      </c>
      <c r="I6" s="644">
        <v>365570.97015868151</v>
      </c>
      <c r="J6" s="649">
        <f>+Synthèse!H5</f>
        <v>350151.08029211254</v>
      </c>
      <c r="K6" s="649">
        <f>+J6-I6</f>
        <v>-15419.889866568963</v>
      </c>
    </row>
    <row r="7" spans="1:11" s="177" customFormat="1" ht="15" x14ac:dyDescent="0.25">
      <c r="A7" s="83">
        <f>Données!A7</f>
        <v>5402</v>
      </c>
      <c r="B7" s="282" t="str">
        <f>Données!B7</f>
        <v>Bex</v>
      </c>
      <c r="C7" s="644">
        <v>3319494.1033233204</v>
      </c>
      <c r="D7" s="645">
        <f>+Synthèse!G6</f>
        <v>3370659.8159538573</v>
      </c>
      <c r="E7" s="646">
        <f t="shared" ref="E7:E70" si="0">+D7-C7</f>
        <v>51165.712630536873</v>
      </c>
      <c r="F7" s="647">
        <v>-7010836.479998691</v>
      </c>
      <c r="G7" s="648">
        <f>+Synthèse!F6</f>
        <v>-8290832.9328244813</v>
      </c>
      <c r="H7" s="648">
        <f t="shared" ref="H7:H70" si="1">+G7-F7</f>
        <v>-1279996.4528257903</v>
      </c>
      <c r="I7" s="644">
        <v>238180.47106177377</v>
      </c>
      <c r="J7" s="649">
        <f>+Synthèse!H6</f>
        <v>224284.77106591189</v>
      </c>
      <c r="K7" s="649">
        <f t="shared" ref="K7:K70" si="2">+J7-I7</f>
        <v>-13895.699995861884</v>
      </c>
    </row>
    <row r="8" spans="1:11" s="177" customFormat="1" ht="15" x14ac:dyDescent="0.25">
      <c r="A8" s="83">
        <f>Données!A8</f>
        <v>5403</v>
      </c>
      <c r="B8" s="282" t="str">
        <f>Données!B8</f>
        <v>Chessel</v>
      </c>
      <c r="C8" s="644">
        <v>185351.4447262318</v>
      </c>
      <c r="D8" s="645">
        <f>+Synthèse!G7</f>
        <v>222543.27578389383</v>
      </c>
      <c r="E8" s="646">
        <f t="shared" si="0"/>
        <v>37191.831057662028</v>
      </c>
      <c r="F8" s="647">
        <v>-25553.069512359041</v>
      </c>
      <c r="G8" s="648">
        <f>+Synthèse!F7</f>
        <v>-90211.271484060358</v>
      </c>
      <c r="H8" s="648">
        <f t="shared" si="1"/>
        <v>-64658.201971701317</v>
      </c>
      <c r="I8" s="644">
        <v>40860.244791386496</v>
      </c>
      <c r="J8" s="649">
        <f>+Synthèse!H7</f>
        <v>35111.272655244029</v>
      </c>
      <c r="K8" s="649">
        <f t="shared" si="2"/>
        <v>-5748.9721361424672</v>
      </c>
    </row>
    <row r="9" spans="1:11" s="177" customFormat="1" ht="15" x14ac:dyDescent="0.25">
      <c r="A9" s="83">
        <f>Données!A9</f>
        <v>5404</v>
      </c>
      <c r="B9" s="282" t="str">
        <f>Données!B9</f>
        <v>Corbeyrier</v>
      </c>
      <c r="C9" s="644">
        <v>250341.84717535326</v>
      </c>
      <c r="D9" s="645">
        <f>+Synthèse!G8</f>
        <v>166776.77075223377</v>
      </c>
      <c r="E9" s="646">
        <f t="shared" si="0"/>
        <v>-83565.076423119492</v>
      </c>
      <c r="F9" s="647">
        <v>-226290.87213210072</v>
      </c>
      <c r="G9" s="648">
        <f>+Synthèse!F8</f>
        <v>-259784.4281324968</v>
      </c>
      <c r="H9" s="648">
        <f t="shared" si="1"/>
        <v>-33493.556000396085</v>
      </c>
      <c r="I9" s="644">
        <v>35327.142378279896</v>
      </c>
      <c r="J9" s="649">
        <f>+Synthèse!H8</f>
        <v>35186.668376564463</v>
      </c>
      <c r="K9" s="649">
        <f t="shared" si="2"/>
        <v>-140.47400171543268</v>
      </c>
    </row>
    <row r="10" spans="1:11" s="177" customFormat="1" ht="15" x14ac:dyDescent="0.25">
      <c r="A10" s="83">
        <f>Données!A10</f>
        <v>5405</v>
      </c>
      <c r="B10" s="282" t="str">
        <f>Données!B10</f>
        <v>Gryon</v>
      </c>
      <c r="C10" s="644">
        <v>1608362.0248110362</v>
      </c>
      <c r="D10" s="645">
        <f>+Synthèse!G9</f>
        <v>1468236.6164382384</v>
      </c>
      <c r="E10" s="646">
        <f t="shared" si="0"/>
        <v>-140125.40837279777</v>
      </c>
      <c r="F10" s="647">
        <v>563592.41229865362</v>
      </c>
      <c r="G10" s="648">
        <f>+Synthèse!F9</f>
        <v>323499.82467171457</v>
      </c>
      <c r="H10" s="648">
        <f t="shared" si="1"/>
        <v>-240092.58762693906</v>
      </c>
      <c r="I10" s="644">
        <v>213431.77546053586</v>
      </c>
      <c r="J10" s="649">
        <f>+Synthèse!H9</f>
        <v>225976.68204388872</v>
      </c>
      <c r="K10" s="649">
        <f t="shared" si="2"/>
        <v>12544.906583352858</v>
      </c>
    </row>
    <row r="11" spans="1:11" s="177" customFormat="1" ht="15" x14ac:dyDescent="0.25">
      <c r="A11" s="83">
        <f>Données!A11</f>
        <v>5406</v>
      </c>
      <c r="B11" s="282" t="str">
        <f>Données!B11</f>
        <v>Lavey-Morcles</v>
      </c>
      <c r="C11" s="644">
        <v>443699.75007451663</v>
      </c>
      <c r="D11" s="645">
        <f>+Synthèse!G10</f>
        <v>358052.00804791151</v>
      </c>
      <c r="E11" s="646">
        <f t="shared" si="0"/>
        <v>-85647.742026605119</v>
      </c>
      <c r="F11" s="647">
        <v>-370452.36787078466</v>
      </c>
      <c r="G11" s="648">
        <f>+Synthèse!F10</f>
        <v>-472385.81530307292</v>
      </c>
      <c r="H11" s="648">
        <f t="shared" si="1"/>
        <v>-101933.44743228826</v>
      </c>
      <c r="I11" s="644">
        <v>66975.082397662001</v>
      </c>
      <c r="J11" s="649">
        <f>+Synthèse!H10</f>
        <v>69582.577892269081</v>
      </c>
      <c r="K11" s="649">
        <f t="shared" si="2"/>
        <v>2607.4954946070793</v>
      </c>
    </row>
    <row r="12" spans="1:11" s="177" customFormat="1" ht="15" x14ac:dyDescent="0.25">
      <c r="A12" s="83">
        <f>Données!A12</f>
        <v>5407</v>
      </c>
      <c r="B12" s="282" t="str">
        <f>Données!B12</f>
        <v>Leysin</v>
      </c>
      <c r="C12" s="644">
        <v>1598517.1765195495</v>
      </c>
      <c r="D12" s="645">
        <f>+Synthèse!G11</f>
        <v>1538914.9655518611</v>
      </c>
      <c r="E12" s="646">
        <f t="shared" si="0"/>
        <v>-59602.210967688356</v>
      </c>
      <c r="F12" s="647">
        <v>-3249317.8692093464</v>
      </c>
      <c r="G12" s="648">
        <f>+Synthèse!F11</f>
        <v>-2982379.9789328608</v>
      </c>
      <c r="H12" s="648">
        <f t="shared" si="1"/>
        <v>266937.89027648559</v>
      </c>
      <c r="I12" s="644">
        <v>267442.57821125636</v>
      </c>
      <c r="J12" s="649">
        <f>+Synthèse!H11</f>
        <v>270021.86477008928</v>
      </c>
      <c r="K12" s="649">
        <f t="shared" si="2"/>
        <v>2579.286558832915</v>
      </c>
    </row>
    <row r="13" spans="1:11" s="177" customFormat="1" ht="15" x14ac:dyDescent="0.25">
      <c r="A13" s="83">
        <f>Données!A13</f>
        <v>5408</v>
      </c>
      <c r="B13" s="282" t="str">
        <f>Données!B13</f>
        <v>Noville</v>
      </c>
      <c r="C13" s="644">
        <v>652537.51860105549</v>
      </c>
      <c r="D13" s="645">
        <f>+Synthèse!G12</f>
        <v>625325.83475320227</v>
      </c>
      <c r="E13" s="646">
        <f t="shared" si="0"/>
        <v>-27211.683847853215</v>
      </c>
      <c r="F13" s="647">
        <v>186562.9347056679</v>
      </c>
      <c r="G13" s="648">
        <f>+Synthèse!F12</f>
        <v>148857.24671518919</v>
      </c>
      <c r="H13" s="648">
        <f t="shared" si="1"/>
        <v>-37705.687990478706</v>
      </c>
      <c r="I13" s="644">
        <v>126204.63490803514</v>
      </c>
      <c r="J13" s="649">
        <f>+Synthèse!H12</f>
        <v>119941.14366381058</v>
      </c>
      <c r="K13" s="649">
        <f t="shared" si="2"/>
        <v>-6263.491244224555</v>
      </c>
    </row>
    <row r="14" spans="1:11" s="177" customFormat="1" ht="15" x14ac:dyDescent="0.25">
      <c r="A14" s="83">
        <f>Données!A14</f>
        <v>5409</v>
      </c>
      <c r="B14" s="282" t="str">
        <f>Données!B14</f>
        <v>Ollon</v>
      </c>
      <c r="C14" s="644">
        <v>7848293.2552500153</v>
      </c>
      <c r="D14" s="645">
        <f>+Synthèse!G13</f>
        <v>7472537.7837881735</v>
      </c>
      <c r="E14" s="646">
        <f t="shared" si="0"/>
        <v>-375755.47146184184</v>
      </c>
      <c r="F14" s="647">
        <v>674273.8088087514</v>
      </c>
      <c r="G14" s="648">
        <f>+Synthèse!F13</f>
        <v>919569.43920444325</v>
      </c>
      <c r="H14" s="648">
        <f t="shared" si="1"/>
        <v>245295.63039569184</v>
      </c>
      <c r="I14" s="644">
        <v>503690.68297156185</v>
      </c>
      <c r="J14" s="649">
        <f>+Synthèse!H13</f>
        <v>482850.80046860443</v>
      </c>
      <c r="K14" s="649">
        <f t="shared" si="2"/>
        <v>-20839.882502957422</v>
      </c>
    </row>
    <row r="15" spans="1:11" s="177" customFormat="1" ht="15" x14ac:dyDescent="0.25">
      <c r="A15" s="83">
        <f>Données!A15</f>
        <v>5410</v>
      </c>
      <c r="B15" s="282" t="str">
        <f>Données!B15</f>
        <v>Ormont-Dessous</v>
      </c>
      <c r="C15" s="644">
        <v>738787.22211324365</v>
      </c>
      <c r="D15" s="645">
        <f>+Synthèse!G14</f>
        <v>675200.00768362451</v>
      </c>
      <c r="E15" s="646">
        <f t="shared" si="0"/>
        <v>-63587.21442961914</v>
      </c>
      <c r="F15" s="647">
        <v>-770332.49287501362</v>
      </c>
      <c r="G15" s="648">
        <f>+Synthèse!F14</f>
        <v>-1741505.8665255224</v>
      </c>
      <c r="H15" s="648">
        <f t="shared" si="1"/>
        <v>-971173.37365050882</v>
      </c>
      <c r="I15" s="644">
        <v>113851.37577135977</v>
      </c>
      <c r="J15" s="649">
        <f>+Synthèse!H14</f>
        <v>112230.9845328013</v>
      </c>
      <c r="K15" s="649">
        <f t="shared" si="2"/>
        <v>-1620.3912385584699</v>
      </c>
    </row>
    <row r="16" spans="1:11" s="177" customFormat="1" ht="15" x14ac:dyDescent="0.25">
      <c r="A16" s="83">
        <f>Données!A16</f>
        <v>5411</v>
      </c>
      <c r="B16" s="282" t="str">
        <f>Données!B16</f>
        <v>Ormont-Dessus</v>
      </c>
      <c r="C16" s="644">
        <v>1672743.9950081524</v>
      </c>
      <c r="D16" s="645">
        <f>+Synthèse!G15</f>
        <v>1582527.3505009059</v>
      </c>
      <c r="E16" s="646">
        <f t="shared" si="0"/>
        <v>-90216.644507246558</v>
      </c>
      <c r="F16" s="647">
        <v>519489.99517774885</v>
      </c>
      <c r="G16" s="648">
        <f>+Synthèse!F15</f>
        <v>800457.8033984116</v>
      </c>
      <c r="H16" s="648">
        <f t="shared" si="1"/>
        <v>280967.80822066276</v>
      </c>
      <c r="I16" s="644">
        <v>220174.37023713376</v>
      </c>
      <c r="J16" s="649">
        <f>+Synthèse!H15</f>
        <v>225176.25098698301</v>
      </c>
      <c r="K16" s="649">
        <f t="shared" si="2"/>
        <v>5001.8807498492533</v>
      </c>
    </row>
    <row r="17" spans="1:11" s="177" customFormat="1" ht="15" x14ac:dyDescent="0.25">
      <c r="A17" s="83">
        <f>Données!A17</f>
        <v>5412</v>
      </c>
      <c r="B17" s="282" t="str">
        <f>Données!B17</f>
        <v>Rennaz</v>
      </c>
      <c r="C17" s="644">
        <v>829576.37271996669</v>
      </c>
      <c r="D17" s="645">
        <f>+Synthèse!G16</f>
        <v>924011.51702395035</v>
      </c>
      <c r="E17" s="646">
        <f t="shared" si="0"/>
        <v>94435.144303983659</v>
      </c>
      <c r="F17" s="647">
        <v>217332.93856240436</v>
      </c>
      <c r="G17" s="648">
        <f>+Synthèse!F16</f>
        <v>94613.20413214853</v>
      </c>
      <c r="H17" s="648">
        <f t="shared" si="1"/>
        <v>-122719.73443025583</v>
      </c>
      <c r="I17" s="644">
        <v>94679.413592191937</v>
      </c>
      <c r="J17" s="649">
        <f>+Synthèse!H16</f>
        <v>87338.286514753825</v>
      </c>
      <c r="K17" s="649">
        <f t="shared" si="2"/>
        <v>-7341.1270774381119</v>
      </c>
    </row>
    <row r="18" spans="1:11" s="177" customFormat="1" ht="15" x14ac:dyDescent="0.25">
      <c r="A18" s="83">
        <f>Données!A18</f>
        <v>5413</v>
      </c>
      <c r="B18" s="282" t="str">
        <f>Données!B18</f>
        <v>Roche</v>
      </c>
      <c r="C18" s="644">
        <v>937333.86781989038</v>
      </c>
      <c r="D18" s="645">
        <f>+Synthèse!G17</f>
        <v>922473.69513234473</v>
      </c>
      <c r="E18" s="646">
        <f t="shared" si="0"/>
        <v>-14860.172687545652</v>
      </c>
      <c r="F18" s="647">
        <v>-666548.53124196909</v>
      </c>
      <c r="G18" s="648">
        <f>+Synthèse!F17</f>
        <v>-884791.75327921193</v>
      </c>
      <c r="H18" s="648">
        <f t="shared" si="1"/>
        <v>-218243.22203724284</v>
      </c>
      <c r="I18" s="644">
        <v>128239.64858428112</v>
      </c>
      <c r="J18" s="649">
        <f>+Synthèse!H17</f>
        <v>119708.00154901175</v>
      </c>
      <c r="K18" s="649">
        <f t="shared" si="2"/>
        <v>-8531.6470352693723</v>
      </c>
    </row>
    <row r="19" spans="1:11" s="177" customFormat="1" ht="15" x14ac:dyDescent="0.25">
      <c r="A19" s="83">
        <f>Données!A19</f>
        <v>5414</v>
      </c>
      <c r="B19" s="282" t="str">
        <f>Données!B19</f>
        <v>Villeneuve</v>
      </c>
      <c r="C19" s="644">
        <v>3132528.2689544791</v>
      </c>
      <c r="D19" s="645">
        <f>+Synthèse!G18</f>
        <v>2984957.4583944269</v>
      </c>
      <c r="E19" s="646">
        <f t="shared" si="0"/>
        <v>-147570.81056005228</v>
      </c>
      <c r="F19" s="647">
        <v>-3374218.6836736198</v>
      </c>
      <c r="G19" s="648">
        <f>+Synthèse!F18</f>
        <v>-3611248.4146183319</v>
      </c>
      <c r="H19" s="648">
        <f t="shared" si="1"/>
        <v>-237029.73094471218</v>
      </c>
      <c r="I19" s="644">
        <v>493283.85727073997</v>
      </c>
      <c r="J19" s="649">
        <f>+Synthèse!H18</f>
        <v>502129.5897754379</v>
      </c>
      <c r="K19" s="649">
        <f t="shared" si="2"/>
        <v>8845.732504697924</v>
      </c>
    </row>
    <row r="20" spans="1:11" s="177" customFormat="1" ht="15" x14ac:dyDescent="0.25">
      <c r="A20" s="83">
        <f>Données!A20</f>
        <v>5415</v>
      </c>
      <c r="B20" s="282" t="str">
        <f>Données!B20</f>
        <v>Yvorne</v>
      </c>
      <c r="C20" s="644">
        <v>615593.34917829465</v>
      </c>
      <c r="D20" s="645">
        <f>+Synthèse!G19</f>
        <v>487684.05906969233</v>
      </c>
      <c r="E20" s="646">
        <f t="shared" si="0"/>
        <v>-127909.29010860232</v>
      </c>
      <c r="F20" s="647">
        <v>-241202.60527164536</v>
      </c>
      <c r="G20" s="648">
        <f>+Synthèse!F19</f>
        <v>-116583.97659278207</v>
      </c>
      <c r="H20" s="648">
        <f t="shared" si="1"/>
        <v>124618.62867886329</v>
      </c>
      <c r="I20" s="644">
        <v>102403.29961117625</v>
      </c>
      <c r="J20" s="649">
        <f>+Synthèse!H19</f>
        <v>106937.36568312751</v>
      </c>
      <c r="K20" s="649">
        <f t="shared" si="2"/>
        <v>4534.0660719512671</v>
      </c>
    </row>
    <row r="21" spans="1:11" s="177" customFormat="1" ht="15" x14ac:dyDescent="0.25">
      <c r="A21" s="83">
        <f>Données!A21</f>
        <v>5422</v>
      </c>
      <c r="B21" s="282" t="str">
        <f>Données!B21</f>
        <v>Aubonne</v>
      </c>
      <c r="C21" s="644">
        <v>7589587.1471197326</v>
      </c>
      <c r="D21" s="645">
        <f>+Synthèse!G20</f>
        <v>8646450.57501591</v>
      </c>
      <c r="E21" s="646">
        <f t="shared" si="0"/>
        <v>1056863.4278961774</v>
      </c>
      <c r="F21" s="647">
        <v>4551430.4709471874</v>
      </c>
      <c r="G21" s="648">
        <f>+Synthèse!F20</f>
        <v>5879718.5439809132</v>
      </c>
      <c r="H21" s="648">
        <f t="shared" si="1"/>
        <v>1328288.0730337258</v>
      </c>
      <c r="I21" s="644">
        <v>703604.58691244549</v>
      </c>
      <c r="J21" s="649">
        <f>+Synthèse!H20</f>
        <v>768939.9675191103</v>
      </c>
      <c r="K21" s="649">
        <f t="shared" si="2"/>
        <v>65335.38060666481</v>
      </c>
    </row>
    <row r="22" spans="1:11" s="177" customFormat="1" ht="15" x14ac:dyDescent="0.25">
      <c r="A22" s="83">
        <f>Données!A22</f>
        <v>5423</v>
      </c>
      <c r="B22" s="282" t="str">
        <f>Données!B22</f>
        <v>Ballens</v>
      </c>
      <c r="C22" s="644">
        <v>330369.78447731532</v>
      </c>
      <c r="D22" s="645">
        <f>+Synthèse!G21</f>
        <v>216858.3662297522</v>
      </c>
      <c r="E22" s="646">
        <f t="shared" si="0"/>
        <v>-113511.41824756312</v>
      </c>
      <c r="F22" s="647">
        <v>-43358.978208730055</v>
      </c>
      <c r="G22" s="648">
        <f>+Synthèse!F21</f>
        <v>-188912.97362045391</v>
      </c>
      <c r="H22" s="648">
        <f t="shared" si="1"/>
        <v>-145553.99541172385</v>
      </c>
      <c r="I22" s="644">
        <v>53858.075113565661</v>
      </c>
      <c r="J22" s="649">
        <f>+Synthèse!H21</f>
        <v>49138.397868364198</v>
      </c>
      <c r="K22" s="649">
        <f t="shared" si="2"/>
        <v>-4719.6772452014629</v>
      </c>
    </row>
    <row r="23" spans="1:11" s="177" customFormat="1" ht="15" x14ac:dyDescent="0.25">
      <c r="A23" s="83">
        <f>Données!A23</f>
        <v>5424</v>
      </c>
      <c r="B23" s="282" t="str">
        <f>Données!B23</f>
        <v>Berolle</v>
      </c>
      <c r="C23" s="644">
        <v>166820.92002181784</v>
      </c>
      <c r="D23" s="645">
        <f>+Synthèse!G22</f>
        <v>139115.55412802001</v>
      </c>
      <c r="E23" s="646">
        <f t="shared" si="0"/>
        <v>-27705.365893797833</v>
      </c>
      <c r="F23" s="647">
        <v>-19092.263592438394</v>
      </c>
      <c r="G23" s="648">
        <f>+Synthèse!F22</f>
        <v>-63941.000369024085</v>
      </c>
      <c r="H23" s="648">
        <f t="shared" si="1"/>
        <v>-44848.736776585691</v>
      </c>
      <c r="I23" s="644">
        <v>31824.241008094694</v>
      </c>
      <c r="J23" s="649">
        <f>+Synthèse!H22</f>
        <v>28930.533905757453</v>
      </c>
      <c r="K23" s="649">
        <f t="shared" si="2"/>
        <v>-2893.7071023372409</v>
      </c>
    </row>
    <row r="24" spans="1:11" s="177" customFormat="1" ht="15" x14ac:dyDescent="0.25">
      <c r="A24" s="83">
        <f>Données!A24</f>
        <v>5425</v>
      </c>
      <c r="B24" s="282" t="str">
        <f>Données!B24</f>
        <v>Bière</v>
      </c>
      <c r="C24" s="644">
        <v>646330.69861198426</v>
      </c>
      <c r="D24" s="645">
        <f>+Synthèse!G23</f>
        <v>650957.50303727202</v>
      </c>
      <c r="E24" s="646">
        <f t="shared" si="0"/>
        <v>4626.8044252877589</v>
      </c>
      <c r="F24" s="647">
        <v>-819821.78268610465</v>
      </c>
      <c r="G24" s="648">
        <f>+Synthèse!F23</f>
        <v>-988020.76438370731</v>
      </c>
      <c r="H24" s="648">
        <f t="shared" si="1"/>
        <v>-168198.98169760266</v>
      </c>
      <c r="I24" s="644">
        <v>129971.87360578598</v>
      </c>
      <c r="J24" s="649">
        <f>+Synthèse!H23</f>
        <v>132586.87662179864</v>
      </c>
      <c r="K24" s="649">
        <f t="shared" si="2"/>
        <v>2615.0030160126626</v>
      </c>
    </row>
    <row r="25" spans="1:11" s="177" customFormat="1" ht="15" x14ac:dyDescent="0.25">
      <c r="A25" s="83">
        <f>Données!A25</f>
        <v>5426</v>
      </c>
      <c r="B25" s="282" t="str">
        <f>Données!B25</f>
        <v>Bougy-Villars</v>
      </c>
      <c r="C25" s="644">
        <v>2083232.7175604939</v>
      </c>
      <c r="D25" s="645">
        <f>+Synthèse!G24</f>
        <v>2436114.2179507324</v>
      </c>
      <c r="E25" s="646">
        <f t="shared" si="0"/>
        <v>352881.50039023859</v>
      </c>
      <c r="F25" s="647">
        <v>1147969.7918917374</v>
      </c>
      <c r="G25" s="648">
        <f>+Synthèse!F24</f>
        <v>1280034.0405758081</v>
      </c>
      <c r="H25" s="648">
        <f t="shared" si="1"/>
        <v>132064.24868407077</v>
      </c>
      <c r="I25" s="644">
        <v>121487.84948735092</v>
      </c>
      <c r="J25" s="649">
        <f>+Synthèse!H24</f>
        <v>124265.49798331139</v>
      </c>
      <c r="K25" s="649">
        <f t="shared" si="2"/>
        <v>2777.6484959604713</v>
      </c>
    </row>
    <row r="26" spans="1:11" s="177" customFormat="1" ht="15" x14ac:dyDescent="0.25">
      <c r="A26" s="83">
        <f>Données!A26</f>
        <v>5427</v>
      </c>
      <c r="B26" s="282" t="str">
        <f>Données!B26</f>
        <v>Féchy</v>
      </c>
      <c r="C26" s="644">
        <v>2314221.4338383442</v>
      </c>
      <c r="D26" s="645">
        <f>+Synthèse!G25</f>
        <v>2791542.9572531236</v>
      </c>
      <c r="E26" s="646">
        <f t="shared" si="0"/>
        <v>477321.52341477945</v>
      </c>
      <c r="F26" s="647">
        <v>1587628.4228670707</v>
      </c>
      <c r="G26" s="648">
        <f>+Synthèse!F25</f>
        <v>1899015.6908935718</v>
      </c>
      <c r="H26" s="648">
        <f t="shared" si="1"/>
        <v>311387.26802650117</v>
      </c>
      <c r="I26" s="644">
        <v>186080.57834208588</v>
      </c>
      <c r="J26" s="649">
        <f>+Synthèse!H25</f>
        <v>200399.98012055981</v>
      </c>
      <c r="K26" s="649">
        <f t="shared" si="2"/>
        <v>14319.401778473926</v>
      </c>
    </row>
    <row r="27" spans="1:11" s="177" customFormat="1" ht="15" x14ac:dyDescent="0.25">
      <c r="A27" s="83">
        <f>Données!A27</f>
        <v>5428</v>
      </c>
      <c r="B27" s="282" t="str">
        <f>Données!B27</f>
        <v>Gimel</v>
      </c>
      <c r="C27" s="644">
        <v>1339634.6607657748</v>
      </c>
      <c r="D27" s="645">
        <f>+Synthèse!G26</f>
        <v>1070394.4271840854</v>
      </c>
      <c r="E27" s="646">
        <f t="shared" si="0"/>
        <v>-269240.23358168942</v>
      </c>
      <c r="F27" s="647">
        <v>-766445.32432005415</v>
      </c>
      <c r="G27" s="648">
        <f>+Synthèse!F26</f>
        <v>-846139.77941154852</v>
      </c>
      <c r="H27" s="648">
        <f t="shared" si="1"/>
        <v>-79694.455091494368</v>
      </c>
      <c r="I27" s="644">
        <v>219153.73887092114</v>
      </c>
      <c r="J27" s="649">
        <f>+Synthèse!H26</f>
        <v>221735.76567670231</v>
      </c>
      <c r="K27" s="649">
        <f t="shared" si="2"/>
        <v>2582.0268057811772</v>
      </c>
    </row>
    <row r="28" spans="1:11" s="177" customFormat="1" ht="15" x14ac:dyDescent="0.25">
      <c r="A28" s="83">
        <f>Données!A28</f>
        <v>5429</v>
      </c>
      <c r="B28" s="282" t="str">
        <f>Données!B28</f>
        <v>Longirod</v>
      </c>
      <c r="C28" s="644">
        <v>274955.15339939471</v>
      </c>
      <c r="D28" s="645">
        <f>+Synthèse!G27</f>
        <v>231346.3071908878</v>
      </c>
      <c r="E28" s="646">
        <f t="shared" si="0"/>
        <v>-43608.846208506904</v>
      </c>
      <c r="F28" s="647">
        <v>-12005.316447670572</v>
      </c>
      <c r="G28" s="648">
        <f>+Synthèse!F27</f>
        <v>-66854.548117862199</v>
      </c>
      <c r="H28" s="648">
        <f t="shared" si="1"/>
        <v>-54849.231670191628</v>
      </c>
      <c r="I28" s="644">
        <v>52651.191134225002</v>
      </c>
      <c r="J28" s="649">
        <f>+Synthèse!H27</f>
        <v>52961.795361098586</v>
      </c>
      <c r="K28" s="649">
        <f t="shared" si="2"/>
        <v>310.60422687358368</v>
      </c>
    </row>
    <row r="29" spans="1:11" s="177" customFormat="1" ht="15" x14ac:dyDescent="0.25">
      <c r="A29" s="83">
        <f>Données!A29</f>
        <v>5430</v>
      </c>
      <c r="B29" s="282" t="str">
        <f>Données!B29</f>
        <v>Marchissy</v>
      </c>
      <c r="C29" s="644">
        <v>274620.68196297099</v>
      </c>
      <c r="D29" s="645">
        <f>+Synthèse!G28</f>
        <v>198955.662781925</v>
      </c>
      <c r="E29" s="646">
        <f t="shared" si="0"/>
        <v>-75665.019181045995</v>
      </c>
      <c r="F29" s="647">
        <v>48378.723266906163</v>
      </c>
      <c r="G29" s="648">
        <f>+Synthèse!F28</f>
        <v>-46347.633196118055</v>
      </c>
      <c r="H29" s="648">
        <f t="shared" si="1"/>
        <v>-94726.356463024218</v>
      </c>
      <c r="I29" s="644">
        <v>53071.739769191816</v>
      </c>
      <c r="J29" s="649">
        <f>+Synthèse!H28</f>
        <v>48169.131837846195</v>
      </c>
      <c r="K29" s="649">
        <f t="shared" si="2"/>
        <v>-4902.6079313456212</v>
      </c>
    </row>
    <row r="30" spans="1:11" s="177" customFormat="1" ht="15" x14ac:dyDescent="0.25">
      <c r="A30" s="83">
        <f>Données!A30</f>
        <v>5431</v>
      </c>
      <c r="B30" s="282" t="str">
        <f>Données!B30</f>
        <v>Mollens</v>
      </c>
      <c r="C30" s="644">
        <v>147528.40588637156</v>
      </c>
      <c r="D30" s="645">
        <f>+Synthèse!G29</f>
        <v>176127.13475832093</v>
      </c>
      <c r="E30" s="646">
        <f t="shared" si="0"/>
        <v>28598.728871949366</v>
      </c>
      <c r="F30" s="647">
        <v>-45698.670617762516</v>
      </c>
      <c r="G30" s="648">
        <f>+Synthèse!F29</f>
        <v>-38929.873606682086</v>
      </c>
      <c r="H30" s="648">
        <f t="shared" si="1"/>
        <v>6768.7970110804308</v>
      </c>
      <c r="I30" s="644">
        <v>29213.602877581478</v>
      </c>
      <c r="J30" s="649">
        <f>+Synthèse!H29</f>
        <v>31991.225567315996</v>
      </c>
      <c r="K30" s="649">
        <f t="shared" si="2"/>
        <v>2777.6226897345186</v>
      </c>
    </row>
    <row r="31" spans="1:11" s="177" customFormat="1" ht="15" x14ac:dyDescent="0.25">
      <c r="A31" s="83">
        <f>Données!A31</f>
        <v>5434</v>
      </c>
      <c r="B31" s="282" t="str">
        <f>Données!B31</f>
        <v>Saint-George</v>
      </c>
      <c r="C31" s="644">
        <v>850973.43529223977</v>
      </c>
      <c r="D31" s="645">
        <f>+Synthèse!G30</f>
        <v>641165.35871574155</v>
      </c>
      <c r="E31" s="646">
        <f t="shared" si="0"/>
        <v>-209808.07657649822</v>
      </c>
      <c r="F31" s="647">
        <v>291067.7406283298</v>
      </c>
      <c r="G31" s="648">
        <f>+Synthèse!F30</f>
        <v>715302.08837978903</v>
      </c>
      <c r="H31" s="648">
        <f t="shared" si="1"/>
        <v>424234.34775145922</v>
      </c>
      <c r="I31" s="644">
        <v>125369.35973561311</v>
      </c>
      <c r="J31" s="649">
        <f>+Synthèse!H30</f>
        <v>151523.56827788008</v>
      </c>
      <c r="K31" s="649">
        <f t="shared" si="2"/>
        <v>26154.208542266977</v>
      </c>
    </row>
    <row r="32" spans="1:11" s="177" customFormat="1" ht="15" x14ac:dyDescent="0.25">
      <c r="A32" s="83">
        <f>Données!A32</f>
        <v>5435</v>
      </c>
      <c r="B32" s="282" t="str">
        <f>Données!B32</f>
        <v>Saint-Livres</v>
      </c>
      <c r="C32" s="644">
        <v>499019.68618734251</v>
      </c>
      <c r="D32" s="645">
        <f>+Synthèse!G31</f>
        <v>350862.90689956531</v>
      </c>
      <c r="E32" s="646">
        <f t="shared" si="0"/>
        <v>-148156.7792877772</v>
      </c>
      <c r="F32" s="647">
        <v>223480.01264290983</v>
      </c>
      <c r="G32" s="648">
        <f>+Synthèse!F31</f>
        <v>207357.07736746792</v>
      </c>
      <c r="H32" s="648">
        <f t="shared" si="1"/>
        <v>-16122.935275441909</v>
      </c>
      <c r="I32" s="644">
        <v>78636.043307752174</v>
      </c>
      <c r="J32" s="649">
        <f>+Synthèse!H31</f>
        <v>80237.173166970446</v>
      </c>
      <c r="K32" s="649">
        <f t="shared" si="2"/>
        <v>1601.129859218272</v>
      </c>
    </row>
    <row r="33" spans="1:11" s="177" customFormat="1" ht="15" x14ac:dyDescent="0.25">
      <c r="A33" s="83">
        <f>Données!A33</f>
        <v>5436</v>
      </c>
      <c r="B33" s="282" t="str">
        <f>Données!B33</f>
        <v>Saint-Oyens</v>
      </c>
      <c r="C33" s="644">
        <v>227297.7866284537</v>
      </c>
      <c r="D33" s="645">
        <f>+Synthèse!G32</f>
        <v>291899.06912756624</v>
      </c>
      <c r="E33" s="646">
        <f t="shared" si="0"/>
        <v>64601.282499112538</v>
      </c>
      <c r="F33" s="647">
        <v>127197.23203758715</v>
      </c>
      <c r="G33" s="648">
        <f>+Synthèse!F32</f>
        <v>153420.72543703616</v>
      </c>
      <c r="H33" s="648">
        <f t="shared" si="1"/>
        <v>26223.493399449013</v>
      </c>
      <c r="I33" s="644">
        <v>50896.979338947815</v>
      </c>
      <c r="J33" s="649">
        <f>+Synthèse!H32</f>
        <v>52567.096305734245</v>
      </c>
      <c r="K33" s="649">
        <f t="shared" si="2"/>
        <v>1670.1169667864306</v>
      </c>
    </row>
    <row r="34" spans="1:11" s="177" customFormat="1" ht="15" x14ac:dyDescent="0.25">
      <c r="A34" s="83">
        <f>Données!A34</f>
        <v>5437</v>
      </c>
      <c r="B34" s="282" t="str">
        <f>Données!B34</f>
        <v>Saubraz</v>
      </c>
      <c r="C34" s="644">
        <v>236318.8608043821</v>
      </c>
      <c r="D34" s="645">
        <f>+Synthèse!G33</f>
        <v>195967.08825935121</v>
      </c>
      <c r="E34" s="646">
        <f t="shared" si="0"/>
        <v>-40351.772545030894</v>
      </c>
      <c r="F34" s="647">
        <v>-64174.640417915682</v>
      </c>
      <c r="G34" s="648">
        <f>+Synthèse!F33</f>
        <v>-335491.56966916774</v>
      </c>
      <c r="H34" s="648">
        <f t="shared" si="1"/>
        <v>-271316.92925125209</v>
      </c>
      <c r="I34" s="644">
        <v>37322.657089045199</v>
      </c>
      <c r="J34" s="649">
        <f>+Synthèse!H33</f>
        <v>39105.661552156082</v>
      </c>
      <c r="K34" s="649">
        <f t="shared" si="2"/>
        <v>1783.0044631108831</v>
      </c>
    </row>
    <row r="35" spans="1:11" s="177" customFormat="1" ht="15" x14ac:dyDescent="0.25">
      <c r="A35" s="83">
        <f>Données!A35</f>
        <v>5451</v>
      </c>
      <c r="B35" s="282" t="str">
        <f>Données!B35</f>
        <v>Avenches</v>
      </c>
      <c r="C35" s="644">
        <v>2383961.2156102997</v>
      </c>
      <c r="D35" s="645">
        <f>+Synthèse!G34</f>
        <v>2092043.9686797403</v>
      </c>
      <c r="E35" s="646">
        <f t="shared" si="0"/>
        <v>-291917.2469305594</v>
      </c>
      <c r="F35" s="647">
        <v>-1656677.5103782881</v>
      </c>
      <c r="G35" s="648">
        <f>+Synthèse!F34</f>
        <v>-2165406.931517018</v>
      </c>
      <c r="H35" s="648">
        <f t="shared" si="1"/>
        <v>-508729.4211387299</v>
      </c>
      <c r="I35" s="644">
        <v>428189.14843861043</v>
      </c>
      <c r="J35" s="649">
        <f>+Synthèse!H34</f>
        <v>406284.2105021613</v>
      </c>
      <c r="K35" s="649">
        <f t="shared" si="2"/>
        <v>-21904.937936449132</v>
      </c>
    </row>
    <row r="36" spans="1:11" s="177" customFormat="1" ht="15" x14ac:dyDescent="0.25">
      <c r="A36" s="83">
        <f>Données!A36</f>
        <v>5456</v>
      </c>
      <c r="B36" s="282" t="str">
        <f>Données!B36</f>
        <v>Cudrefin</v>
      </c>
      <c r="C36" s="644">
        <v>1124353.7211144562</v>
      </c>
      <c r="D36" s="645">
        <f>+Synthèse!G35</f>
        <v>923083.71754227998</v>
      </c>
      <c r="E36" s="646">
        <f t="shared" si="0"/>
        <v>-201270.00357217621</v>
      </c>
      <c r="F36" s="647">
        <v>292100.54621378263</v>
      </c>
      <c r="G36" s="648">
        <f>+Synthèse!F35</f>
        <v>322528.54060623108</v>
      </c>
      <c r="H36" s="648">
        <f t="shared" si="1"/>
        <v>30427.994392448454</v>
      </c>
      <c r="I36" s="644">
        <v>194743.78591446945</v>
      </c>
      <c r="J36" s="649">
        <f>+Synthèse!H35</f>
        <v>202660.05510903109</v>
      </c>
      <c r="K36" s="649">
        <f t="shared" si="2"/>
        <v>7916.2691945616389</v>
      </c>
    </row>
    <row r="37" spans="1:11" s="177" customFormat="1" ht="15" x14ac:dyDescent="0.25">
      <c r="A37" s="83">
        <f>Données!A37</f>
        <v>5458</v>
      </c>
      <c r="B37" s="282" t="str">
        <f>Données!B37</f>
        <v>Faoug</v>
      </c>
      <c r="C37" s="644">
        <v>488990.21755466022</v>
      </c>
      <c r="D37" s="645">
        <f>+Synthèse!G36</f>
        <v>448960.49084267614</v>
      </c>
      <c r="E37" s="646">
        <f t="shared" si="0"/>
        <v>-40029.726711984084</v>
      </c>
      <c r="F37" s="647">
        <v>231496.58883908251</v>
      </c>
      <c r="G37" s="648">
        <f>+Synthèse!F36</f>
        <v>234494.68953654059</v>
      </c>
      <c r="H37" s="648">
        <f t="shared" si="1"/>
        <v>2998.1006974580814</v>
      </c>
      <c r="I37" s="644">
        <v>99397.664796130208</v>
      </c>
      <c r="J37" s="649">
        <f>+Synthèse!H36</f>
        <v>97420.024805506197</v>
      </c>
      <c r="K37" s="649">
        <f t="shared" si="2"/>
        <v>-1977.6399906240113</v>
      </c>
    </row>
    <row r="38" spans="1:11" s="177" customFormat="1" ht="15" x14ac:dyDescent="0.25">
      <c r="A38" s="83">
        <f>Données!A38</f>
        <v>5464</v>
      </c>
      <c r="B38" s="282" t="str">
        <f>Données!B38</f>
        <v>Vully-les-Lacs</v>
      </c>
      <c r="C38" s="644">
        <v>1992339.6740744126</v>
      </c>
      <c r="D38" s="645">
        <f>+Synthèse!G37</f>
        <v>1734490.1705149468</v>
      </c>
      <c r="E38" s="646">
        <f t="shared" si="0"/>
        <v>-257849.50355946575</v>
      </c>
      <c r="F38" s="647">
        <v>-149930.8730521407</v>
      </c>
      <c r="G38" s="648">
        <f>+Synthèse!F37</f>
        <v>-577331.26950816577</v>
      </c>
      <c r="H38" s="648">
        <f t="shared" si="1"/>
        <v>-427400.39645602508</v>
      </c>
      <c r="I38" s="644">
        <v>359610.85398640274</v>
      </c>
      <c r="J38" s="649">
        <f>+Synthèse!H37</f>
        <v>365332.67968946067</v>
      </c>
      <c r="K38" s="649">
        <f t="shared" si="2"/>
        <v>5721.8257030579261</v>
      </c>
    </row>
    <row r="39" spans="1:11" s="177" customFormat="1" ht="15" x14ac:dyDescent="0.25">
      <c r="A39" s="83">
        <f>Données!A39</f>
        <v>5471</v>
      </c>
      <c r="B39" s="282" t="str">
        <f>Données!B39</f>
        <v>Bettens</v>
      </c>
      <c r="C39" s="644">
        <v>321910.85420239629</v>
      </c>
      <c r="D39" s="645">
        <f>+Synthèse!G38</f>
        <v>370252.55861416738</v>
      </c>
      <c r="E39" s="646">
        <f t="shared" si="0"/>
        <v>48341.70441177109</v>
      </c>
      <c r="F39" s="647">
        <v>194416.85960210697</v>
      </c>
      <c r="G39" s="648">
        <f>+Synthèse!F38</f>
        <v>202392.88182875427</v>
      </c>
      <c r="H39" s="648">
        <f t="shared" si="1"/>
        <v>7976.0222266472992</v>
      </c>
      <c r="I39" s="644">
        <v>69500.633359326923</v>
      </c>
      <c r="J39" s="649">
        <f>+Synthèse!H38</f>
        <v>70144.867103831959</v>
      </c>
      <c r="K39" s="649">
        <f t="shared" si="2"/>
        <v>644.23374450503616</v>
      </c>
    </row>
    <row r="40" spans="1:11" s="177" customFormat="1" ht="15" x14ac:dyDescent="0.25">
      <c r="A40" s="83">
        <f>Données!A40</f>
        <v>5472</v>
      </c>
      <c r="B40" s="282" t="str">
        <f>Données!B40</f>
        <v>Bournens</v>
      </c>
      <c r="C40" s="644">
        <v>321137.76985197066</v>
      </c>
      <c r="D40" s="645">
        <f>+Synthèse!G39</f>
        <v>276167.98196293629</v>
      </c>
      <c r="E40" s="646">
        <f t="shared" si="0"/>
        <v>-44969.787889034371</v>
      </c>
      <c r="F40" s="647">
        <v>230738.66822951805</v>
      </c>
      <c r="G40" s="648">
        <f>+Synthèse!F39</f>
        <v>134795.80017573555</v>
      </c>
      <c r="H40" s="648">
        <f t="shared" si="1"/>
        <v>-95942.868053782498</v>
      </c>
      <c r="I40" s="644">
        <v>61310.64875023983</v>
      </c>
      <c r="J40" s="649">
        <f>+Synthèse!H39</f>
        <v>58071.009331036686</v>
      </c>
      <c r="K40" s="649">
        <f t="shared" si="2"/>
        <v>-3239.6394192031439</v>
      </c>
    </row>
    <row r="41" spans="1:11" s="177" customFormat="1" ht="15" x14ac:dyDescent="0.25">
      <c r="A41" s="83">
        <f>Données!A41</f>
        <v>5473</v>
      </c>
      <c r="B41" s="282" t="str">
        <f>Données!B41</f>
        <v>Boussens</v>
      </c>
      <c r="C41" s="644">
        <v>611207.33126485511</v>
      </c>
      <c r="D41" s="645">
        <f>+Synthèse!G40</f>
        <v>494547.77677034424</v>
      </c>
      <c r="E41" s="646">
        <f t="shared" si="0"/>
        <v>-116659.55449451087</v>
      </c>
      <c r="F41" s="647">
        <v>506307.88233944977</v>
      </c>
      <c r="G41" s="648">
        <f>+Synthèse!F40</f>
        <v>431309.62773151847</v>
      </c>
      <c r="H41" s="648">
        <f t="shared" si="1"/>
        <v>-74998.254607931303</v>
      </c>
      <c r="I41" s="644">
        <v>123635.43467569503</v>
      </c>
      <c r="J41" s="649">
        <f>+Synthèse!H40</f>
        <v>113948.3682402291</v>
      </c>
      <c r="K41" s="649">
        <f t="shared" si="2"/>
        <v>-9687.0664354659239</v>
      </c>
    </row>
    <row r="42" spans="1:11" s="177" customFormat="1" ht="15" x14ac:dyDescent="0.25">
      <c r="A42" s="83">
        <f>Données!A42</f>
        <v>5474</v>
      </c>
      <c r="B42" s="282" t="str">
        <f>Données!B42</f>
        <v>La Chaux (Cossonay)</v>
      </c>
      <c r="C42" s="644">
        <v>218638.58117046198</v>
      </c>
      <c r="D42" s="645">
        <f>+Synthèse!G41</f>
        <v>195051.24482735997</v>
      </c>
      <c r="E42" s="646">
        <f t="shared" si="0"/>
        <v>-23587.336343102012</v>
      </c>
      <c r="F42" s="647">
        <v>-91171.403143440781</v>
      </c>
      <c r="G42" s="648">
        <f>+Synthèse!F41</f>
        <v>-102662.90973825296</v>
      </c>
      <c r="H42" s="648">
        <f t="shared" si="1"/>
        <v>-11491.506594812177</v>
      </c>
      <c r="I42" s="644">
        <v>42962.426903876883</v>
      </c>
      <c r="J42" s="649">
        <f>+Synthèse!H41</f>
        <v>39367.020170519907</v>
      </c>
      <c r="K42" s="649">
        <f t="shared" si="2"/>
        <v>-3595.4067333569765</v>
      </c>
    </row>
    <row r="43" spans="1:11" s="177" customFormat="1" ht="15" x14ac:dyDescent="0.25">
      <c r="A43" s="83">
        <f>Données!A43</f>
        <v>5475</v>
      </c>
      <c r="B43" s="282" t="str">
        <f>Données!B43</f>
        <v>Chavannes-le-Veyron</v>
      </c>
      <c r="C43" s="644">
        <v>64817.272707397969</v>
      </c>
      <c r="D43" s="645">
        <f>+Synthèse!G42</f>
        <v>106312.81158251746</v>
      </c>
      <c r="E43" s="646">
        <f t="shared" si="0"/>
        <v>41495.538875119491</v>
      </c>
      <c r="F43" s="647">
        <v>-65477.29098011383</v>
      </c>
      <c r="G43" s="648">
        <f>+Synthèse!F42</f>
        <v>-137608.77935759118</v>
      </c>
      <c r="H43" s="648">
        <f t="shared" si="1"/>
        <v>-72131.488377477348</v>
      </c>
      <c r="I43" s="644">
        <v>13242.997419591115</v>
      </c>
      <c r="J43" s="649">
        <f>+Synthèse!H42</f>
        <v>12041.308530303231</v>
      </c>
      <c r="K43" s="649">
        <f t="shared" si="2"/>
        <v>-1201.6888892878833</v>
      </c>
    </row>
    <row r="44" spans="1:11" s="177" customFormat="1" ht="15" x14ac:dyDescent="0.25">
      <c r="A44" s="83">
        <f>Données!A44</f>
        <v>5476</v>
      </c>
      <c r="B44" s="282" t="str">
        <f>Données!B44</f>
        <v>Chevilly</v>
      </c>
      <c r="C44" s="644">
        <v>198646.48975957598</v>
      </c>
      <c r="D44" s="645">
        <f>+Synthèse!G43</f>
        <v>162632.07091863742</v>
      </c>
      <c r="E44" s="646">
        <f t="shared" si="0"/>
        <v>-36014.418840938568</v>
      </c>
      <c r="F44" s="647">
        <v>174157.97029275991</v>
      </c>
      <c r="G44" s="648">
        <f>+Synthèse!F43</f>
        <v>-29586.898773483321</v>
      </c>
      <c r="H44" s="648">
        <f t="shared" si="1"/>
        <v>-203744.86906624323</v>
      </c>
      <c r="I44" s="644">
        <v>42223.752226874014</v>
      </c>
      <c r="J44" s="649">
        <f>+Synthèse!H43</f>
        <v>35520.031304349082</v>
      </c>
      <c r="K44" s="649">
        <f t="shared" si="2"/>
        <v>-6703.7209225249317</v>
      </c>
    </row>
    <row r="45" spans="1:11" s="177" customFormat="1" ht="15" x14ac:dyDescent="0.25">
      <c r="A45" s="83">
        <f>Données!A45</f>
        <v>5477</v>
      </c>
      <c r="B45" s="282" t="str">
        <f>Données!B45</f>
        <v>Cossonay</v>
      </c>
      <c r="C45" s="644">
        <v>2660456.0770010017</v>
      </c>
      <c r="D45" s="645">
        <f>+Synthèse!G44</f>
        <v>3101948.95688859</v>
      </c>
      <c r="E45" s="646">
        <f t="shared" si="0"/>
        <v>441492.87988758832</v>
      </c>
      <c r="F45" s="647">
        <v>-641503.09750299668</v>
      </c>
      <c r="G45" s="648">
        <f>+Synthèse!F44</f>
        <v>-339050.84739312064</v>
      </c>
      <c r="H45" s="648">
        <f t="shared" si="1"/>
        <v>302452.25010987604</v>
      </c>
      <c r="I45" s="644">
        <v>467313.54580071568</v>
      </c>
      <c r="J45" s="649">
        <f>+Synthèse!H44</f>
        <v>538349.82648784481</v>
      </c>
      <c r="K45" s="649">
        <f t="shared" si="2"/>
        <v>71036.280687129125</v>
      </c>
    </row>
    <row r="46" spans="1:11" s="177" customFormat="1" ht="15" x14ac:dyDescent="0.25">
      <c r="A46" s="83">
        <f>Données!A46</f>
        <v>5479</v>
      </c>
      <c r="B46" s="282" t="str">
        <f>Données!B46</f>
        <v>Cuarnens</v>
      </c>
      <c r="C46" s="644">
        <v>237116.04855423304</v>
      </c>
      <c r="D46" s="645">
        <f>+Synthèse!G45</f>
        <v>231296.2827244183</v>
      </c>
      <c r="E46" s="646">
        <f t="shared" si="0"/>
        <v>-5819.7658298147435</v>
      </c>
      <c r="F46" s="647">
        <v>-312733.74798848893</v>
      </c>
      <c r="G46" s="648">
        <f>+Synthèse!F45</f>
        <v>-105325.47986000445</v>
      </c>
      <c r="H46" s="648">
        <f t="shared" si="1"/>
        <v>207408.26812848449</v>
      </c>
      <c r="I46" s="644">
        <v>43898.870452463925</v>
      </c>
      <c r="J46" s="649">
        <f>+Synthèse!H45</f>
        <v>57152.058851875016</v>
      </c>
      <c r="K46" s="649">
        <f t="shared" si="2"/>
        <v>13253.18839941109</v>
      </c>
    </row>
    <row r="47" spans="1:11" s="177" customFormat="1" ht="15" x14ac:dyDescent="0.25">
      <c r="A47" s="83">
        <f>Données!A47</f>
        <v>5480</v>
      </c>
      <c r="B47" s="282" t="str">
        <f>Données!B47</f>
        <v>Daillens</v>
      </c>
      <c r="C47" s="644">
        <v>974688.20635525952</v>
      </c>
      <c r="D47" s="645">
        <f>+Synthèse!G46</f>
        <v>781317.45108603814</v>
      </c>
      <c r="E47" s="646">
        <f t="shared" si="0"/>
        <v>-193370.75526922138</v>
      </c>
      <c r="F47" s="647">
        <v>451655.82964631892</v>
      </c>
      <c r="G47" s="648">
        <f>+Synthèse!F46</f>
        <v>610517.97261079447</v>
      </c>
      <c r="H47" s="648">
        <f t="shared" si="1"/>
        <v>158862.14296447556</v>
      </c>
      <c r="I47" s="644">
        <v>128076.88973835437</v>
      </c>
      <c r="J47" s="649">
        <f>+Synthèse!H46</f>
        <v>143950.71680188295</v>
      </c>
      <c r="K47" s="649">
        <f t="shared" si="2"/>
        <v>15873.827063528588</v>
      </c>
    </row>
    <row r="48" spans="1:11" s="177" customFormat="1" ht="15" x14ac:dyDescent="0.25">
      <c r="A48" s="83">
        <f>Données!A48</f>
        <v>5481</v>
      </c>
      <c r="B48" s="282" t="str">
        <f>Données!B48</f>
        <v>Dizy</v>
      </c>
      <c r="C48" s="644">
        <v>128372.38352764334</v>
      </c>
      <c r="D48" s="645">
        <f>+Synthèse!G47</f>
        <v>165155.49008069892</v>
      </c>
      <c r="E48" s="646">
        <f t="shared" si="0"/>
        <v>36783.106553055579</v>
      </c>
      <c r="F48" s="647">
        <v>48084.163915608195</v>
      </c>
      <c r="G48" s="648">
        <f>+Synthèse!F47</f>
        <v>204156.45537669386</v>
      </c>
      <c r="H48" s="648">
        <f t="shared" si="1"/>
        <v>156072.29146108567</v>
      </c>
      <c r="I48" s="644">
        <v>26671.131976569275</v>
      </c>
      <c r="J48" s="649">
        <f>+Synthèse!H47</f>
        <v>35836.840050362393</v>
      </c>
      <c r="K48" s="649">
        <f t="shared" si="2"/>
        <v>9165.7080737931174</v>
      </c>
    </row>
    <row r="49" spans="1:11" s="177" customFormat="1" ht="15" x14ac:dyDescent="0.25">
      <c r="A49" s="83">
        <f>Données!A49</f>
        <v>5482</v>
      </c>
      <c r="B49" s="282" t="str">
        <f>Données!B49</f>
        <v>Eclépens</v>
      </c>
      <c r="C49" s="644">
        <v>823841.33827207319</v>
      </c>
      <c r="D49" s="645">
        <f>+Synthèse!G48</f>
        <v>813228.73713472416</v>
      </c>
      <c r="E49" s="646">
        <f t="shared" si="0"/>
        <v>-10612.601137349033</v>
      </c>
      <c r="F49" s="647">
        <v>522876.6555241312</v>
      </c>
      <c r="G49" s="648">
        <f>+Synthèse!F48</f>
        <v>646347.4575506947</v>
      </c>
      <c r="H49" s="648">
        <f t="shared" si="1"/>
        <v>123470.8020265635</v>
      </c>
      <c r="I49" s="644">
        <v>136448.99946266436</v>
      </c>
      <c r="J49" s="649">
        <f>+Synthèse!H48</f>
        <v>149130.09448469777</v>
      </c>
      <c r="K49" s="649">
        <f t="shared" si="2"/>
        <v>12681.095022033405</v>
      </c>
    </row>
    <row r="50" spans="1:11" s="177" customFormat="1" ht="15" x14ac:dyDescent="0.25">
      <c r="A50" s="83">
        <f>Données!A50</f>
        <v>5483</v>
      </c>
      <c r="B50" s="282" t="str">
        <f>Données!B50</f>
        <v>Ferreyres</v>
      </c>
      <c r="C50" s="644">
        <v>134260.57807393887</v>
      </c>
      <c r="D50" s="645">
        <f>+Synthèse!G49</f>
        <v>139566.3176714312</v>
      </c>
      <c r="E50" s="646">
        <f t="shared" si="0"/>
        <v>5305.7395974923274</v>
      </c>
      <c r="F50" s="647">
        <v>57708.583289692499</v>
      </c>
      <c r="G50" s="648">
        <f>+Synthèse!F49</f>
        <v>77717.110623629531</v>
      </c>
      <c r="H50" s="648">
        <f t="shared" si="1"/>
        <v>20008.527333937032</v>
      </c>
      <c r="I50" s="644">
        <v>31744.184002718823</v>
      </c>
      <c r="J50" s="649">
        <f>+Synthèse!H49</f>
        <v>33423.349763080681</v>
      </c>
      <c r="K50" s="649">
        <f t="shared" si="2"/>
        <v>1679.1657603618587</v>
      </c>
    </row>
    <row r="51" spans="1:11" s="177" customFormat="1" ht="15" x14ac:dyDescent="0.25">
      <c r="A51" s="83">
        <f>Données!A51</f>
        <v>5484</v>
      </c>
      <c r="B51" s="282" t="str">
        <f>Données!B51</f>
        <v>Gollion</v>
      </c>
      <c r="C51" s="644">
        <v>518402.33145196812</v>
      </c>
      <c r="D51" s="645">
        <f>+Synthèse!G50</f>
        <v>499082.51407015719</v>
      </c>
      <c r="E51" s="646">
        <f t="shared" si="0"/>
        <v>-19319.817381810921</v>
      </c>
      <c r="F51" s="647">
        <v>-150417.53164338297</v>
      </c>
      <c r="G51" s="648">
        <f>+Synthèse!F50</f>
        <v>-341282.97975061357</v>
      </c>
      <c r="H51" s="648">
        <f t="shared" si="1"/>
        <v>-190865.44810723059</v>
      </c>
      <c r="I51" s="644">
        <v>100165.78508420596</v>
      </c>
      <c r="J51" s="649">
        <f>+Synthèse!H50</f>
        <v>99336.361106630124</v>
      </c>
      <c r="K51" s="649">
        <f t="shared" si="2"/>
        <v>-829.4239775758324</v>
      </c>
    </row>
    <row r="52" spans="1:11" s="177" customFormat="1" ht="15" x14ac:dyDescent="0.25">
      <c r="A52" s="83">
        <f>Données!A52</f>
        <v>5485</v>
      </c>
      <c r="B52" s="282" t="str">
        <f>Données!B52</f>
        <v>Grancy</v>
      </c>
      <c r="C52" s="644">
        <v>277961.48074550804</v>
      </c>
      <c r="D52" s="645">
        <f>+Synthèse!G51</f>
        <v>364896.58428359369</v>
      </c>
      <c r="E52" s="646">
        <f t="shared" si="0"/>
        <v>86935.103538085648</v>
      </c>
      <c r="F52" s="647">
        <v>146607.12372751068</v>
      </c>
      <c r="G52" s="648">
        <f>+Synthèse!F51</f>
        <v>344638.24507185281</v>
      </c>
      <c r="H52" s="648">
        <f t="shared" si="1"/>
        <v>198031.12134434213</v>
      </c>
      <c r="I52" s="644">
        <v>58839.731725045014</v>
      </c>
      <c r="J52" s="649">
        <f>+Synthèse!H51</f>
        <v>79455.475947164057</v>
      </c>
      <c r="K52" s="649">
        <f t="shared" si="2"/>
        <v>20615.744222119043</v>
      </c>
    </row>
    <row r="53" spans="1:11" s="177" customFormat="1" ht="15" x14ac:dyDescent="0.25">
      <c r="A53" s="83">
        <f>Données!A53</f>
        <v>5486</v>
      </c>
      <c r="B53" s="282" t="str">
        <f>Données!B53</f>
        <v>L'Isle</v>
      </c>
      <c r="C53" s="644">
        <v>615786.96610761993</v>
      </c>
      <c r="D53" s="645">
        <f>+Synthèse!G52</f>
        <v>551563.29425797309</v>
      </c>
      <c r="E53" s="646">
        <f t="shared" si="0"/>
        <v>-64223.671849646838</v>
      </c>
      <c r="F53" s="647">
        <v>-235558.51559312455</v>
      </c>
      <c r="G53" s="648">
        <f>+Synthèse!F52</f>
        <v>-114374.08671816904</v>
      </c>
      <c r="H53" s="648">
        <f t="shared" si="1"/>
        <v>121184.42887495551</v>
      </c>
      <c r="I53" s="644">
        <v>106893.84568098343</v>
      </c>
      <c r="J53" s="649">
        <f>+Synthèse!H52</f>
        <v>109516.80180438198</v>
      </c>
      <c r="K53" s="649">
        <f t="shared" si="2"/>
        <v>2622.9561233985442</v>
      </c>
    </row>
    <row r="54" spans="1:11" s="177" customFormat="1" ht="15" x14ac:dyDescent="0.25">
      <c r="A54" s="83">
        <f>Données!A54</f>
        <v>5487</v>
      </c>
      <c r="B54" s="282" t="str">
        <f>Données!B54</f>
        <v>Lussery-Villars</v>
      </c>
      <c r="C54" s="644">
        <v>192664.31649474427</v>
      </c>
      <c r="D54" s="645">
        <f>+Synthèse!G53</f>
        <v>208903.629343782</v>
      </c>
      <c r="E54" s="646">
        <f t="shared" si="0"/>
        <v>16239.312849037728</v>
      </c>
      <c r="F54" s="647">
        <v>-79679.010768465407</v>
      </c>
      <c r="G54" s="648">
        <f>+Synthèse!F53</f>
        <v>46705.579387263337</v>
      </c>
      <c r="H54" s="648">
        <f t="shared" si="1"/>
        <v>126384.59015572874</v>
      </c>
      <c r="I54" s="644">
        <v>36797.347636001708</v>
      </c>
      <c r="J54" s="649">
        <f>+Synthèse!H53</f>
        <v>44788.937167478012</v>
      </c>
      <c r="K54" s="649">
        <f t="shared" si="2"/>
        <v>7991.5895314763038</v>
      </c>
    </row>
    <row r="55" spans="1:11" s="177" customFormat="1" ht="15" x14ac:dyDescent="0.25">
      <c r="A55" s="83">
        <f>Données!A55</f>
        <v>5488</v>
      </c>
      <c r="B55" s="282" t="str">
        <f>Données!B55</f>
        <v>Mauraz</v>
      </c>
      <c r="C55" s="644">
        <v>46068.824276094136</v>
      </c>
      <c r="D55" s="645">
        <f>+Synthèse!G54</f>
        <v>20865.750544725586</v>
      </c>
      <c r="E55" s="646">
        <f t="shared" si="0"/>
        <v>-25203.073731368549</v>
      </c>
      <c r="F55" s="647">
        <v>10020.860866099782</v>
      </c>
      <c r="G55" s="648">
        <f>+Synthèse!F54</f>
        <v>-47434.009154705374</v>
      </c>
      <c r="H55" s="648">
        <f t="shared" si="1"/>
        <v>-57454.87002080516</v>
      </c>
      <c r="I55" s="644">
        <v>6674.7464562434161</v>
      </c>
      <c r="J55" s="649">
        <f>+Synthèse!H54</f>
        <v>5625.5398143673101</v>
      </c>
      <c r="K55" s="649">
        <f t="shared" si="2"/>
        <v>-1049.206641876106</v>
      </c>
    </row>
    <row r="56" spans="1:11" s="177" customFormat="1" ht="15" x14ac:dyDescent="0.25">
      <c r="A56" s="83">
        <f>Données!A56</f>
        <v>5489</v>
      </c>
      <c r="B56" s="282" t="str">
        <f>Données!B56</f>
        <v>Mex</v>
      </c>
      <c r="C56" s="644">
        <v>1318116.3166882454</v>
      </c>
      <c r="D56" s="645">
        <f>+Synthèse!G55</f>
        <v>1659543.7056402331</v>
      </c>
      <c r="E56" s="646">
        <f t="shared" si="0"/>
        <v>341427.38895198773</v>
      </c>
      <c r="F56" s="647">
        <v>1074738.8903525861</v>
      </c>
      <c r="G56" s="648">
        <f>+Synthèse!F55</f>
        <v>215432.03699610638</v>
      </c>
      <c r="H56" s="648">
        <f t="shared" si="1"/>
        <v>-859306.85335647967</v>
      </c>
      <c r="I56" s="644">
        <v>146862.05225557531</v>
      </c>
      <c r="J56" s="649">
        <f>+Synthèse!H55</f>
        <v>161154.72190310014</v>
      </c>
      <c r="K56" s="649">
        <f t="shared" si="2"/>
        <v>14292.669647524832</v>
      </c>
    </row>
    <row r="57" spans="1:11" s="177" customFormat="1" ht="15" x14ac:dyDescent="0.25">
      <c r="A57" s="83">
        <f>Données!A57</f>
        <v>5490</v>
      </c>
      <c r="B57" s="282" t="str">
        <f>Données!B57</f>
        <v>Moiry</v>
      </c>
      <c r="C57" s="644">
        <v>115680.14860796834</v>
      </c>
      <c r="D57" s="645">
        <f>+Synthèse!G56</f>
        <v>178035.7293388762</v>
      </c>
      <c r="E57" s="646">
        <f t="shared" si="0"/>
        <v>62355.580730907866</v>
      </c>
      <c r="F57" s="647">
        <v>-45470.460222236405</v>
      </c>
      <c r="G57" s="648">
        <f>+Synthèse!F56</f>
        <v>-86972.880623159173</v>
      </c>
      <c r="H57" s="648">
        <f t="shared" si="1"/>
        <v>-41502.420400922769</v>
      </c>
      <c r="I57" s="644">
        <v>26174.878336635124</v>
      </c>
      <c r="J57" s="649">
        <f>+Synthèse!H56</f>
        <v>23963.191576131154</v>
      </c>
      <c r="K57" s="649">
        <f t="shared" si="2"/>
        <v>-2211.6867605039697</v>
      </c>
    </row>
    <row r="58" spans="1:11" s="177" customFormat="1" ht="15" x14ac:dyDescent="0.25">
      <c r="A58" s="83">
        <f>Données!A58</f>
        <v>5491</v>
      </c>
      <c r="B58" s="282" t="str">
        <f>Données!B58</f>
        <v>Mont-la-Ville</v>
      </c>
      <c r="C58" s="644">
        <v>241946.05907578667</v>
      </c>
      <c r="D58" s="645">
        <f>+Synthèse!G57</f>
        <v>204895.83980824158</v>
      </c>
      <c r="E58" s="646">
        <f t="shared" si="0"/>
        <v>-37050.219267545093</v>
      </c>
      <c r="F58" s="647">
        <v>-712368.76995167113</v>
      </c>
      <c r="G58" s="648">
        <f>+Synthèse!F57</f>
        <v>-799684.11111815833</v>
      </c>
      <c r="H58" s="648">
        <f t="shared" si="1"/>
        <v>-87315.341166487196</v>
      </c>
      <c r="I58" s="644">
        <v>42329.070223832037</v>
      </c>
      <c r="J58" s="649">
        <f>+Synthèse!H57</f>
        <v>41315.281360105109</v>
      </c>
      <c r="K58" s="649">
        <f t="shared" si="2"/>
        <v>-1013.788863726928</v>
      </c>
    </row>
    <row r="59" spans="1:11" s="177" customFormat="1" ht="15" x14ac:dyDescent="0.25">
      <c r="A59" s="83">
        <f>Données!A59</f>
        <v>5492</v>
      </c>
      <c r="B59" s="282" t="str">
        <f>Données!B59</f>
        <v>Montricher</v>
      </c>
      <c r="C59" s="644">
        <v>4839845.8516402729</v>
      </c>
      <c r="D59" s="645">
        <f>+Synthèse!G58</f>
        <v>8352625.0307448274</v>
      </c>
      <c r="E59" s="646">
        <f t="shared" si="0"/>
        <v>3512779.1791045545</v>
      </c>
      <c r="F59" s="647">
        <v>2474275.5308597246</v>
      </c>
      <c r="G59" s="648">
        <f>+Synthèse!F58</f>
        <v>2639183.9142551729</v>
      </c>
      <c r="H59" s="648">
        <f t="shared" si="1"/>
        <v>164908.38339544833</v>
      </c>
      <c r="I59" s="644">
        <v>272259.98941602156</v>
      </c>
      <c r="J59" s="649">
        <f>+Synthèse!H58</f>
        <v>309512.73628073203</v>
      </c>
      <c r="K59" s="649">
        <f t="shared" si="2"/>
        <v>37252.746864710469</v>
      </c>
    </row>
    <row r="60" spans="1:11" s="177" customFormat="1" ht="15" x14ac:dyDescent="0.25">
      <c r="A60" s="83">
        <f>Données!A60</f>
        <v>5493</v>
      </c>
      <c r="B60" s="282" t="str">
        <f>Données!B60</f>
        <v>Orny</v>
      </c>
      <c r="C60" s="644">
        <v>238181.13806435955</v>
      </c>
      <c r="D60" s="645">
        <f>+Synthèse!G59</f>
        <v>226005.98585336137</v>
      </c>
      <c r="E60" s="646">
        <f t="shared" si="0"/>
        <v>-12175.152210998174</v>
      </c>
      <c r="F60" s="647">
        <v>-29762.906583082629</v>
      </c>
      <c r="G60" s="648">
        <f>+Synthèse!F59</f>
        <v>-16409.169027223368</v>
      </c>
      <c r="H60" s="648">
        <f t="shared" si="1"/>
        <v>13353.737555859261</v>
      </c>
      <c r="I60" s="644">
        <v>45143.89438551593</v>
      </c>
      <c r="J60" s="649">
        <f>+Synthèse!H59</f>
        <v>47925.102749013058</v>
      </c>
      <c r="K60" s="649">
        <f t="shared" si="2"/>
        <v>2781.2083634971277</v>
      </c>
    </row>
    <row r="61" spans="1:11" s="177" customFormat="1" ht="15" x14ac:dyDescent="0.25">
      <c r="A61" s="83">
        <f>Données!A61</f>
        <v>5495</v>
      </c>
      <c r="B61" s="282" t="str">
        <f>Données!B61</f>
        <v>Penthalaz</v>
      </c>
      <c r="C61" s="644">
        <v>1642115.4582245559</v>
      </c>
      <c r="D61" s="645">
        <f>+Synthèse!G60</f>
        <v>1379261.7302512976</v>
      </c>
      <c r="E61" s="646">
        <f t="shared" si="0"/>
        <v>-262853.72797325836</v>
      </c>
      <c r="F61" s="647">
        <v>-668948.81032829918</v>
      </c>
      <c r="G61" s="648">
        <f>+Synthèse!F60</f>
        <v>-1046550.9150576522</v>
      </c>
      <c r="H61" s="648">
        <f t="shared" si="1"/>
        <v>-377602.10472935298</v>
      </c>
      <c r="I61" s="644">
        <v>318002.40891817055</v>
      </c>
      <c r="J61" s="649">
        <f>+Synthèse!H60</f>
        <v>284027.56157284981</v>
      </c>
      <c r="K61" s="649">
        <f t="shared" si="2"/>
        <v>-33974.847345320741</v>
      </c>
    </row>
    <row r="62" spans="1:11" s="177" customFormat="1" ht="15" x14ac:dyDescent="0.25">
      <c r="A62" s="83">
        <f>Données!A62</f>
        <v>5496</v>
      </c>
      <c r="B62" s="282" t="str">
        <f>Données!B62</f>
        <v>Penthaz</v>
      </c>
      <c r="C62" s="644">
        <v>928443.35326474404</v>
      </c>
      <c r="D62" s="645">
        <f>+Synthèse!G61</f>
        <v>766918.55444776744</v>
      </c>
      <c r="E62" s="646">
        <f t="shared" si="0"/>
        <v>-161524.7988169766</v>
      </c>
      <c r="F62" s="647">
        <v>-8632.106936346041</v>
      </c>
      <c r="G62" s="648">
        <f>+Synthèse!F61</f>
        <v>-153062.71372613823</v>
      </c>
      <c r="H62" s="648">
        <f t="shared" si="1"/>
        <v>-144430.60678979219</v>
      </c>
      <c r="I62" s="644">
        <v>188450.46979849419</v>
      </c>
      <c r="J62" s="649">
        <f>+Synthèse!H61</f>
        <v>186315.60876190354</v>
      </c>
      <c r="K62" s="649">
        <f t="shared" si="2"/>
        <v>-2134.8610365906497</v>
      </c>
    </row>
    <row r="63" spans="1:11" s="177" customFormat="1" ht="15" x14ac:dyDescent="0.25">
      <c r="A63" s="83">
        <f>Données!A63</f>
        <v>5497</v>
      </c>
      <c r="B63" s="282" t="str">
        <f>Données!B63</f>
        <v>Pompaples</v>
      </c>
      <c r="C63" s="644">
        <v>392134.55677177489</v>
      </c>
      <c r="D63" s="645">
        <f>+Synthèse!G62</f>
        <v>458175.26827008906</v>
      </c>
      <c r="E63" s="646">
        <f t="shared" si="0"/>
        <v>66040.711498314166</v>
      </c>
      <c r="F63" s="647">
        <v>-110529.03870144964</v>
      </c>
      <c r="G63" s="648">
        <f>+Synthèse!F62</f>
        <v>-50518.179085755371</v>
      </c>
      <c r="H63" s="648">
        <f t="shared" si="1"/>
        <v>60010.859615694266</v>
      </c>
      <c r="I63" s="644">
        <v>70039.302200992766</v>
      </c>
      <c r="J63" s="649">
        <f>+Synthèse!H62</f>
        <v>87009.061091414362</v>
      </c>
      <c r="K63" s="649">
        <f t="shared" si="2"/>
        <v>16969.758890421595</v>
      </c>
    </row>
    <row r="64" spans="1:11" s="177" customFormat="1" ht="15" x14ac:dyDescent="0.25">
      <c r="A64" s="83">
        <f>Données!A64</f>
        <v>5498</v>
      </c>
      <c r="B64" s="282" t="str">
        <f>Données!B64</f>
        <v>La Sarraz</v>
      </c>
      <c r="C64" s="644">
        <v>1075414.8916202576</v>
      </c>
      <c r="D64" s="645">
        <f>+Synthèse!G63</f>
        <v>1093941.8802821129</v>
      </c>
      <c r="E64" s="646">
        <f t="shared" si="0"/>
        <v>18526.988661855226</v>
      </c>
      <c r="F64" s="647">
        <v>-657129.49436449446</v>
      </c>
      <c r="G64" s="648">
        <f>+Synthèse!F63</f>
        <v>-689250.64195293584</v>
      </c>
      <c r="H64" s="648">
        <f t="shared" si="1"/>
        <v>-32121.147588441381</v>
      </c>
      <c r="I64" s="644">
        <v>225543.88602459809</v>
      </c>
      <c r="J64" s="649">
        <f>+Synthèse!H63</f>
        <v>225717.0906338527</v>
      </c>
      <c r="K64" s="649">
        <f t="shared" si="2"/>
        <v>173.20460925460793</v>
      </c>
    </row>
    <row r="65" spans="1:11" s="177" customFormat="1" ht="15" x14ac:dyDescent="0.25">
      <c r="A65" s="83">
        <f>Données!A65</f>
        <v>5499</v>
      </c>
      <c r="B65" s="282" t="str">
        <f>Données!B65</f>
        <v>Senarclens</v>
      </c>
      <c r="C65" s="644">
        <v>304997.58429701836</v>
      </c>
      <c r="D65" s="645">
        <f>+Synthèse!G64</f>
        <v>299102.58121071418</v>
      </c>
      <c r="E65" s="646">
        <f t="shared" si="0"/>
        <v>-5895.0030863041757</v>
      </c>
      <c r="F65" s="647">
        <v>242721.61616299377</v>
      </c>
      <c r="G65" s="648">
        <f>+Synthèse!F64</f>
        <v>92929.816073919297</v>
      </c>
      <c r="H65" s="648">
        <f t="shared" si="1"/>
        <v>-149791.80008907447</v>
      </c>
      <c r="I65" s="644">
        <v>63388.918664603814</v>
      </c>
      <c r="J65" s="649">
        <f>+Synthèse!H64</f>
        <v>62822.247488918438</v>
      </c>
      <c r="K65" s="649">
        <f t="shared" si="2"/>
        <v>-566.67117568537651</v>
      </c>
    </row>
    <row r="66" spans="1:11" s="177" customFormat="1" ht="15" x14ac:dyDescent="0.25">
      <c r="A66" s="83">
        <f>Données!A66</f>
        <v>5501</v>
      </c>
      <c r="B66" s="282" t="str">
        <f>Données!B66</f>
        <v>Sullens</v>
      </c>
      <c r="C66" s="644">
        <v>956021.52694364591</v>
      </c>
      <c r="D66" s="645">
        <f>+Synthèse!G65</f>
        <v>889007.17109715915</v>
      </c>
      <c r="E66" s="646">
        <f t="shared" si="0"/>
        <v>-67014.355846486753</v>
      </c>
      <c r="F66" s="647">
        <v>826802.13348812051</v>
      </c>
      <c r="G66" s="648">
        <f>+Synthèse!F65</f>
        <v>859809.79510163143</v>
      </c>
      <c r="H66" s="648">
        <f t="shared" si="1"/>
        <v>33007.661613510922</v>
      </c>
      <c r="I66" s="644">
        <v>166591.85029768397</v>
      </c>
      <c r="J66" s="649">
        <f>+Synthèse!H65</f>
        <v>171495.11597301369</v>
      </c>
      <c r="K66" s="649">
        <f t="shared" si="2"/>
        <v>4903.2656753297197</v>
      </c>
    </row>
    <row r="67" spans="1:11" s="177" customFormat="1" ht="15" x14ac:dyDescent="0.25">
      <c r="A67" s="83">
        <f>Données!A67</f>
        <v>5503</v>
      </c>
      <c r="B67" s="282" t="str">
        <f>Données!B67</f>
        <v>Vufflens-la-Ville</v>
      </c>
      <c r="C67" s="644">
        <v>1248635.5253500305</v>
      </c>
      <c r="D67" s="645">
        <f>+Synthèse!G66</f>
        <v>1080994.9197793531</v>
      </c>
      <c r="E67" s="646">
        <f t="shared" si="0"/>
        <v>-167640.60557067744</v>
      </c>
      <c r="F67" s="647">
        <v>1232422.5049962956</v>
      </c>
      <c r="G67" s="648">
        <f>+Synthèse!F66</f>
        <v>716103.19317180803</v>
      </c>
      <c r="H67" s="648">
        <f t="shared" si="1"/>
        <v>-516319.31182448752</v>
      </c>
      <c r="I67" s="644">
        <v>211721.11851224073</v>
      </c>
      <c r="J67" s="649">
        <f>+Synthèse!H66</f>
        <v>197785.52567827282</v>
      </c>
      <c r="K67" s="649">
        <f t="shared" si="2"/>
        <v>-13935.592833967909</v>
      </c>
    </row>
    <row r="68" spans="1:11" s="177" customFormat="1" ht="15" x14ac:dyDescent="0.25">
      <c r="A68" s="83">
        <f>Données!A68</f>
        <v>5511</v>
      </c>
      <c r="B68" s="282" t="str">
        <f>Données!B68</f>
        <v>Assens</v>
      </c>
      <c r="C68" s="644">
        <v>1069590.4718098599</v>
      </c>
      <c r="D68" s="645">
        <f>+Synthèse!G67</f>
        <v>1087043.3198816257</v>
      </c>
      <c r="E68" s="646">
        <f t="shared" si="0"/>
        <v>17452.848071765853</v>
      </c>
      <c r="F68" s="647">
        <v>662555.48669507459</v>
      </c>
      <c r="G68" s="648">
        <f>+Synthèse!F67</f>
        <v>464266.17972726142</v>
      </c>
      <c r="H68" s="648">
        <f t="shared" si="1"/>
        <v>-198289.30696781317</v>
      </c>
      <c r="I68" s="644">
        <v>224235.94759435774</v>
      </c>
      <c r="J68" s="649">
        <f>+Synthèse!H67</f>
        <v>205793.21048432012</v>
      </c>
      <c r="K68" s="649">
        <f t="shared" si="2"/>
        <v>-18442.737110037619</v>
      </c>
    </row>
    <row r="69" spans="1:11" s="177" customFormat="1" ht="15" x14ac:dyDescent="0.25">
      <c r="A69" s="83">
        <f>Données!A69</f>
        <v>5512</v>
      </c>
      <c r="B69" s="282" t="str">
        <f>Données!B69</f>
        <v>Bercher</v>
      </c>
      <c r="C69" s="644">
        <v>632640.64379720343</v>
      </c>
      <c r="D69" s="645">
        <f>+Synthèse!G68</f>
        <v>634667.67047008988</v>
      </c>
      <c r="E69" s="646">
        <f t="shared" si="0"/>
        <v>2027.0266728864517</v>
      </c>
      <c r="F69" s="647">
        <v>-292698.6082949863</v>
      </c>
      <c r="G69" s="648">
        <f>+Synthèse!F68</f>
        <v>-367054.34909541358</v>
      </c>
      <c r="H69" s="648">
        <f t="shared" si="1"/>
        <v>-74355.740800427273</v>
      </c>
      <c r="I69" s="644">
        <v>126416.45088067678</v>
      </c>
      <c r="J69" s="649">
        <f>+Synthèse!H68</f>
        <v>120920.86874301013</v>
      </c>
      <c r="K69" s="649">
        <f t="shared" si="2"/>
        <v>-5495.5821376666572</v>
      </c>
    </row>
    <row r="70" spans="1:11" s="177" customFormat="1" ht="15" x14ac:dyDescent="0.25">
      <c r="A70" s="83">
        <f>Données!A70</f>
        <v>5514</v>
      </c>
      <c r="B70" s="282" t="str">
        <f>Données!B70</f>
        <v>Bottens</v>
      </c>
      <c r="C70" s="644">
        <v>674446.60327962541</v>
      </c>
      <c r="D70" s="645">
        <f>+Synthèse!G69</f>
        <v>623107.98596696241</v>
      </c>
      <c r="E70" s="646">
        <f t="shared" si="0"/>
        <v>-51338.617312663002</v>
      </c>
      <c r="F70" s="647">
        <v>188353.02503073949</v>
      </c>
      <c r="G70" s="648">
        <f>+Synthèse!F69</f>
        <v>128617.91000719613</v>
      </c>
      <c r="H70" s="648">
        <f t="shared" si="1"/>
        <v>-59735.11502354336</v>
      </c>
      <c r="I70" s="644">
        <v>141140.71978314756</v>
      </c>
      <c r="J70" s="649">
        <f>+Synthèse!H69</f>
        <v>136265.23178802029</v>
      </c>
      <c r="K70" s="649">
        <f t="shared" si="2"/>
        <v>-4875.4879951272742</v>
      </c>
    </row>
    <row r="71" spans="1:11" s="177" customFormat="1" ht="15" x14ac:dyDescent="0.25">
      <c r="A71" s="83">
        <f>Données!A71</f>
        <v>5515</v>
      </c>
      <c r="B71" s="282" t="str">
        <f>Données!B71</f>
        <v>Bretigny-sur-Morrens</v>
      </c>
      <c r="C71" s="644">
        <v>413908.73527644644</v>
      </c>
      <c r="D71" s="645">
        <f>+Synthèse!G70</f>
        <v>403564.56570009643</v>
      </c>
      <c r="E71" s="646">
        <f t="shared" ref="E71:E134" si="3">+D71-C71</f>
        <v>-10344.169576350017</v>
      </c>
      <c r="F71" s="647">
        <v>105185.8568610911</v>
      </c>
      <c r="G71" s="648">
        <f>+Synthèse!F70</f>
        <v>199788.52387870278</v>
      </c>
      <c r="H71" s="648">
        <f t="shared" ref="H71:H134" si="4">+G71-F71</f>
        <v>94602.667017611675</v>
      </c>
      <c r="I71" s="644">
        <v>89524.093441201461</v>
      </c>
      <c r="J71" s="649">
        <f>+Synthèse!H70</f>
        <v>94918.867292277777</v>
      </c>
      <c r="K71" s="649">
        <f t="shared" ref="K71:K134" si="5">+J71-I71</f>
        <v>5394.7738510763156</v>
      </c>
    </row>
    <row r="72" spans="1:11" s="177" customFormat="1" ht="15" x14ac:dyDescent="0.25">
      <c r="A72" s="83">
        <f>Données!A72</f>
        <v>5516</v>
      </c>
      <c r="B72" s="282" t="str">
        <f>Données!B72</f>
        <v>Cugy</v>
      </c>
      <c r="C72" s="644">
        <v>1687182.2653546776</v>
      </c>
      <c r="D72" s="645">
        <f>+Synthèse!G71</f>
        <v>1577112.7434109256</v>
      </c>
      <c r="E72" s="646">
        <f t="shared" si="3"/>
        <v>-110069.52194375196</v>
      </c>
      <c r="F72" s="647">
        <v>782374.61969276285</v>
      </c>
      <c r="G72" s="648">
        <f>+Synthèse!F71</f>
        <v>386650.3114693563</v>
      </c>
      <c r="H72" s="648">
        <f t="shared" si="4"/>
        <v>-395724.30822340655</v>
      </c>
      <c r="I72" s="644">
        <v>340353.71528437251</v>
      </c>
      <c r="J72" s="649">
        <f>+Synthèse!H71</f>
        <v>333133.61420513754</v>
      </c>
      <c r="K72" s="649">
        <f t="shared" si="5"/>
        <v>-7220.1010792349698</v>
      </c>
    </row>
    <row r="73" spans="1:11" s="177" customFormat="1" ht="15" x14ac:dyDescent="0.25">
      <c r="A73" s="83">
        <f>Données!A73</f>
        <v>5518</v>
      </c>
      <c r="B73" s="282" t="str">
        <f>Données!B73</f>
        <v>Echallens</v>
      </c>
      <c r="C73" s="644">
        <v>3037443.1766780792</v>
      </c>
      <c r="D73" s="645">
        <f>+Synthèse!G72</f>
        <v>3053344.6852520257</v>
      </c>
      <c r="E73" s="646">
        <f t="shared" si="3"/>
        <v>15901.508573946543</v>
      </c>
      <c r="F73" s="647">
        <v>-1862000.7816035808</v>
      </c>
      <c r="G73" s="648">
        <f>+Synthèse!F72</f>
        <v>-2773559.3071865039</v>
      </c>
      <c r="H73" s="648">
        <f t="shared" si="4"/>
        <v>-911558.52558292309</v>
      </c>
      <c r="I73" s="644">
        <v>592826.44686031225</v>
      </c>
      <c r="J73" s="649">
        <f>+Synthèse!H72</f>
        <v>639959.97352571995</v>
      </c>
      <c r="K73" s="649">
        <f t="shared" si="5"/>
        <v>47133.526665407699</v>
      </c>
    </row>
    <row r="74" spans="1:11" s="177" customFormat="1" ht="15" x14ac:dyDescent="0.25">
      <c r="A74" s="83">
        <f>Données!A74</f>
        <v>5520</v>
      </c>
      <c r="B74" s="282" t="str">
        <f>Données!B74</f>
        <v>Essertines-sur-Yverdon</v>
      </c>
      <c r="C74" s="644">
        <v>523114.33529795165</v>
      </c>
      <c r="D74" s="645">
        <f>+Synthèse!G73</f>
        <v>483249.15749904187</v>
      </c>
      <c r="E74" s="646">
        <f t="shared" si="3"/>
        <v>-39865.177798909775</v>
      </c>
      <c r="F74" s="647">
        <v>-381648.99682994862</v>
      </c>
      <c r="G74" s="648">
        <f>+Synthèse!F73</f>
        <v>-852606.56805713975</v>
      </c>
      <c r="H74" s="648">
        <f t="shared" si="4"/>
        <v>-470957.57122719113</v>
      </c>
      <c r="I74" s="644">
        <v>96283.524129116558</v>
      </c>
      <c r="J74" s="649">
        <f>+Synthèse!H73</f>
        <v>104224.03800615849</v>
      </c>
      <c r="K74" s="649">
        <f t="shared" si="5"/>
        <v>7940.5138770419289</v>
      </c>
    </row>
    <row r="75" spans="1:11" s="177" customFormat="1" ht="15" x14ac:dyDescent="0.25">
      <c r="A75" s="83">
        <f>Données!A75</f>
        <v>5521</v>
      </c>
      <c r="B75" s="282" t="str">
        <f>Données!B75</f>
        <v>Etagnières</v>
      </c>
      <c r="C75" s="644">
        <v>960094.69799769134</v>
      </c>
      <c r="D75" s="645">
        <f>+Synthèse!G74</f>
        <v>804521.93570758216</v>
      </c>
      <c r="E75" s="646">
        <f t="shared" si="3"/>
        <v>-155572.76229010918</v>
      </c>
      <c r="F75" s="647">
        <v>500062.80550537369</v>
      </c>
      <c r="G75" s="648">
        <f>+Synthèse!F74</f>
        <v>295337.59339131357</v>
      </c>
      <c r="H75" s="648">
        <f t="shared" si="4"/>
        <v>-204725.21211406012</v>
      </c>
      <c r="I75" s="644">
        <v>144749.81773915217</v>
      </c>
      <c r="J75" s="649">
        <f>+Synthèse!H74</f>
        <v>137772.3620115238</v>
      </c>
      <c r="K75" s="649">
        <f t="shared" si="5"/>
        <v>-6977.455727628374</v>
      </c>
    </row>
    <row r="76" spans="1:11" s="177" customFormat="1" ht="15" x14ac:dyDescent="0.25">
      <c r="A76" s="83">
        <f>Données!A76</f>
        <v>5522</v>
      </c>
      <c r="B76" s="282" t="str">
        <f>Données!B76</f>
        <v>Fey</v>
      </c>
      <c r="C76" s="644">
        <v>375740.19865189219</v>
      </c>
      <c r="D76" s="645">
        <f>+Synthèse!G75</f>
        <v>344068.24912062834</v>
      </c>
      <c r="E76" s="646">
        <f t="shared" si="3"/>
        <v>-31671.949531263846</v>
      </c>
      <c r="F76" s="647">
        <v>556.11230397049803</v>
      </c>
      <c r="G76" s="648">
        <f>+Synthèse!F75</f>
        <v>-136967.29472029745</v>
      </c>
      <c r="H76" s="648">
        <f t="shared" si="4"/>
        <v>-137523.40702426794</v>
      </c>
      <c r="I76" s="644">
        <v>74387.74246633405</v>
      </c>
      <c r="J76" s="649">
        <f>+Synthèse!H75</f>
        <v>74559.916841888815</v>
      </c>
      <c r="K76" s="649">
        <f t="shared" si="5"/>
        <v>172.17437555476499</v>
      </c>
    </row>
    <row r="77" spans="1:11" s="177" customFormat="1" ht="15" x14ac:dyDescent="0.25">
      <c r="A77" s="83">
        <f>Données!A77</f>
        <v>5523</v>
      </c>
      <c r="B77" s="282" t="str">
        <f>Données!B77</f>
        <v>Froideville</v>
      </c>
      <c r="C77" s="644">
        <v>1515205.6683212237</v>
      </c>
      <c r="D77" s="645">
        <f>+Synthèse!G76</f>
        <v>1064100.967787781</v>
      </c>
      <c r="E77" s="646">
        <f t="shared" si="3"/>
        <v>-451104.70053344266</v>
      </c>
      <c r="F77" s="647">
        <v>155745.92668991024</v>
      </c>
      <c r="G77" s="648">
        <f>+Synthèse!F76</f>
        <v>-259171.31170642609</v>
      </c>
      <c r="H77" s="648">
        <f t="shared" si="4"/>
        <v>-414917.23839633632</v>
      </c>
      <c r="I77" s="644">
        <v>282633.57853414601</v>
      </c>
      <c r="J77" s="649">
        <f>+Synthèse!H76</f>
        <v>262030.59774735488</v>
      </c>
      <c r="K77" s="649">
        <f t="shared" si="5"/>
        <v>-20602.98078679113</v>
      </c>
    </row>
    <row r="78" spans="1:11" s="177" customFormat="1" ht="15" x14ac:dyDescent="0.25">
      <c r="A78" s="83">
        <f>Données!A78</f>
        <v>5527</v>
      </c>
      <c r="B78" s="282" t="str">
        <f>Données!B78</f>
        <v>Morrens</v>
      </c>
      <c r="C78" s="644">
        <v>652045.21349981357</v>
      </c>
      <c r="D78" s="645">
        <f>+Synthèse!G77</f>
        <v>603164.97870019893</v>
      </c>
      <c r="E78" s="646">
        <f t="shared" si="3"/>
        <v>-48880.234799614642</v>
      </c>
      <c r="F78" s="647">
        <v>259164.19286580803</v>
      </c>
      <c r="G78" s="648">
        <f>+Synthèse!F77</f>
        <v>283909.29923866049</v>
      </c>
      <c r="H78" s="648">
        <f t="shared" si="4"/>
        <v>24745.10637285246</v>
      </c>
      <c r="I78" s="644">
        <v>125056.45240551815</v>
      </c>
      <c r="J78" s="649">
        <f>+Synthèse!H77</f>
        <v>126026.95672747388</v>
      </c>
      <c r="K78" s="649">
        <f t="shared" si="5"/>
        <v>970.50432195572648</v>
      </c>
    </row>
    <row r="79" spans="1:11" s="177" customFormat="1" ht="15" x14ac:dyDescent="0.25">
      <c r="A79" s="83">
        <f>Données!A79</f>
        <v>5529</v>
      </c>
      <c r="B79" s="282" t="str">
        <f>Données!B79</f>
        <v>Oulens-sous-Echallens</v>
      </c>
      <c r="C79" s="644">
        <v>289526.0183496055</v>
      </c>
      <c r="D79" s="645">
        <f>+Synthèse!G78</f>
        <v>309773.54509067757</v>
      </c>
      <c r="E79" s="646">
        <f t="shared" si="3"/>
        <v>20247.52674107207</v>
      </c>
      <c r="F79" s="647">
        <v>145204.15420169686</v>
      </c>
      <c r="G79" s="648">
        <f>+Synthèse!F78</f>
        <v>40533.620329158381</v>
      </c>
      <c r="H79" s="648">
        <f t="shared" si="4"/>
        <v>-104670.53387253848</v>
      </c>
      <c r="I79" s="644">
        <v>69584.455813002773</v>
      </c>
      <c r="J79" s="649">
        <f>+Synthèse!H78</f>
        <v>62580.939038552126</v>
      </c>
      <c r="K79" s="649">
        <f t="shared" si="5"/>
        <v>-7003.5167744506471</v>
      </c>
    </row>
    <row r="80" spans="1:11" s="177" customFormat="1" ht="15" x14ac:dyDescent="0.25">
      <c r="A80" s="83">
        <f>Données!A80</f>
        <v>5530</v>
      </c>
      <c r="B80" s="282" t="str">
        <f>Données!B80</f>
        <v>Pailly</v>
      </c>
      <c r="C80" s="644">
        <v>527224.74646601873</v>
      </c>
      <c r="D80" s="645">
        <f>+Synthèse!G79</f>
        <v>266529.63688513555</v>
      </c>
      <c r="E80" s="646">
        <f t="shared" si="3"/>
        <v>-260695.10958088317</v>
      </c>
      <c r="F80" s="647">
        <v>89106.924219935085</v>
      </c>
      <c r="G80" s="648">
        <f>+Synthèse!F79</f>
        <v>-217558.96701735439</v>
      </c>
      <c r="H80" s="648">
        <f t="shared" si="4"/>
        <v>-306665.89123728947</v>
      </c>
      <c r="I80" s="644">
        <v>62981.118254584311</v>
      </c>
      <c r="J80" s="649">
        <f>+Synthèse!H79</f>
        <v>56239.999283351535</v>
      </c>
      <c r="K80" s="649">
        <f t="shared" si="5"/>
        <v>-6741.1189712327759</v>
      </c>
    </row>
    <row r="81" spans="1:11" s="177" customFormat="1" ht="15" x14ac:dyDescent="0.25">
      <c r="A81" s="83">
        <f>Données!A81</f>
        <v>5531</v>
      </c>
      <c r="B81" s="282" t="str">
        <f>Données!B81</f>
        <v>Penthéréaz</v>
      </c>
      <c r="C81" s="644">
        <v>240033.19593555754</v>
      </c>
      <c r="D81" s="645">
        <f>+Synthèse!G80</f>
        <v>220301.42393212745</v>
      </c>
      <c r="E81" s="646">
        <f t="shared" si="3"/>
        <v>-19731.772003430087</v>
      </c>
      <c r="F81" s="647">
        <v>158764.22913493597</v>
      </c>
      <c r="G81" s="648">
        <f>+Synthèse!F80</f>
        <v>132372.00256328529</v>
      </c>
      <c r="H81" s="648">
        <f t="shared" si="4"/>
        <v>-26392.226571650681</v>
      </c>
      <c r="I81" s="644">
        <v>53769.948283445541</v>
      </c>
      <c r="J81" s="649">
        <f>+Synthèse!H80</f>
        <v>50430.622530869208</v>
      </c>
      <c r="K81" s="649">
        <f t="shared" si="5"/>
        <v>-3339.3257525763329</v>
      </c>
    </row>
    <row r="82" spans="1:11" s="177" customFormat="1" ht="15" x14ac:dyDescent="0.25">
      <c r="A82" s="83">
        <f>Données!A82</f>
        <v>5533</v>
      </c>
      <c r="B82" s="282" t="str">
        <f>Données!B82</f>
        <v>Poliez-Pittet</v>
      </c>
      <c r="C82" s="644">
        <v>409644.19732412638</v>
      </c>
      <c r="D82" s="645">
        <f>+Synthèse!G81</f>
        <v>418699.522964712</v>
      </c>
      <c r="E82" s="646">
        <f t="shared" si="3"/>
        <v>9055.3256405856228</v>
      </c>
      <c r="F82" s="647">
        <v>94535.64086828212</v>
      </c>
      <c r="G82" s="648">
        <f>+Synthèse!F81</f>
        <v>24733.793836368015</v>
      </c>
      <c r="H82" s="648">
        <f t="shared" si="4"/>
        <v>-69801.847031914105</v>
      </c>
      <c r="I82" s="644">
        <v>86124.289066123587</v>
      </c>
      <c r="J82" s="649">
        <f>+Synthèse!H81</f>
        <v>80601.412697468564</v>
      </c>
      <c r="K82" s="649">
        <f t="shared" si="5"/>
        <v>-5522.8763686550228</v>
      </c>
    </row>
    <row r="83" spans="1:11" s="177" customFormat="1" ht="15" x14ac:dyDescent="0.25">
      <c r="A83" s="83">
        <f>Données!A83</f>
        <v>5534</v>
      </c>
      <c r="B83" s="282" t="str">
        <f>Données!B83</f>
        <v>Rueyres</v>
      </c>
      <c r="C83" s="644">
        <v>221022.43828266513</v>
      </c>
      <c r="D83" s="645">
        <f>+Synthèse!G82</f>
        <v>283870.07712339715</v>
      </c>
      <c r="E83" s="646">
        <f t="shared" si="3"/>
        <v>62847.638840732019</v>
      </c>
      <c r="F83" s="647">
        <v>255087.10091733045</v>
      </c>
      <c r="G83" s="648">
        <f>+Synthèse!F82</f>
        <v>312397.91979116848</v>
      </c>
      <c r="H83" s="648">
        <f t="shared" si="4"/>
        <v>57310.818873838027</v>
      </c>
      <c r="I83" s="644">
        <v>45383.556929679558</v>
      </c>
      <c r="J83" s="649">
        <f>+Synthèse!H82</f>
        <v>48205.207907728851</v>
      </c>
      <c r="K83" s="649">
        <f t="shared" si="5"/>
        <v>2821.6509780492925</v>
      </c>
    </row>
    <row r="84" spans="1:11" s="177" customFormat="1" ht="15" x14ac:dyDescent="0.25">
      <c r="A84" s="83">
        <f>Données!A84</f>
        <v>5535</v>
      </c>
      <c r="B84" s="282" t="str">
        <f>Données!B84</f>
        <v>Saint-Barthélemy</v>
      </c>
      <c r="C84" s="644">
        <v>402209.47881868447</v>
      </c>
      <c r="D84" s="645">
        <f>+Synthèse!G83</f>
        <v>376950.80070132512</v>
      </c>
      <c r="E84" s="646">
        <f t="shared" si="3"/>
        <v>-25258.678117359348</v>
      </c>
      <c r="F84" s="647">
        <v>89878.499857864052</v>
      </c>
      <c r="G84" s="648">
        <f>+Synthèse!F83</f>
        <v>48258.174240451714</v>
      </c>
      <c r="H84" s="648">
        <f t="shared" si="4"/>
        <v>-41620.325617412338</v>
      </c>
      <c r="I84" s="644">
        <v>78606.251620643379</v>
      </c>
      <c r="J84" s="649">
        <f>+Synthèse!H83</f>
        <v>78629.373947455766</v>
      </c>
      <c r="K84" s="649">
        <f t="shared" si="5"/>
        <v>23.122326812386746</v>
      </c>
    </row>
    <row r="85" spans="1:11" s="177" customFormat="1" ht="15" x14ac:dyDescent="0.25">
      <c r="A85" s="83">
        <f>Données!A85</f>
        <v>5537</v>
      </c>
      <c r="B85" s="282" t="str">
        <f>Données!B85</f>
        <v>Villars-le-Terroir</v>
      </c>
      <c r="C85" s="644">
        <v>554286.33074841357</v>
      </c>
      <c r="D85" s="645">
        <f>+Synthèse!G84</f>
        <v>499603.81231968186</v>
      </c>
      <c r="E85" s="646">
        <f t="shared" si="3"/>
        <v>-54682.51842873171</v>
      </c>
      <c r="F85" s="647">
        <v>-95428.517910473514</v>
      </c>
      <c r="G85" s="648">
        <f>+Synthèse!F84</f>
        <v>-304406.10961185105</v>
      </c>
      <c r="H85" s="648">
        <f t="shared" si="4"/>
        <v>-208977.59170137753</v>
      </c>
      <c r="I85" s="644">
        <v>119709.46802593456</v>
      </c>
      <c r="J85" s="649">
        <f>+Synthèse!H84</f>
        <v>107548.51798909699</v>
      </c>
      <c r="K85" s="649">
        <f t="shared" si="5"/>
        <v>-12160.950036837574</v>
      </c>
    </row>
    <row r="86" spans="1:11" s="177" customFormat="1" ht="15" x14ac:dyDescent="0.25">
      <c r="A86" s="83">
        <f>Données!A86</f>
        <v>5539</v>
      </c>
      <c r="B86" s="282" t="str">
        <f>Données!B86</f>
        <v>Vuarrens</v>
      </c>
      <c r="C86" s="644">
        <v>536808.30599394254</v>
      </c>
      <c r="D86" s="645">
        <f>+Synthèse!G85</f>
        <v>529520.67587288469</v>
      </c>
      <c r="E86" s="646">
        <f t="shared" si="3"/>
        <v>-7287.6301210578531</v>
      </c>
      <c r="F86" s="647">
        <v>89696.746034813696</v>
      </c>
      <c r="G86" s="648">
        <f>+Synthèse!F85</f>
        <v>20453.618542430573</v>
      </c>
      <c r="H86" s="648">
        <f t="shared" si="4"/>
        <v>-69243.127492383122</v>
      </c>
      <c r="I86" s="644">
        <v>105970.41492013732</v>
      </c>
      <c r="J86" s="649">
        <f>+Synthèse!H85</f>
        <v>102828.86084959039</v>
      </c>
      <c r="K86" s="649">
        <f t="shared" si="5"/>
        <v>-3141.5540705469321</v>
      </c>
    </row>
    <row r="87" spans="1:11" s="177" customFormat="1" ht="15" x14ac:dyDescent="0.25">
      <c r="A87" s="83">
        <f>Données!A87</f>
        <v>5540</v>
      </c>
      <c r="B87" s="282" t="str">
        <f>Données!B87</f>
        <v>Montilliez</v>
      </c>
      <c r="C87" s="644">
        <v>963118.35025245789</v>
      </c>
      <c r="D87" s="645">
        <f>+Synthèse!G86</f>
        <v>818959.03840697405</v>
      </c>
      <c r="E87" s="646">
        <f t="shared" si="3"/>
        <v>-144159.31184548384</v>
      </c>
      <c r="F87" s="647">
        <v>274801.07152447873</v>
      </c>
      <c r="G87" s="648">
        <f>+Synthèse!F86</f>
        <v>95483.70353299845</v>
      </c>
      <c r="H87" s="648">
        <f t="shared" si="4"/>
        <v>-179317.36799148028</v>
      </c>
      <c r="I87" s="644">
        <v>208387.71454207541</v>
      </c>
      <c r="J87" s="649">
        <f>+Synthèse!H86</f>
        <v>192521.69566757692</v>
      </c>
      <c r="K87" s="649">
        <f t="shared" si="5"/>
        <v>-15866.018874498492</v>
      </c>
    </row>
    <row r="88" spans="1:11" s="177" customFormat="1" ht="15" x14ac:dyDescent="0.25">
      <c r="A88" s="83">
        <f>Données!A88</f>
        <v>5541</v>
      </c>
      <c r="B88" s="282" t="str">
        <f>Données!B88</f>
        <v>Goumoëns</v>
      </c>
      <c r="C88" s="644">
        <v>659166.57726559497</v>
      </c>
      <c r="D88" s="645">
        <f>+Synthèse!G87</f>
        <v>485920.09235134197</v>
      </c>
      <c r="E88" s="646">
        <f t="shared" si="3"/>
        <v>-173246.484914253</v>
      </c>
      <c r="F88" s="647">
        <v>280297.57105563604</v>
      </c>
      <c r="G88" s="648">
        <f>+Synthèse!F87</f>
        <v>95064.412465729634</v>
      </c>
      <c r="H88" s="648">
        <f t="shared" si="4"/>
        <v>-185233.15858990641</v>
      </c>
      <c r="I88" s="644">
        <v>129140.81096949095</v>
      </c>
      <c r="J88" s="649">
        <f>+Synthèse!H87</f>
        <v>121737.16293007329</v>
      </c>
      <c r="K88" s="649">
        <f t="shared" si="5"/>
        <v>-7403.6480394176615</v>
      </c>
    </row>
    <row r="89" spans="1:11" s="177" customFormat="1" ht="15" x14ac:dyDescent="0.25">
      <c r="A89" s="83">
        <f>Données!A89</f>
        <v>5551</v>
      </c>
      <c r="B89" s="282" t="str">
        <f>Données!B89</f>
        <v>Bonvillars</v>
      </c>
      <c r="C89" s="644">
        <v>408747.42172587675</v>
      </c>
      <c r="D89" s="645">
        <f>+Synthèse!G88</f>
        <v>289582.52501868282</v>
      </c>
      <c r="E89" s="646">
        <f t="shared" si="3"/>
        <v>-119164.89670719393</v>
      </c>
      <c r="F89" s="647">
        <v>114750.13020613138</v>
      </c>
      <c r="G89" s="648">
        <f>+Synthèse!F88</f>
        <v>168109.60505383828</v>
      </c>
      <c r="H89" s="648">
        <f t="shared" si="4"/>
        <v>53359.474847706908</v>
      </c>
      <c r="I89" s="644">
        <v>55564.85759368031</v>
      </c>
      <c r="J89" s="649">
        <f>+Synthèse!H88</f>
        <v>56109.594732679645</v>
      </c>
      <c r="K89" s="649">
        <f t="shared" si="5"/>
        <v>544.737138999335</v>
      </c>
    </row>
    <row r="90" spans="1:11" s="177" customFormat="1" ht="15" x14ac:dyDescent="0.25">
      <c r="A90" s="83">
        <f>Données!A90</f>
        <v>5552</v>
      </c>
      <c r="B90" s="282" t="str">
        <f>Données!B90</f>
        <v>Bullet</v>
      </c>
      <c r="C90" s="644">
        <v>319175.24948258902</v>
      </c>
      <c r="D90" s="645">
        <f>+Synthèse!G89</f>
        <v>348338.29971618892</v>
      </c>
      <c r="E90" s="646">
        <f t="shared" si="3"/>
        <v>29163.050233599904</v>
      </c>
      <c r="F90" s="647">
        <v>-272762.63542393874</v>
      </c>
      <c r="G90" s="648">
        <f>+Synthèse!F89</f>
        <v>-226485.11422028829</v>
      </c>
      <c r="H90" s="648">
        <f t="shared" si="4"/>
        <v>46277.521203650453</v>
      </c>
      <c r="I90" s="644">
        <v>57847.725852191099</v>
      </c>
      <c r="J90" s="649">
        <f>+Synthèse!H89</f>
        <v>58530.453084469584</v>
      </c>
      <c r="K90" s="649">
        <f t="shared" si="5"/>
        <v>682.72723227848473</v>
      </c>
    </row>
    <row r="91" spans="1:11" s="177" customFormat="1" ht="15" x14ac:dyDescent="0.25">
      <c r="A91" s="83">
        <f>Données!A91</f>
        <v>5553</v>
      </c>
      <c r="B91" s="282" t="str">
        <f>Données!B91</f>
        <v>Champagne</v>
      </c>
      <c r="C91" s="644">
        <v>607112.99605112872</v>
      </c>
      <c r="D91" s="645">
        <f>+Synthèse!G90</f>
        <v>629100.90992041037</v>
      </c>
      <c r="E91" s="646">
        <f t="shared" si="3"/>
        <v>21987.913869281649</v>
      </c>
      <c r="F91" s="647">
        <v>78699.456594997202</v>
      </c>
      <c r="G91" s="648">
        <f>+Synthèse!F90</f>
        <v>-88095.480705778347</v>
      </c>
      <c r="H91" s="648">
        <f t="shared" si="4"/>
        <v>-166794.93730077555</v>
      </c>
      <c r="I91" s="644">
        <v>115997.19703248971</v>
      </c>
      <c r="J91" s="649">
        <f>+Synthèse!H90</f>
        <v>110929.73892976707</v>
      </c>
      <c r="K91" s="649">
        <f t="shared" si="5"/>
        <v>-5067.4581027226377</v>
      </c>
    </row>
    <row r="92" spans="1:11" s="177" customFormat="1" ht="15" x14ac:dyDescent="0.25">
      <c r="A92" s="83">
        <f>Données!A92</f>
        <v>5554</v>
      </c>
      <c r="B92" s="282" t="str">
        <f>Données!B92</f>
        <v>Concise</v>
      </c>
      <c r="C92" s="644">
        <v>557412.09229650267</v>
      </c>
      <c r="D92" s="645">
        <f>+Synthèse!G91</f>
        <v>497244.73879021825</v>
      </c>
      <c r="E92" s="646">
        <f t="shared" si="3"/>
        <v>-60167.353506284417</v>
      </c>
      <c r="F92" s="647">
        <v>14981.285190644441</v>
      </c>
      <c r="G92" s="648">
        <f>+Synthèse!F91</f>
        <v>-106799.20352040569</v>
      </c>
      <c r="H92" s="648">
        <f t="shared" si="4"/>
        <v>-121780.48871105013</v>
      </c>
      <c r="I92" s="644">
        <v>104695.53295111915</v>
      </c>
      <c r="J92" s="649">
        <f>+Synthèse!H91</f>
        <v>97330.810678151727</v>
      </c>
      <c r="K92" s="649">
        <f t="shared" si="5"/>
        <v>-7364.7222729674249</v>
      </c>
    </row>
    <row r="93" spans="1:11" s="177" customFormat="1" ht="15" x14ac:dyDescent="0.25">
      <c r="A93" s="83">
        <f>Données!A93</f>
        <v>5555</v>
      </c>
      <c r="B93" s="282" t="str">
        <f>Données!B93</f>
        <v>Corcelles-près-Concise</v>
      </c>
      <c r="C93" s="644">
        <v>183270.12457836972</v>
      </c>
      <c r="D93" s="645">
        <f>+Synthèse!G92</f>
        <v>230496.73392238375</v>
      </c>
      <c r="E93" s="646">
        <f t="shared" si="3"/>
        <v>47226.609344014025</v>
      </c>
      <c r="F93" s="647">
        <v>-80518.455703882151</v>
      </c>
      <c r="G93" s="648">
        <f>+Synthèse!F92</f>
        <v>-133478.49680125894</v>
      </c>
      <c r="H93" s="648">
        <f t="shared" si="4"/>
        <v>-52960.041097376787</v>
      </c>
      <c r="I93" s="644">
        <v>40585.393082327239</v>
      </c>
      <c r="J93" s="649">
        <f>+Synthèse!H92</f>
        <v>41301.725771945836</v>
      </c>
      <c r="K93" s="649">
        <f t="shared" si="5"/>
        <v>716.33268961859721</v>
      </c>
    </row>
    <row r="94" spans="1:11" s="177" customFormat="1" ht="15" x14ac:dyDescent="0.25">
      <c r="A94" s="83">
        <f>Données!A94</f>
        <v>5556</v>
      </c>
      <c r="B94" s="282" t="str">
        <f>Données!B94</f>
        <v>Fiez</v>
      </c>
      <c r="C94" s="644">
        <v>227899.25764499151</v>
      </c>
      <c r="D94" s="645">
        <f>+Synthèse!G93</f>
        <v>222731.01057397336</v>
      </c>
      <c r="E94" s="646">
        <f t="shared" si="3"/>
        <v>-5168.2470710181515</v>
      </c>
      <c r="F94" s="647">
        <v>-27383.323951592058</v>
      </c>
      <c r="G94" s="648">
        <f>+Synthèse!F93</f>
        <v>-14263.764955872524</v>
      </c>
      <c r="H94" s="648">
        <f t="shared" si="4"/>
        <v>13119.558995719533</v>
      </c>
      <c r="I94" s="644">
        <v>40847.544050241748</v>
      </c>
      <c r="J94" s="649">
        <f>+Synthèse!H93</f>
        <v>37705.406236657553</v>
      </c>
      <c r="K94" s="649">
        <f t="shared" si="5"/>
        <v>-3142.1378135841951</v>
      </c>
    </row>
    <row r="95" spans="1:11" s="177" customFormat="1" ht="15" x14ac:dyDescent="0.25">
      <c r="A95" s="83">
        <f>Données!A95</f>
        <v>5557</v>
      </c>
      <c r="B95" s="282" t="str">
        <f>Données!B95</f>
        <v>Fontaines-sur-Grandson</v>
      </c>
      <c r="C95" s="644">
        <v>72599.314647630774</v>
      </c>
      <c r="D95" s="645">
        <f>+Synthèse!G94</f>
        <v>66973.927881804717</v>
      </c>
      <c r="E95" s="646">
        <f t="shared" si="3"/>
        <v>-5625.3867658260569</v>
      </c>
      <c r="F95" s="647">
        <v>-73923.397287004351</v>
      </c>
      <c r="G95" s="648">
        <f>+Synthèse!F94</f>
        <v>-103700.78731711226</v>
      </c>
      <c r="H95" s="648">
        <f t="shared" si="4"/>
        <v>-29777.390030107912</v>
      </c>
      <c r="I95" s="644">
        <v>15393.25067447796</v>
      </c>
      <c r="J95" s="649">
        <f>+Synthèse!H94</f>
        <v>14984.301997531369</v>
      </c>
      <c r="K95" s="649">
        <f t="shared" si="5"/>
        <v>-408.94867694659115</v>
      </c>
    </row>
    <row r="96" spans="1:11" s="177" customFormat="1" ht="15" x14ac:dyDescent="0.25">
      <c r="A96" s="83">
        <f>Données!A96</f>
        <v>5559</v>
      </c>
      <c r="B96" s="282" t="str">
        <f>Données!B96</f>
        <v>Giez</v>
      </c>
      <c r="C96" s="644">
        <v>324472.33693113062</v>
      </c>
      <c r="D96" s="645">
        <f>+Synthèse!G95</f>
        <v>294200.38813640748</v>
      </c>
      <c r="E96" s="646">
        <f t="shared" si="3"/>
        <v>-30271.948794723139</v>
      </c>
      <c r="F96" s="647">
        <v>324681.88808704686</v>
      </c>
      <c r="G96" s="648">
        <f>+Synthèse!F95</f>
        <v>351584.95523124607</v>
      </c>
      <c r="H96" s="648">
        <f t="shared" si="4"/>
        <v>26903.067144199216</v>
      </c>
      <c r="I96" s="644">
        <v>65200.896224047363</v>
      </c>
      <c r="J96" s="649">
        <f>+Synthèse!H95</f>
        <v>68886.695640496633</v>
      </c>
      <c r="K96" s="649">
        <f t="shared" si="5"/>
        <v>3685.7994164492702</v>
      </c>
    </row>
    <row r="97" spans="1:11" s="177" customFormat="1" ht="15" x14ac:dyDescent="0.25">
      <c r="A97" s="83">
        <f>Données!A97</f>
        <v>5560</v>
      </c>
      <c r="B97" s="282" t="str">
        <f>Données!B97</f>
        <v>Grandevent</v>
      </c>
      <c r="C97" s="644">
        <v>139084.93736625719</v>
      </c>
      <c r="D97" s="645">
        <f>+Synthèse!G96</f>
        <v>104466.73655231285</v>
      </c>
      <c r="E97" s="646">
        <f t="shared" si="3"/>
        <v>-34618.200813944335</v>
      </c>
      <c r="F97" s="647">
        <v>91037.566923112172</v>
      </c>
      <c r="G97" s="648">
        <f>+Synthèse!F96</f>
        <v>-126407.01346589625</v>
      </c>
      <c r="H97" s="648">
        <f t="shared" si="4"/>
        <v>-217444.58038900842</v>
      </c>
      <c r="I97" s="644">
        <v>27884.817258882103</v>
      </c>
      <c r="J97" s="649">
        <f>+Synthèse!H96</f>
        <v>23681.181735699916</v>
      </c>
      <c r="K97" s="649">
        <f t="shared" si="5"/>
        <v>-4203.6355231821872</v>
      </c>
    </row>
    <row r="98" spans="1:11" s="177" customFormat="1" ht="15" x14ac:dyDescent="0.25">
      <c r="A98" s="83">
        <f>Données!A98</f>
        <v>5561</v>
      </c>
      <c r="B98" s="282" t="str">
        <f>Données!B98</f>
        <v>Grandson</v>
      </c>
      <c r="C98" s="644">
        <v>2096166.9160048661</v>
      </c>
      <c r="D98" s="645">
        <f>+Synthèse!G97</f>
        <v>1874904.0913321325</v>
      </c>
      <c r="E98" s="646">
        <f t="shared" si="3"/>
        <v>-221262.82467273367</v>
      </c>
      <c r="F98" s="647">
        <v>50517.429618182592</v>
      </c>
      <c r="G98" s="648">
        <f>+Synthèse!F97</f>
        <v>-576576.21658864105</v>
      </c>
      <c r="H98" s="648">
        <f t="shared" si="4"/>
        <v>-627093.64620682364</v>
      </c>
      <c r="I98" s="644">
        <v>408568.15733757184</v>
      </c>
      <c r="J98" s="649">
        <f>+Synthèse!H97</f>
        <v>370408.46061015531</v>
      </c>
      <c r="K98" s="649">
        <f t="shared" si="5"/>
        <v>-38159.696727416536</v>
      </c>
    </row>
    <row r="99" spans="1:11" s="177" customFormat="1" ht="15" x14ac:dyDescent="0.25">
      <c r="A99" s="83">
        <f>Données!A99</f>
        <v>5562</v>
      </c>
      <c r="B99" s="282" t="str">
        <f>Données!B99</f>
        <v>Mauborget</v>
      </c>
      <c r="C99" s="644">
        <v>61039.132770048855</v>
      </c>
      <c r="D99" s="645">
        <f>+Synthèse!G98</f>
        <v>74150.684643154411</v>
      </c>
      <c r="E99" s="646">
        <f t="shared" si="3"/>
        <v>13111.551873105556</v>
      </c>
      <c r="F99" s="647">
        <v>20646.700524317988</v>
      </c>
      <c r="G99" s="648">
        <f>+Synthèse!F98</f>
        <v>-27374.110421892809</v>
      </c>
      <c r="H99" s="648">
        <f t="shared" si="4"/>
        <v>-48020.810946210797</v>
      </c>
      <c r="I99" s="644">
        <v>13950.438182349579</v>
      </c>
      <c r="J99" s="649">
        <f>+Synthèse!H98</f>
        <v>13258.633070732922</v>
      </c>
      <c r="K99" s="649">
        <f t="shared" si="5"/>
        <v>-691.80511161665709</v>
      </c>
    </row>
    <row r="100" spans="1:11" s="177" customFormat="1" ht="15" x14ac:dyDescent="0.25">
      <c r="A100" s="83">
        <f>Données!A100</f>
        <v>5563</v>
      </c>
      <c r="B100" s="282" t="str">
        <f>Données!B100</f>
        <v>Mutrux</v>
      </c>
      <c r="C100" s="644">
        <v>59369.6455332193</v>
      </c>
      <c r="D100" s="645">
        <f>+Synthèse!G99</f>
        <v>64824.831358786607</v>
      </c>
      <c r="E100" s="646">
        <f t="shared" si="3"/>
        <v>5455.1858255673069</v>
      </c>
      <c r="F100" s="647">
        <v>-127117.21757113065</v>
      </c>
      <c r="G100" s="648">
        <f>+Synthèse!F99</f>
        <v>-80906.088030978251</v>
      </c>
      <c r="H100" s="648">
        <f t="shared" si="4"/>
        <v>46211.129540152397</v>
      </c>
      <c r="I100" s="644">
        <v>6834.1838033138119</v>
      </c>
      <c r="J100" s="649">
        <f>+Synthèse!H99</f>
        <v>11988.379991165732</v>
      </c>
      <c r="K100" s="649">
        <f t="shared" si="5"/>
        <v>5154.1961878519196</v>
      </c>
    </row>
    <row r="101" spans="1:11" s="177" customFormat="1" ht="15" x14ac:dyDescent="0.25">
      <c r="A101" s="83">
        <f>Données!A101</f>
        <v>5564</v>
      </c>
      <c r="B101" s="282" t="str">
        <f>Données!B101</f>
        <v>Novalles</v>
      </c>
      <c r="C101" s="644">
        <v>31856.697869139323</v>
      </c>
      <c r="D101" s="645">
        <f>+Synthèse!G100</f>
        <v>34236.054245328196</v>
      </c>
      <c r="E101" s="646">
        <f t="shared" si="3"/>
        <v>2379.3563761888727</v>
      </c>
      <c r="F101" s="647">
        <v>-48063.870113386889</v>
      </c>
      <c r="G101" s="648">
        <f>+Synthèse!F100</f>
        <v>-42463.769829552919</v>
      </c>
      <c r="H101" s="648">
        <f t="shared" si="4"/>
        <v>5600.10028383397</v>
      </c>
      <c r="I101" s="644">
        <v>7884.9918985030026</v>
      </c>
      <c r="J101" s="649">
        <f>+Synthèse!H100</f>
        <v>7296.7918043004693</v>
      </c>
      <c r="K101" s="649">
        <f t="shared" si="5"/>
        <v>-588.20009420253336</v>
      </c>
    </row>
    <row r="102" spans="1:11" s="177" customFormat="1" ht="15" x14ac:dyDescent="0.25">
      <c r="A102" s="83">
        <f>Données!A102</f>
        <v>5565</v>
      </c>
      <c r="B102" s="282" t="str">
        <f>Données!B102</f>
        <v>Onnens</v>
      </c>
      <c r="C102" s="644">
        <v>276656.70968822821</v>
      </c>
      <c r="D102" s="645">
        <f>+Synthèse!G101</f>
        <v>305004.64340168016</v>
      </c>
      <c r="E102" s="646">
        <f t="shared" si="3"/>
        <v>28347.933713451959</v>
      </c>
      <c r="F102" s="647">
        <v>145022.63792117365</v>
      </c>
      <c r="G102" s="648">
        <f>+Synthèse!F101</f>
        <v>164828.99872060056</v>
      </c>
      <c r="H102" s="648">
        <f t="shared" si="4"/>
        <v>19806.360799426911</v>
      </c>
      <c r="I102" s="644">
        <v>56838.260549688901</v>
      </c>
      <c r="J102" s="649">
        <f>+Synthèse!H101</f>
        <v>58047.50431458863</v>
      </c>
      <c r="K102" s="649">
        <f t="shared" si="5"/>
        <v>1209.2437648997293</v>
      </c>
    </row>
    <row r="103" spans="1:11" s="177" customFormat="1" ht="15" x14ac:dyDescent="0.25">
      <c r="A103" s="83">
        <f>Données!A103</f>
        <v>5566</v>
      </c>
      <c r="B103" s="282" t="str">
        <f>Données!B103</f>
        <v>Provence</v>
      </c>
      <c r="C103" s="644">
        <v>145531.69493957912</v>
      </c>
      <c r="D103" s="645">
        <f>+Synthèse!G102</f>
        <v>209941.00753408414</v>
      </c>
      <c r="E103" s="646">
        <f t="shared" si="3"/>
        <v>64409.312594505027</v>
      </c>
      <c r="F103" s="647">
        <v>-495171.09868028777</v>
      </c>
      <c r="G103" s="648">
        <f>+Synthèse!F102</f>
        <v>-486749.14607116871</v>
      </c>
      <c r="H103" s="648">
        <f t="shared" si="4"/>
        <v>8421.9526091190637</v>
      </c>
      <c r="I103" s="644">
        <v>26107.265251665125</v>
      </c>
      <c r="J103" s="649">
        <f>+Synthèse!H102</f>
        <v>33678.975113176828</v>
      </c>
      <c r="K103" s="649">
        <f t="shared" si="5"/>
        <v>7571.7098615117029</v>
      </c>
    </row>
    <row r="104" spans="1:11" s="177" customFormat="1" ht="15" x14ac:dyDescent="0.25">
      <c r="A104" s="83">
        <f>Données!A104</f>
        <v>5568</v>
      </c>
      <c r="B104" s="282" t="str">
        <f>Données!B104</f>
        <v>Sainte-Croix</v>
      </c>
      <c r="C104" s="644">
        <v>2401244.9565260247</v>
      </c>
      <c r="D104" s="645">
        <f>+Synthèse!G103</f>
        <v>2459410.6741200946</v>
      </c>
      <c r="E104" s="646">
        <f t="shared" si="3"/>
        <v>58165.717594069894</v>
      </c>
      <c r="F104" s="647">
        <v>-4102555.0842011091</v>
      </c>
      <c r="G104" s="648">
        <f>+Synthèse!F103</f>
        <v>-4304339.4945801739</v>
      </c>
      <c r="H104" s="648">
        <f t="shared" si="4"/>
        <v>-201784.41037906474</v>
      </c>
      <c r="I104" s="644">
        <v>323480.4570459933</v>
      </c>
      <c r="J104" s="649">
        <f>+Synthèse!H103</f>
        <v>336199.98062414222</v>
      </c>
      <c r="K104" s="649">
        <f t="shared" si="5"/>
        <v>12719.523578148917</v>
      </c>
    </row>
    <row r="105" spans="1:11" s="177" customFormat="1" ht="15" x14ac:dyDescent="0.25">
      <c r="A105" s="83">
        <f>Données!A105</f>
        <v>5571</v>
      </c>
      <c r="B105" s="282" t="str">
        <f>Données!B105</f>
        <v>Tévenon</v>
      </c>
      <c r="C105" s="644">
        <v>380543.66121344385</v>
      </c>
      <c r="D105" s="645">
        <f>+Synthèse!G104</f>
        <v>431839.53095926234</v>
      </c>
      <c r="E105" s="646">
        <f t="shared" si="3"/>
        <v>51295.869745818491</v>
      </c>
      <c r="F105" s="647">
        <v>-102464.17819144402</v>
      </c>
      <c r="G105" s="648">
        <f>+Synthèse!F104</f>
        <v>-87013.74810330011</v>
      </c>
      <c r="H105" s="648">
        <f t="shared" si="4"/>
        <v>15450.430088143912</v>
      </c>
      <c r="I105" s="644">
        <v>78936.268514294483</v>
      </c>
      <c r="J105" s="649">
        <f>+Synthèse!H104</f>
        <v>76549.449814131891</v>
      </c>
      <c r="K105" s="649">
        <f t="shared" si="5"/>
        <v>-2386.818700162592</v>
      </c>
    </row>
    <row r="106" spans="1:11" s="177" customFormat="1" ht="15" x14ac:dyDescent="0.25">
      <c r="A106" s="83">
        <f>Données!A106</f>
        <v>5581</v>
      </c>
      <c r="B106" s="282" t="str">
        <f>Données!B106</f>
        <v>Belmont-sur-Lausanne</v>
      </c>
      <c r="C106" s="644">
        <v>4353966.1553163454</v>
      </c>
      <c r="D106" s="645">
        <f>+Synthèse!G105</f>
        <v>4190414.0992704723</v>
      </c>
      <c r="E106" s="646">
        <f t="shared" si="3"/>
        <v>-163552.05604587309</v>
      </c>
      <c r="F106" s="647">
        <v>2208101.3195590535</v>
      </c>
      <c r="G106" s="648">
        <f>+Synthèse!F105</f>
        <v>2350447.3526676525</v>
      </c>
      <c r="H106" s="648">
        <f t="shared" si="4"/>
        <v>142346.03310859902</v>
      </c>
      <c r="I106" s="644">
        <v>289941.65533330425</v>
      </c>
      <c r="J106" s="649">
        <f>+Synthèse!H105</f>
        <v>277468.09689657384</v>
      </c>
      <c r="K106" s="649">
        <f t="shared" si="5"/>
        <v>-12473.558436730411</v>
      </c>
    </row>
    <row r="107" spans="1:11" s="177" customFormat="1" ht="15" x14ac:dyDescent="0.25">
      <c r="A107" s="83">
        <f>Données!A107</f>
        <v>5582</v>
      </c>
      <c r="B107" s="282" t="str">
        <f>Données!B107</f>
        <v>Cheseaux-sur-Lausanne</v>
      </c>
      <c r="C107" s="644">
        <v>2575940.2872761074</v>
      </c>
      <c r="D107" s="645">
        <f>+Synthèse!G106</f>
        <v>2524605.7924239021</v>
      </c>
      <c r="E107" s="646">
        <f t="shared" si="3"/>
        <v>-51334.494852205273</v>
      </c>
      <c r="F107" s="647">
        <v>213965.88327320572</v>
      </c>
      <c r="G107" s="648">
        <f>+Synthèse!F106</f>
        <v>-248187.00871861866</v>
      </c>
      <c r="H107" s="648">
        <f t="shared" si="4"/>
        <v>-462152.89199182438</v>
      </c>
      <c r="I107" s="644">
        <v>521631.98735637439</v>
      </c>
      <c r="J107" s="649">
        <f>+Synthèse!H106</f>
        <v>529146.15463485639</v>
      </c>
      <c r="K107" s="649">
        <f t="shared" si="5"/>
        <v>7514.1672784819966</v>
      </c>
    </row>
    <row r="108" spans="1:11" s="177" customFormat="1" ht="15" x14ac:dyDescent="0.25">
      <c r="A108" s="83">
        <f>Données!A108</f>
        <v>5583</v>
      </c>
      <c r="B108" s="282" t="str">
        <f>Données!B108</f>
        <v>Crissier</v>
      </c>
      <c r="C108" s="644">
        <v>6463557.0911694467</v>
      </c>
      <c r="D108" s="645">
        <f>+Synthèse!G107</f>
        <v>8664885.8920174744</v>
      </c>
      <c r="E108" s="646">
        <f t="shared" si="3"/>
        <v>2201328.8008480277</v>
      </c>
      <c r="F108" s="647">
        <v>-2990376.2937987205</v>
      </c>
      <c r="G108" s="648">
        <f>+Synthèse!F107</f>
        <v>-1922901.2609019298</v>
      </c>
      <c r="H108" s="648">
        <f t="shared" si="4"/>
        <v>1067475.0328967907</v>
      </c>
      <c r="I108" s="644">
        <v>422441.77397572057</v>
      </c>
      <c r="J108" s="649">
        <f>+Synthèse!H107</f>
        <v>512782.43542026734</v>
      </c>
      <c r="K108" s="649">
        <f t="shared" si="5"/>
        <v>90340.661444546771</v>
      </c>
    </row>
    <row r="109" spans="1:11" s="177" customFormat="1" ht="15" x14ac:dyDescent="0.25">
      <c r="A109" s="83">
        <f>Données!A109</f>
        <v>5584</v>
      </c>
      <c r="B109" s="282" t="str">
        <f>Données!B109</f>
        <v>Epalinges</v>
      </c>
      <c r="C109" s="644">
        <v>8825163.4876215328</v>
      </c>
      <c r="D109" s="645">
        <f>+Synthèse!G108</f>
        <v>7855719.4240602758</v>
      </c>
      <c r="E109" s="646">
        <f t="shared" si="3"/>
        <v>-969444.06356125697</v>
      </c>
      <c r="F109" s="647">
        <v>71638.251515099779</v>
      </c>
      <c r="G109" s="648">
        <f>+Synthèse!F108</f>
        <v>750307.85175055452</v>
      </c>
      <c r="H109" s="648">
        <f t="shared" si="4"/>
        <v>678669.60023545474</v>
      </c>
      <c r="I109" s="644">
        <v>1474168.8404793523</v>
      </c>
      <c r="J109" s="649">
        <f>+Synthèse!H108</f>
        <v>1505207.6541792545</v>
      </c>
      <c r="K109" s="649">
        <f t="shared" si="5"/>
        <v>31038.813699902268</v>
      </c>
    </row>
    <row r="110" spans="1:11" s="177" customFormat="1" ht="15" x14ac:dyDescent="0.25">
      <c r="A110" s="83">
        <f>Données!A110</f>
        <v>5585</v>
      </c>
      <c r="B110" s="282" t="str">
        <f>Données!B110</f>
        <v>Jouxtens-Mézery</v>
      </c>
      <c r="C110" s="644">
        <v>6431430.7855759468</v>
      </c>
      <c r="D110" s="645">
        <f>+Synthèse!G109</f>
        <v>5744263.6284292508</v>
      </c>
      <c r="E110" s="646">
        <f t="shared" si="3"/>
        <v>-687167.157146696</v>
      </c>
      <c r="F110" s="647">
        <v>3824937.5185898365</v>
      </c>
      <c r="G110" s="648">
        <f>+Synthèse!F109</f>
        <v>3765405.8361191163</v>
      </c>
      <c r="H110" s="648">
        <f t="shared" si="4"/>
        <v>-59531.682470720261</v>
      </c>
      <c r="I110" s="644">
        <v>390750.19200307789</v>
      </c>
      <c r="J110" s="649">
        <f>+Synthèse!H109</f>
        <v>370037.88931462599</v>
      </c>
      <c r="K110" s="649">
        <f t="shared" si="5"/>
        <v>-20712.302688451891</v>
      </c>
    </row>
    <row r="111" spans="1:11" s="177" customFormat="1" ht="15" x14ac:dyDescent="0.25">
      <c r="A111" s="83">
        <f>Données!A111</f>
        <v>5586</v>
      </c>
      <c r="B111" s="282" t="str">
        <f>Données!B111</f>
        <v>Lausanne</v>
      </c>
      <c r="C111" s="644">
        <v>106578434.27141744</v>
      </c>
      <c r="D111" s="645">
        <f>+Synthèse!G110</f>
        <v>103000624.52555378</v>
      </c>
      <c r="E111" s="646">
        <f t="shared" si="3"/>
        <v>-3577809.7458636612</v>
      </c>
      <c r="F111" s="647">
        <v>-69926171.246062219</v>
      </c>
      <c r="G111" s="648">
        <f>+Synthèse!F110</f>
        <v>-74796981.416891277</v>
      </c>
      <c r="H111" s="648">
        <f t="shared" si="4"/>
        <v>-4870810.1708290577</v>
      </c>
      <c r="I111" s="644">
        <v>8277387.7644193405</v>
      </c>
      <c r="J111" s="649">
        <f>+Synthèse!H110</f>
        <v>7895964.4463376896</v>
      </c>
      <c r="K111" s="649">
        <f t="shared" si="5"/>
        <v>-381423.31808165088</v>
      </c>
    </row>
    <row r="112" spans="1:11" s="177" customFormat="1" ht="15" x14ac:dyDescent="0.25">
      <c r="A112" s="83">
        <f>Données!A112</f>
        <v>5587</v>
      </c>
      <c r="B112" s="282" t="str">
        <f>Données!B112</f>
        <v>Le Mont-sur-Lausanne</v>
      </c>
      <c r="C112" s="644">
        <v>8965034.3213823959</v>
      </c>
      <c r="D112" s="645">
        <f>+Synthèse!G111</f>
        <v>8814985.2751067095</v>
      </c>
      <c r="E112" s="646">
        <f t="shared" si="3"/>
        <v>-150049.04627568647</v>
      </c>
      <c r="F112" s="647">
        <v>2410481.9497978948</v>
      </c>
      <c r="G112" s="648">
        <f>+Synthèse!F111</f>
        <v>2684973.6488170326</v>
      </c>
      <c r="H112" s="648">
        <f t="shared" si="4"/>
        <v>274491.69901913777</v>
      </c>
      <c r="I112" s="644">
        <v>1420505.7850190685</v>
      </c>
      <c r="J112" s="649">
        <f>+Synthèse!H111</f>
        <v>1457755.7714975716</v>
      </c>
      <c r="K112" s="649">
        <f t="shared" si="5"/>
        <v>37249.986478503095</v>
      </c>
    </row>
    <row r="113" spans="1:11" s="177" customFormat="1" ht="15" x14ac:dyDescent="0.25">
      <c r="A113" s="83">
        <f>Données!A113</f>
        <v>5588</v>
      </c>
      <c r="B113" s="282" t="str">
        <f>Données!B113</f>
        <v>Paudex</v>
      </c>
      <c r="C113" s="644">
        <v>3350810.0468021664</v>
      </c>
      <c r="D113" s="645">
        <f>+Synthèse!G112</f>
        <v>3852971.2463153526</v>
      </c>
      <c r="E113" s="646">
        <f t="shared" si="3"/>
        <v>502161.19951318623</v>
      </c>
      <c r="F113" s="647">
        <v>2363217.5819076379</v>
      </c>
      <c r="G113" s="648">
        <f>+Synthèse!F112</f>
        <v>2654547.2641280517</v>
      </c>
      <c r="H113" s="648">
        <f t="shared" si="4"/>
        <v>291329.68222041382</v>
      </c>
      <c r="I113" s="644">
        <v>170670.06979779911</v>
      </c>
      <c r="J113" s="649">
        <f>+Synthèse!H112</f>
        <v>170560.34276163491</v>
      </c>
      <c r="K113" s="649">
        <f t="shared" si="5"/>
        <v>-109.7270361642004</v>
      </c>
    </row>
    <row r="114" spans="1:11" s="177" customFormat="1" ht="15" x14ac:dyDescent="0.25">
      <c r="A114" s="83">
        <f>Données!A114</f>
        <v>5589</v>
      </c>
      <c r="B114" s="282" t="str">
        <f>Données!B114</f>
        <v>Prilly</v>
      </c>
      <c r="C114" s="644">
        <v>6795978.0839818399</v>
      </c>
      <c r="D114" s="645">
        <f>+Synthèse!G113</f>
        <v>7724337.7238320317</v>
      </c>
      <c r="E114" s="646">
        <f t="shared" si="3"/>
        <v>928359.63985019177</v>
      </c>
      <c r="F114" s="647">
        <v>-6796919.7343278555</v>
      </c>
      <c r="G114" s="648">
        <f>+Synthèse!F113</f>
        <v>-7168110.7066572085</v>
      </c>
      <c r="H114" s="648">
        <f t="shared" si="4"/>
        <v>-371190.97232935298</v>
      </c>
      <c r="I114" s="644">
        <v>501510.9250462848</v>
      </c>
      <c r="J114" s="649">
        <f>+Synthèse!H113</f>
        <v>497318.46742941317</v>
      </c>
      <c r="K114" s="649">
        <f t="shared" si="5"/>
        <v>-4192.4576168716303</v>
      </c>
    </row>
    <row r="115" spans="1:11" s="177" customFormat="1" ht="15" x14ac:dyDescent="0.25">
      <c r="A115" s="83">
        <f>Données!A115</f>
        <v>5590</v>
      </c>
      <c r="B115" s="282" t="str">
        <f>Données!B115</f>
        <v>Pully</v>
      </c>
      <c r="C115" s="644">
        <v>29866058.971306089</v>
      </c>
      <c r="D115" s="645">
        <f>+Synthèse!G114</f>
        <v>38495129.811477527</v>
      </c>
      <c r="E115" s="646">
        <f t="shared" si="3"/>
        <v>8629070.8401714377</v>
      </c>
      <c r="F115" s="647">
        <v>8269418.3332354538</v>
      </c>
      <c r="G115" s="648">
        <f>+Synthèse!F114</f>
        <v>14597424.203409858</v>
      </c>
      <c r="H115" s="648">
        <f t="shared" si="4"/>
        <v>6328005.8701744042</v>
      </c>
      <c r="I115" s="644">
        <v>1732709.888572685</v>
      </c>
      <c r="J115" s="649">
        <f>+Synthèse!H114</f>
        <v>1876654.7804283847</v>
      </c>
      <c r="K115" s="649">
        <f t="shared" si="5"/>
        <v>143944.89185569971</v>
      </c>
    </row>
    <row r="116" spans="1:11" s="177" customFormat="1" ht="15" x14ac:dyDescent="0.25">
      <c r="A116" s="83">
        <f>Données!A116</f>
        <v>5591</v>
      </c>
      <c r="B116" s="282" t="str">
        <f>Données!B116</f>
        <v>Renens</v>
      </c>
      <c r="C116" s="644">
        <v>10357581.986091323</v>
      </c>
      <c r="D116" s="645">
        <f>+Synthèse!G115</f>
        <v>9662844.1040050238</v>
      </c>
      <c r="E116" s="646">
        <f t="shared" si="3"/>
        <v>-694737.88208629936</v>
      </c>
      <c r="F116" s="647">
        <v>-22707465.590219494</v>
      </c>
      <c r="G116" s="648">
        <f>+Synthèse!F115</f>
        <v>-23330554.458534453</v>
      </c>
      <c r="H116" s="648">
        <f t="shared" si="4"/>
        <v>-623088.86831495911</v>
      </c>
      <c r="I116" s="644">
        <v>735612.20169404952</v>
      </c>
      <c r="J116" s="649">
        <f>+Synthèse!H115</f>
        <v>704801.75080882292</v>
      </c>
      <c r="K116" s="649">
        <f t="shared" si="5"/>
        <v>-30810.450885226601</v>
      </c>
    </row>
    <row r="117" spans="1:11" s="177" customFormat="1" ht="15" x14ac:dyDescent="0.25">
      <c r="A117" s="83">
        <f>Données!A117</f>
        <v>5592</v>
      </c>
      <c r="B117" s="282" t="str">
        <f>Données!B117</f>
        <v>Romanel-sur-Lausanne</v>
      </c>
      <c r="C117" s="644">
        <v>2203819.6143238051</v>
      </c>
      <c r="D117" s="645">
        <f>+Synthèse!G116</f>
        <v>2383366.9575497033</v>
      </c>
      <c r="E117" s="646">
        <f t="shared" si="3"/>
        <v>179547.34322589822</v>
      </c>
      <c r="F117" s="647">
        <v>-738368.602726785</v>
      </c>
      <c r="G117" s="648">
        <f>+Synthèse!F116</f>
        <v>-253547.19410759537</v>
      </c>
      <c r="H117" s="648">
        <f t="shared" si="4"/>
        <v>484821.40861918963</v>
      </c>
      <c r="I117" s="644">
        <v>340422.55463210528</v>
      </c>
      <c r="J117" s="649">
        <f>+Synthèse!H116</f>
        <v>428269.14991587144</v>
      </c>
      <c r="K117" s="649">
        <f t="shared" si="5"/>
        <v>87846.595283766161</v>
      </c>
    </row>
    <row r="118" spans="1:11" s="177" customFormat="1" ht="15" x14ac:dyDescent="0.25">
      <c r="A118" s="83">
        <f>Données!A118</f>
        <v>5601</v>
      </c>
      <c r="B118" s="282" t="str">
        <f>Données!B118</f>
        <v>Chexbres</v>
      </c>
      <c r="C118" s="644">
        <v>1790442.1300433641</v>
      </c>
      <c r="D118" s="645">
        <f>+Synthèse!G117</f>
        <v>1998638.3720959027</v>
      </c>
      <c r="E118" s="646">
        <f t="shared" si="3"/>
        <v>208196.24205253855</v>
      </c>
      <c r="F118" s="647">
        <v>1154098.8687060853</v>
      </c>
      <c r="G118" s="648">
        <f>+Synthèse!F117</f>
        <v>1241008.456872487</v>
      </c>
      <c r="H118" s="648">
        <f t="shared" si="4"/>
        <v>86909.588166401722</v>
      </c>
      <c r="I118" s="644">
        <v>131545.8282946033</v>
      </c>
      <c r="J118" s="649">
        <f>+Synthèse!H117</f>
        <v>124734.36613366325</v>
      </c>
      <c r="K118" s="649">
        <f t="shared" si="5"/>
        <v>-6811.4621609400492</v>
      </c>
    </row>
    <row r="119" spans="1:11" s="177" customFormat="1" ht="15" x14ac:dyDescent="0.25">
      <c r="A119" s="83">
        <f>Données!A119</f>
        <v>5604</v>
      </c>
      <c r="B119" s="282" t="str">
        <f>Données!B119</f>
        <v>Forel (Lavaux)</v>
      </c>
      <c r="C119" s="644">
        <v>1115278.9086995665</v>
      </c>
      <c r="D119" s="645">
        <f>+Synthèse!G118</f>
        <v>1031444.2419639383</v>
      </c>
      <c r="E119" s="646">
        <f t="shared" si="3"/>
        <v>-83834.666735628154</v>
      </c>
      <c r="F119" s="647">
        <v>-83588.694971107878</v>
      </c>
      <c r="G119" s="648">
        <f>+Synthèse!F118</f>
        <v>-21631.913569610566</v>
      </c>
      <c r="H119" s="648">
        <f t="shared" si="4"/>
        <v>61956.781401497312</v>
      </c>
      <c r="I119" s="644">
        <v>216872.72727299086</v>
      </c>
      <c r="J119" s="649">
        <f>+Synthèse!H118</f>
        <v>217640.97728842925</v>
      </c>
      <c r="K119" s="649">
        <f t="shared" si="5"/>
        <v>768.2500154383888</v>
      </c>
    </row>
    <row r="120" spans="1:11" s="177" customFormat="1" ht="15" x14ac:dyDescent="0.25">
      <c r="A120" s="83">
        <f>Données!A120</f>
        <v>5606</v>
      </c>
      <c r="B120" s="282" t="str">
        <f>Données!B120</f>
        <v>Lutry</v>
      </c>
      <c r="C120" s="644">
        <v>24893155.409536242</v>
      </c>
      <c r="D120" s="645">
        <f>+Synthèse!G119</f>
        <v>21928511.401554618</v>
      </c>
      <c r="E120" s="646">
        <f t="shared" si="3"/>
        <v>-2964644.0079816245</v>
      </c>
      <c r="F120" s="647">
        <v>12044951.640822321</v>
      </c>
      <c r="G120" s="648">
        <f>+Synthèse!F119</f>
        <v>10960644.570807196</v>
      </c>
      <c r="H120" s="648">
        <f t="shared" si="4"/>
        <v>-1084307.070015125</v>
      </c>
      <c r="I120" s="644">
        <v>1262529.4789992131</v>
      </c>
      <c r="J120" s="649">
        <f>+Synthèse!H119</f>
        <v>1086724.6611971646</v>
      </c>
      <c r="K120" s="649">
        <f t="shared" si="5"/>
        <v>-175804.81780204852</v>
      </c>
    </row>
    <row r="121" spans="1:11" s="177" customFormat="1" ht="15" x14ac:dyDescent="0.25">
      <c r="A121" s="83">
        <f>Données!A121</f>
        <v>5607</v>
      </c>
      <c r="B121" s="282" t="str">
        <f>Données!B121</f>
        <v>Puidoux</v>
      </c>
      <c r="C121" s="644">
        <v>2145384.4094303939</v>
      </c>
      <c r="D121" s="645">
        <f>+Synthèse!G120</f>
        <v>1774635.1912794844</v>
      </c>
      <c r="E121" s="646">
        <f t="shared" si="3"/>
        <v>-370749.21815090952</v>
      </c>
      <c r="F121" s="647">
        <v>-98796.622046491597</v>
      </c>
      <c r="G121" s="648">
        <f>+Synthèse!F120</f>
        <v>702333.78433068655</v>
      </c>
      <c r="H121" s="648">
        <f t="shared" si="4"/>
        <v>801130.40637717815</v>
      </c>
      <c r="I121" s="644">
        <v>145783.98062724975</v>
      </c>
      <c r="J121" s="649">
        <f>+Synthèse!H120</f>
        <v>153699.08799754773</v>
      </c>
      <c r="K121" s="649">
        <f t="shared" si="5"/>
        <v>7915.1073702979775</v>
      </c>
    </row>
    <row r="122" spans="1:11" s="177" customFormat="1" ht="15" x14ac:dyDescent="0.25">
      <c r="A122" s="83">
        <f>Données!A122</f>
        <v>5609</v>
      </c>
      <c r="B122" s="282" t="str">
        <f>Données!B122</f>
        <v>Rivaz</v>
      </c>
      <c r="C122" s="644">
        <v>257188.48427790491</v>
      </c>
      <c r="D122" s="645">
        <f>+Synthèse!G121</f>
        <v>230684.52329828913</v>
      </c>
      <c r="E122" s="646">
        <f t="shared" si="3"/>
        <v>-26503.960979615775</v>
      </c>
      <c r="F122" s="647">
        <v>159753.7654847395</v>
      </c>
      <c r="G122" s="648">
        <f>+Synthèse!F121</f>
        <v>188883.53653676843</v>
      </c>
      <c r="H122" s="648">
        <f t="shared" si="4"/>
        <v>29129.771052028926</v>
      </c>
      <c r="I122" s="644">
        <v>18525.719331905653</v>
      </c>
      <c r="J122" s="649">
        <f>+Synthèse!H121</f>
        <v>17536.954203970639</v>
      </c>
      <c r="K122" s="649">
        <f t="shared" si="5"/>
        <v>-988.76512793501388</v>
      </c>
    </row>
    <row r="123" spans="1:11" s="177" customFormat="1" ht="15" x14ac:dyDescent="0.25">
      <c r="A123" s="83">
        <f>Données!A123</f>
        <v>5610</v>
      </c>
      <c r="B123" s="282" t="str">
        <f>Données!B123</f>
        <v>St-Saphorin (Lavaux)</v>
      </c>
      <c r="C123" s="644">
        <v>333814.24427525554</v>
      </c>
      <c r="D123" s="645">
        <f>+Synthèse!G122</f>
        <v>228461.61860722111</v>
      </c>
      <c r="E123" s="646">
        <f t="shared" si="3"/>
        <v>-105352.62566803442</v>
      </c>
      <c r="F123" s="647">
        <v>358372.76535761351</v>
      </c>
      <c r="G123" s="648">
        <f>+Synthèse!F122</f>
        <v>63874.610736090166</v>
      </c>
      <c r="H123" s="648">
        <f t="shared" si="4"/>
        <v>-294498.15462152334</v>
      </c>
      <c r="I123" s="644">
        <v>26462.444068017299</v>
      </c>
      <c r="J123" s="649">
        <f>+Synthèse!H122</f>
        <v>19878.55398764219</v>
      </c>
      <c r="K123" s="649">
        <f t="shared" si="5"/>
        <v>-6583.8900803751094</v>
      </c>
    </row>
    <row r="124" spans="1:11" s="177" customFormat="1" ht="15" x14ac:dyDescent="0.25">
      <c r="A124" s="83">
        <f>Données!A124</f>
        <v>5611</v>
      </c>
      <c r="B124" s="282" t="str">
        <f>Données!B124</f>
        <v>Savigny</v>
      </c>
      <c r="C124" s="644">
        <v>2201394.4170110044</v>
      </c>
      <c r="D124" s="645">
        <f>+Synthèse!G123</f>
        <v>2467986.2638900457</v>
      </c>
      <c r="E124" s="646">
        <f t="shared" si="3"/>
        <v>266591.84687904129</v>
      </c>
      <c r="F124" s="647">
        <v>437722.83303224947</v>
      </c>
      <c r="G124" s="648">
        <f>+Synthèse!F123</f>
        <v>1055185.9317292375</v>
      </c>
      <c r="H124" s="648">
        <f t="shared" si="4"/>
        <v>617463.09869698808</v>
      </c>
      <c r="I124" s="644">
        <v>173252.24947136099</v>
      </c>
      <c r="J124" s="649">
        <f>+Synthèse!H123</f>
        <v>176751.92181591474</v>
      </c>
      <c r="K124" s="649">
        <f t="shared" si="5"/>
        <v>3499.67234455375</v>
      </c>
    </row>
    <row r="125" spans="1:11" s="177" customFormat="1" ht="15" x14ac:dyDescent="0.25">
      <c r="A125" s="83">
        <f>Données!A125</f>
        <v>5613</v>
      </c>
      <c r="B125" s="282" t="str">
        <f>Données!B125</f>
        <v>Bourg-en-Lavaux</v>
      </c>
      <c r="C125" s="644">
        <v>7501945.6239280831</v>
      </c>
      <c r="D125" s="645">
        <f>+Synthèse!G124</f>
        <v>6691850.3008040637</v>
      </c>
      <c r="E125" s="646">
        <f t="shared" si="3"/>
        <v>-810095.32312401943</v>
      </c>
      <c r="F125" s="647">
        <v>5038636.3950081533</v>
      </c>
      <c r="G125" s="648">
        <f>+Synthèse!F124</f>
        <v>4870324.404598562</v>
      </c>
      <c r="H125" s="648">
        <f t="shared" si="4"/>
        <v>-168311.99040959124</v>
      </c>
      <c r="I125" s="644">
        <v>455638.55146798148</v>
      </c>
      <c r="J125" s="649">
        <f>+Synthèse!H124</f>
        <v>407077.41092841857</v>
      </c>
      <c r="K125" s="649">
        <f t="shared" si="5"/>
        <v>-48561.140539562912</v>
      </c>
    </row>
    <row r="126" spans="1:11" s="177" customFormat="1" ht="15" x14ac:dyDescent="0.25">
      <c r="A126" s="83">
        <f>Données!A126</f>
        <v>5621</v>
      </c>
      <c r="B126" s="282" t="str">
        <f>Données!B126</f>
        <v>Aclens</v>
      </c>
      <c r="C126" s="644">
        <v>860456.80207046098</v>
      </c>
      <c r="D126" s="645">
        <f>+Synthèse!G125</f>
        <v>570109.43247191666</v>
      </c>
      <c r="E126" s="646">
        <f t="shared" si="3"/>
        <v>-290347.36959854432</v>
      </c>
      <c r="F126" s="647">
        <v>695305.29845766502</v>
      </c>
      <c r="G126" s="648">
        <f>+Synthèse!F125</f>
        <v>444579.89722029178</v>
      </c>
      <c r="H126" s="648">
        <f t="shared" si="4"/>
        <v>-250725.40123737324</v>
      </c>
      <c r="I126" s="644">
        <v>97757.043486087612</v>
      </c>
      <c r="J126" s="649">
        <f>+Synthèse!H125</f>
        <v>86047.299229780765</v>
      </c>
      <c r="K126" s="649">
        <f t="shared" si="5"/>
        <v>-11709.744256306847</v>
      </c>
    </row>
    <row r="127" spans="1:11" s="177" customFormat="1" ht="15" x14ac:dyDescent="0.25">
      <c r="A127" s="83">
        <f>Données!A127</f>
        <v>5622</v>
      </c>
      <c r="B127" s="282" t="str">
        <f>Données!B127</f>
        <v>Bremblens</v>
      </c>
      <c r="C127" s="644">
        <v>569605.0372436262</v>
      </c>
      <c r="D127" s="645">
        <f>+Synthèse!G126</f>
        <v>356771.37175930798</v>
      </c>
      <c r="E127" s="646">
        <f t="shared" si="3"/>
        <v>-212833.66548431822</v>
      </c>
      <c r="F127" s="647">
        <v>525585.37134134758</v>
      </c>
      <c r="G127" s="648">
        <f>+Synthèse!F126</f>
        <v>479874.27089793305</v>
      </c>
      <c r="H127" s="648">
        <f t="shared" si="4"/>
        <v>-45711.100443414529</v>
      </c>
      <c r="I127" s="644">
        <v>91549.596451188074</v>
      </c>
      <c r="J127" s="649">
        <f>+Synthèse!H126</f>
        <v>87483.841945589753</v>
      </c>
      <c r="K127" s="649">
        <f t="shared" si="5"/>
        <v>-4065.754505598321</v>
      </c>
    </row>
    <row r="128" spans="1:11" s="177" customFormat="1" ht="15" x14ac:dyDescent="0.25">
      <c r="A128" s="83">
        <f>Données!A128</f>
        <v>5623</v>
      </c>
      <c r="B128" s="282" t="str">
        <f>Données!B128</f>
        <v>Buchillon</v>
      </c>
      <c r="C128" s="644">
        <v>2375561.2953324616</v>
      </c>
      <c r="D128" s="645">
        <f>+Synthèse!G127</f>
        <v>3142065.9124013819</v>
      </c>
      <c r="E128" s="646">
        <f t="shared" si="3"/>
        <v>766504.61706892028</v>
      </c>
      <c r="F128" s="647">
        <v>1645088.5413895648</v>
      </c>
      <c r="G128" s="648">
        <f>+Synthèse!F127</f>
        <v>1922358.922929995</v>
      </c>
      <c r="H128" s="648">
        <f t="shared" si="4"/>
        <v>277270.38154043024</v>
      </c>
      <c r="I128" s="644">
        <v>109690.33191471375</v>
      </c>
      <c r="J128" s="649">
        <f>+Synthèse!H127</f>
        <v>115321.53828469985</v>
      </c>
      <c r="K128" s="649">
        <f t="shared" si="5"/>
        <v>5631.2063699861028</v>
      </c>
    </row>
    <row r="129" spans="1:11" s="177" customFormat="1" ht="15" x14ac:dyDescent="0.25">
      <c r="A129" s="83">
        <f>Données!A129</f>
        <v>5624</v>
      </c>
      <c r="B129" s="282" t="str">
        <f>Données!B129</f>
        <v>Bussigny</v>
      </c>
      <c r="C129" s="644">
        <v>6463148.1339919511</v>
      </c>
      <c r="D129" s="645">
        <f>+Synthèse!G128</f>
        <v>6233909.4216877017</v>
      </c>
      <c r="E129" s="646">
        <f t="shared" si="3"/>
        <v>-229238.71230424941</v>
      </c>
      <c r="F129" s="647">
        <v>-2182347.2739237668</v>
      </c>
      <c r="G129" s="648">
        <f>+Synthèse!F128</f>
        <v>-2663169.580052264</v>
      </c>
      <c r="H129" s="648">
        <f t="shared" si="4"/>
        <v>-480822.30612849724</v>
      </c>
      <c r="I129" s="644">
        <v>489229.00385916652</v>
      </c>
      <c r="J129" s="649">
        <f>+Synthèse!H128</f>
        <v>506401.16662830714</v>
      </c>
      <c r="K129" s="649">
        <f t="shared" si="5"/>
        <v>17172.162769140617</v>
      </c>
    </row>
    <row r="130" spans="1:11" s="177" customFormat="1" ht="15" x14ac:dyDescent="0.25">
      <c r="A130" s="83">
        <f>Données!A130</f>
        <v>5627</v>
      </c>
      <c r="B130" s="282" t="str">
        <f>Données!B130</f>
        <v>Chavannes-près-Renens</v>
      </c>
      <c r="C130" s="644">
        <v>3350591.0729665547</v>
      </c>
      <c r="D130" s="645">
        <f>+Synthèse!G129</f>
        <v>3284241.8561973562</v>
      </c>
      <c r="E130" s="646">
        <f t="shared" si="3"/>
        <v>-66349.216769198421</v>
      </c>
      <c r="F130" s="647">
        <v>-7543387.2642443106</v>
      </c>
      <c r="G130" s="648">
        <f>+Synthèse!F129</f>
        <v>-8094896.2358352467</v>
      </c>
      <c r="H130" s="648">
        <f t="shared" si="4"/>
        <v>-551508.97159093618</v>
      </c>
      <c r="I130" s="644">
        <v>234117.90111622101</v>
      </c>
      <c r="J130" s="649">
        <f>+Synthèse!H129</f>
        <v>227033.45635302589</v>
      </c>
      <c r="K130" s="649">
        <f t="shared" si="5"/>
        <v>-7084.4447631951189</v>
      </c>
    </row>
    <row r="131" spans="1:11" s="177" customFormat="1" ht="15" x14ac:dyDescent="0.25">
      <c r="A131" s="83">
        <f>Données!A131</f>
        <v>5628</v>
      </c>
      <c r="B131" s="282" t="str">
        <f>Données!B131</f>
        <v>Chigny</v>
      </c>
      <c r="C131" s="644">
        <v>559761.1558891657</v>
      </c>
      <c r="D131" s="645">
        <f>+Synthèse!G130</f>
        <v>641105.18367405748</v>
      </c>
      <c r="E131" s="646">
        <f t="shared" si="3"/>
        <v>81344.027784891776</v>
      </c>
      <c r="F131" s="647">
        <v>486635.65018334234</v>
      </c>
      <c r="G131" s="648">
        <f>+Synthèse!F130</f>
        <v>567410.13017206872</v>
      </c>
      <c r="H131" s="648">
        <f t="shared" si="4"/>
        <v>80774.47998872638</v>
      </c>
      <c r="I131" s="644">
        <v>71232.947317882805</v>
      </c>
      <c r="J131" s="649">
        <f>+Synthèse!H130</f>
        <v>74377.406711161952</v>
      </c>
      <c r="K131" s="649">
        <f t="shared" si="5"/>
        <v>3144.4593932791468</v>
      </c>
    </row>
    <row r="132" spans="1:11" s="177" customFormat="1" ht="15" x14ac:dyDescent="0.25">
      <c r="A132" s="83">
        <f>Données!A132</f>
        <v>5629</v>
      </c>
      <c r="B132" s="282" t="str">
        <f>Données!B132</f>
        <v>Clarmont</v>
      </c>
      <c r="C132" s="644">
        <v>140605.65448363216</v>
      </c>
      <c r="D132" s="645">
        <f>+Synthèse!G131</f>
        <v>108831.98012861569</v>
      </c>
      <c r="E132" s="646">
        <f t="shared" si="3"/>
        <v>-31773.674355016468</v>
      </c>
      <c r="F132" s="647">
        <v>109568.52114590182</v>
      </c>
      <c r="G132" s="648">
        <f>+Synthèse!F131</f>
        <v>-7758.1568620322214</v>
      </c>
      <c r="H132" s="648">
        <f t="shared" si="4"/>
        <v>-117326.67800793404</v>
      </c>
      <c r="I132" s="644">
        <v>31149.036800131944</v>
      </c>
      <c r="J132" s="649">
        <f>+Synthèse!H131</f>
        <v>23968.80879682197</v>
      </c>
      <c r="K132" s="649">
        <f t="shared" si="5"/>
        <v>-7180.2280033099742</v>
      </c>
    </row>
    <row r="133" spans="1:11" s="177" customFormat="1" ht="15" x14ac:dyDescent="0.25">
      <c r="A133" s="83">
        <f>Données!A133</f>
        <v>5631</v>
      </c>
      <c r="B133" s="282" t="str">
        <f>Données!B133</f>
        <v>Denens</v>
      </c>
      <c r="C133" s="644">
        <v>766626.36584240198</v>
      </c>
      <c r="D133" s="645">
        <f>+Synthèse!G132</f>
        <v>739118.75628752983</v>
      </c>
      <c r="E133" s="646">
        <f t="shared" si="3"/>
        <v>-27507.60955487215</v>
      </c>
      <c r="F133" s="647">
        <v>723962.95953647746</v>
      </c>
      <c r="G133" s="648">
        <f>+Synthèse!F132</f>
        <v>820695.62579919421</v>
      </c>
      <c r="H133" s="648">
        <f t="shared" si="4"/>
        <v>96732.666262716753</v>
      </c>
      <c r="I133" s="644">
        <v>114816.92213893833</v>
      </c>
      <c r="J133" s="649">
        <f>+Synthèse!H132</f>
        <v>120991.93771840063</v>
      </c>
      <c r="K133" s="649">
        <f t="shared" si="5"/>
        <v>6175.0155794622988</v>
      </c>
    </row>
    <row r="134" spans="1:11" s="177" customFormat="1" ht="15" x14ac:dyDescent="0.25">
      <c r="A134" s="83">
        <f>Données!A134</f>
        <v>5632</v>
      </c>
      <c r="B134" s="282" t="str">
        <f>Données!B134</f>
        <v>Denges</v>
      </c>
      <c r="C134" s="644">
        <v>1359760.3835896291</v>
      </c>
      <c r="D134" s="645">
        <f>+Synthèse!G133</f>
        <v>1294296.4072621781</v>
      </c>
      <c r="E134" s="646">
        <f t="shared" si="3"/>
        <v>-65463.976327450946</v>
      </c>
      <c r="F134" s="647">
        <v>956852.5101314676</v>
      </c>
      <c r="G134" s="648">
        <f>+Synthèse!F133</f>
        <v>1024295.1751385274</v>
      </c>
      <c r="H134" s="648">
        <f t="shared" si="4"/>
        <v>67442.665007059812</v>
      </c>
      <c r="I134" s="644">
        <v>250985.37619092339</v>
      </c>
      <c r="J134" s="649">
        <f>+Synthèse!H133</f>
        <v>250784.77383533015</v>
      </c>
      <c r="K134" s="649">
        <f t="shared" si="5"/>
        <v>-200.60235559323337</v>
      </c>
    </row>
    <row r="135" spans="1:11" s="177" customFormat="1" ht="15" x14ac:dyDescent="0.25">
      <c r="A135" s="83">
        <f>Données!A135</f>
        <v>5633</v>
      </c>
      <c r="B135" s="282" t="str">
        <f>Données!B135</f>
        <v>Echandens</v>
      </c>
      <c r="C135" s="644">
        <v>2565082.0533627272</v>
      </c>
      <c r="D135" s="645">
        <f>+Synthèse!G134</f>
        <v>2390194.8300015694</v>
      </c>
      <c r="E135" s="646">
        <f t="shared" ref="E135:E198" si="6">+D135-C135</f>
        <v>-174887.22336115781</v>
      </c>
      <c r="F135" s="647">
        <v>1272183.0180766704</v>
      </c>
      <c r="G135" s="648">
        <f>+Synthèse!F134</f>
        <v>1311717.9144249712</v>
      </c>
      <c r="H135" s="648">
        <f t="shared" ref="H135:H198" si="7">+G135-F135</f>
        <v>39534.896348300856</v>
      </c>
      <c r="I135" s="644">
        <v>440872.73664238892</v>
      </c>
      <c r="J135" s="649">
        <f>+Synthèse!H134</f>
        <v>448389.17566998978</v>
      </c>
      <c r="K135" s="649">
        <f t="shared" ref="K135:K198" si="8">+J135-I135</f>
        <v>7516.4390276008635</v>
      </c>
    </row>
    <row r="136" spans="1:11" s="177" customFormat="1" ht="15" x14ac:dyDescent="0.25">
      <c r="A136" s="83">
        <f>Données!A136</f>
        <v>5634</v>
      </c>
      <c r="B136" s="282" t="str">
        <f>Données!B136</f>
        <v>Echichens</v>
      </c>
      <c r="C136" s="644">
        <v>3596430.6908704145</v>
      </c>
      <c r="D136" s="645">
        <f>+Synthèse!G135</f>
        <v>2589704.8537867228</v>
      </c>
      <c r="E136" s="646">
        <f t="shared" si="6"/>
        <v>-1006725.8370836917</v>
      </c>
      <c r="F136" s="647">
        <v>2550528.796567807</v>
      </c>
      <c r="G136" s="648">
        <f>+Synthèse!F135</f>
        <v>2214883.9421969727</v>
      </c>
      <c r="H136" s="648">
        <f t="shared" si="7"/>
        <v>-335644.85437083431</v>
      </c>
      <c r="I136" s="644">
        <v>510424.18478470197</v>
      </c>
      <c r="J136" s="649">
        <f>+Synthèse!H135</f>
        <v>490009.60449350625</v>
      </c>
      <c r="K136" s="649">
        <f t="shared" si="8"/>
        <v>-20414.580291195714</v>
      </c>
    </row>
    <row r="137" spans="1:11" s="177" customFormat="1" ht="15" x14ac:dyDescent="0.25">
      <c r="A137" s="83">
        <f>Données!A137</f>
        <v>5635</v>
      </c>
      <c r="B137" s="282" t="str">
        <f>Données!B137</f>
        <v>Ecublens</v>
      </c>
      <c r="C137" s="644">
        <v>8737752.8818665594</v>
      </c>
      <c r="D137" s="645">
        <f>+Synthèse!G136</f>
        <v>8539197.2055107318</v>
      </c>
      <c r="E137" s="646">
        <f t="shared" si="6"/>
        <v>-198555.6763558276</v>
      </c>
      <c r="F137" s="647">
        <v>-3628616.2197668795</v>
      </c>
      <c r="G137" s="648">
        <f>+Synthèse!F136</f>
        <v>-3929915.1348156258</v>
      </c>
      <c r="H137" s="648">
        <f t="shared" si="7"/>
        <v>-301298.91504874639</v>
      </c>
      <c r="I137" s="644">
        <v>640391.65340966638</v>
      </c>
      <c r="J137" s="649">
        <f>+Synthèse!H136</f>
        <v>612267.67641184572</v>
      </c>
      <c r="K137" s="649">
        <f t="shared" si="8"/>
        <v>-28123.97699782066</v>
      </c>
    </row>
    <row r="138" spans="1:11" s="177" customFormat="1" ht="15" x14ac:dyDescent="0.25">
      <c r="A138" s="83">
        <f>Données!A138</f>
        <v>5636</v>
      </c>
      <c r="B138" s="282" t="str">
        <f>Données!B138</f>
        <v>Etoy</v>
      </c>
      <c r="C138" s="644">
        <v>3999255.4663687916</v>
      </c>
      <c r="D138" s="645">
        <f>+Synthèse!G137</f>
        <v>3739020.4806547379</v>
      </c>
      <c r="E138" s="646">
        <f t="shared" si="6"/>
        <v>-260234.98571405374</v>
      </c>
      <c r="F138" s="647">
        <v>2870534.9926266745</v>
      </c>
      <c r="G138" s="648">
        <f>+Synthèse!F137</f>
        <v>3343749.4964279197</v>
      </c>
      <c r="H138" s="648">
        <f t="shared" si="7"/>
        <v>473214.50380124524</v>
      </c>
      <c r="I138" s="644">
        <v>494152.62505211728</v>
      </c>
      <c r="J138" s="649">
        <f>+Synthèse!H137</f>
        <v>514200.47596484295</v>
      </c>
      <c r="K138" s="649">
        <f t="shared" si="8"/>
        <v>20047.850912725669</v>
      </c>
    </row>
    <row r="139" spans="1:11" s="177" customFormat="1" ht="15" x14ac:dyDescent="0.25">
      <c r="A139" s="83">
        <f>Données!A139</f>
        <v>5637</v>
      </c>
      <c r="B139" s="282" t="str">
        <f>Données!B139</f>
        <v>Lavigny</v>
      </c>
      <c r="C139" s="644">
        <v>646557.49862084584</v>
      </c>
      <c r="D139" s="645">
        <f>+Synthèse!G138</f>
        <v>638665.96674368461</v>
      </c>
      <c r="E139" s="646">
        <f t="shared" si="6"/>
        <v>-7891.5318771612365</v>
      </c>
      <c r="F139" s="647">
        <v>11522.408708982402</v>
      </c>
      <c r="G139" s="648">
        <f>+Synthèse!F138</f>
        <v>-1522429.5050824978</v>
      </c>
      <c r="H139" s="648">
        <f t="shared" si="7"/>
        <v>-1533951.9137914802</v>
      </c>
      <c r="I139" s="644">
        <v>111920.82592022157</v>
      </c>
      <c r="J139" s="649">
        <f>+Synthèse!H138</f>
        <v>110969.41165670982</v>
      </c>
      <c r="K139" s="649">
        <f t="shared" si="8"/>
        <v>-951.41426351174596</v>
      </c>
    </row>
    <row r="140" spans="1:11" s="177" customFormat="1" ht="15" x14ac:dyDescent="0.25">
      <c r="A140" s="83">
        <f>Données!A140</f>
        <v>5638</v>
      </c>
      <c r="B140" s="282" t="str">
        <f>Données!B140</f>
        <v>Lonay</v>
      </c>
      <c r="C140" s="644">
        <v>5354294.2762010815</v>
      </c>
      <c r="D140" s="645">
        <f>+Synthèse!G139</f>
        <v>3982850.0544711137</v>
      </c>
      <c r="E140" s="646">
        <f t="shared" si="6"/>
        <v>-1371444.2217299677</v>
      </c>
      <c r="F140" s="647">
        <v>1781809.3394228134</v>
      </c>
      <c r="G140" s="648">
        <f>+Synthèse!F139</f>
        <v>1831746.1506127808</v>
      </c>
      <c r="H140" s="648">
        <f t="shared" si="7"/>
        <v>49936.81118996744</v>
      </c>
      <c r="I140" s="644">
        <v>426857.90138950926</v>
      </c>
      <c r="J140" s="649">
        <f>+Synthèse!H139</f>
        <v>427423.30077634857</v>
      </c>
      <c r="K140" s="649">
        <f t="shared" si="8"/>
        <v>565.39938683930086</v>
      </c>
    </row>
    <row r="141" spans="1:11" s="177" customFormat="1" ht="15" x14ac:dyDescent="0.25">
      <c r="A141" s="83">
        <f>Données!A141</f>
        <v>5639</v>
      </c>
      <c r="B141" s="282" t="str">
        <f>Données!B141</f>
        <v>Lully</v>
      </c>
      <c r="C141" s="644">
        <v>954438.22575470852</v>
      </c>
      <c r="D141" s="645">
        <f>+Synthèse!G140</f>
        <v>1090120.7268487611</v>
      </c>
      <c r="E141" s="646">
        <f t="shared" si="6"/>
        <v>135682.50109405257</v>
      </c>
      <c r="F141" s="647">
        <v>915905.74262261565</v>
      </c>
      <c r="G141" s="648">
        <f>+Synthèse!F140</f>
        <v>983969.20470782754</v>
      </c>
      <c r="H141" s="648">
        <f t="shared" si="7"/>
        <v>68063.462085211882</v>
      </c>
      <c r="I141" s="644">
        <v>137580.45534443608</v>
      </c>
      <c r="J141" s="649">
        <f>+Synthèse!H140</f>
        <v>139915.70312557148</v>
      </c>
      <c r="K141" s="649">
        <f t="shared" si="8"/>
        <v>2335.2477811354038</v>
      </c>
    </row>
    <row r="142" spans="1:11" s="177" customFormat="1" ht="15" x14ac:dyDescent="0.25">
      <c r="A142" s="83">
        <f>Données!A142</f>
        <v>5640</v>
      </c>
      <c r="B142" s="282" t="str">
        <f>Données!B142</f>
        <v>Lussy-sur-Morges</v>
      </c>
      <c r="C142" s="644">
        <v>1399494.9925720869</v>
      </c>
      <c r="D142" s="645">
        <f>+Synthèse!G141</f>
        <v>1306647.1313574587</v>
      </c>
      <c r="E142" s="646">
        <f t="shared" si="6"/>
        <v>-92847.86121462821</v>
      </c>
      <c r="F142" s="647">
        <v>1036760.3748612895</v>
      </c>
      <c r="G142" s="648">
        <f>+Synthèse!F141</f>
        <v>1146408.0850913695</v>
      </c>
      <c r="H142" s="648">
        <f t="shared" si="7"/>
        <v>109647.71023007995</v>
      </c>
      <c r="I142" s="644">
        <v>71683.558496623154</v>
      </c>
      <c r="J142" s="649">
        <f>+Synthèse!H141</f>
        <v>71131.790033970523</v>
      </c>
      <c r="K142" s="649">
        <f t="shared" si="8"/>
        <v>-551.76846265263157</v>
      </c>
    </row>
    <row r="143" spans="1:11" s="177" customFormat="1" ht="15" x14ac:dyDescent="0.25">
      <c r="A143" s="83">
        <f>Données!A143</f>
        <v>5642</v>
      </c>
      <c r="B143" s="282" t="str">
        <f>Données!B143</f>
        <v>Morges</v>
      </c>
      <c r="C143" s="644">
        <v>16129945.970728921</v>
      </c>
      <c r="D143" s="645">
        <f>+Synthèse!G142</f>
        <v>18855995.73178868</v>
      </c>
      <c r="E143" s="646">
        <f t="shared" si="6"/>
        <v>2726049.7610597592</v>
      </c>
      <c r="F143" s="647">
        <v>3350794.6737710834</v>
      </c>
      <c r="G143" s="648">
        <f>+Synthèse!F142</f>
        <v>5535337.7438266296</v>
      </c>
      <c r="H143" s="648">
        <f t="shared" si="7"/>
        <v>2184543.0700555462</v>
      </c>
      <c r="I143" s="644">
        <v>1142420.3806255744</v>
      </c>
      <c r="J143" s="649">
        <f>+Synthèse!H142</f>
        <v>1193324.938231535</v>
      </c>
      <c r="K143" s="649">
        <f t="shared" si="8"/>
        <v>50904.557605960639</v>
      </c>
    </row>
    <row r="144" spans="1:11" s="177" customFormat="1" ht="15" x14ac:dyDescent="0.25">
      <c r="A144" s="83">
        <f>Données!A144</f>
        <v>5643</v>
      </c>
      <c r="B144" s="282" t="str">
        <f>Données!B144</f>
        <v>Préverenges</v>
      </c>
      <c r="C144" s="644">
        <v>3814561.1349742431</v>
      </c>
      <c r="D144" s="645">
        <f>+Synthèse!G143</f>
        <v>4194115.2426452278</v>
      </c>
      <c r="E144" s="646">
        <f t="shared" si="6"/>
        <v>379554.1076709847</v>
      </c>
      <c r="F144" s="647">
        <v>2907630.1409950387</v>
      </c>
      <c r="G144" s="648">
        <f>+Synthèse!F143</f>
        <v>2733543.1925961054</v>
      </c>
      <c r="H144" s="648">
        <f t="shared" si="7"/>
        <v>-174086.94839893328</v>
      </c>
      <c r="I144" s="644">
        <v>313580.84614048846</v>
      </c>
      <c r="J144" s="649">
        <f>+Synthèse!H143</f>
        <v>286179.89379890007</v>
      </c>
      <c r="K144" s="649">
        <f t="shared" si="8"/>
        <v>-27400.952341588389</v>
      </c>
    </row>
    <row r="145" spans="1:11" s="177" customFormat="1" ht="15" x14ac:dyDescent="0.25">
      <c r="A145" s="83">
        <f>Données!A145</f>
        <v>5645</v>
      </c>
      <c r="B145" s="282" t="str">
        <f>Données!B145</f>
        <v>Romanel-sur-Morges</v>
      </c>
      <c r="C145" s="644">
        <v>378931.62310470839</v>
      </c>
      <c r="D145" s="645">
        <f>+Synthèse!G144</f>
        <v>461248.89175518218</v>
      </c>
      <c r="E145" s="646">
        <f t="shared" si="6"/>
        <v>82317.268650473794</v>
      </c>
      <c r="F145" s="647">
        <v>378795.77556290495</v>
      </c>
      <c r="G145" s="648">
        <f>+Synthèse!F144</f>
        <v>495057.53672545298</v>
      </c>
      <c r="H145" s="648">
        <f t="shared" si="7"/>
        <v>116261.76116254803</v>
      </c>
      <c r="I145" s="644">
        <v>69883.523976689918</v>
      </c>
      <c r="J145" s="649">
        <f>+Synthèse!H144</f>
        <v>73623.861657959947</v>
      </c>
      <c r="K145" s="649">
        <f t="shared" si="8"/>
        <v>3740.3376812700299</v>
      </c>
    </row>
    <row r="146" spans="1:11" s="177" customFormat="1" ht="15" x14ac:dyDescent="0.25">
      <c r="A146" s="83">
        <f>Données!A146</f>
        <v>5646</v>
      </c>
      <c r="B146" s="282" t="str">
        <f>Données!B146</f>
        <v>Saint-Prex</v>
      </c>
      <c r="C146" s="644">
        <v>12210377.790956635</v>
      </c>
      <c r="D146" s="645">
        <f>+Synthèse!G145</f>
        <v>9031752.7509874552</v>
      </c>
      <c r="E146" s="646">
        <f t="shared" si="6"/>
        <v>-3178625.0399691798</v>
      </c>
      <c r="F146" s="647">
        <v>7637978.3724266198</v>
      </c>
      <c r="G146" s="648">
        <f>+Synthèse!F145</f>
        <v>6644285.1734706024</v>
      </c>
      <c r="H146" s="648">
        <f t="shared" si="7"/>
        <v>-993693.19895601738</v>
      </c>
      <c r="I146" s="644">
        <v>639574.0747694833</v>
      </c>
      <c r="J146" s="649">
        <f>+Synthèse!H145</f>
        <v>523403.65024074691</v>
      </c>
      <c r="K146" s="649">
        <f t="shared" si="8"/>
        <v>-116170.42452873639</v>
      </c>
    </row>
    <row r="147" spans="1:11" s="177" customFormat="1" ht="15" x14ac:dyDescent="0.25">
      <c r="A147" s="83">
        <f>Données!A147</f>
        <v>5648</v>
      </c>
      <c r="B147" s="282" t="str">
        <f>Données!B147</f>
        <v>Saint-Sulpice</v>
      </c>
      <c r="C147" s="644">
        <v>9026565.5440895576</v>
      </c>
      <c r="D147" s="645">
        <f>+Synthèse!G146</f>
        <v>8436274.6282145791</v>
      </c>
      <c r="E147" s="646">
        <f t="shared" si="6"/>
        <v>-590290.91587497853</v>
      </c>
      <c r="F147" s="647">
        <v>6235979.596741735</v>
      </c>
      <c r="G147" s="648">
        <f>+Synthèse!F146</f>
        <v>6295135.3221795969</v>
      </c>
      <c r="H147" s="648">
        <f t="shared" si="7"/>
        <v>59155.725437861867</v>
      </c>
      <c r="I147" s="644">
        <v>517460.37362118822</v>
      </c>
      <c r="J147" s="649">
        <f>+Synthèse!H146</f>
        <v>477425.6417169983</v>
      </c>
      <c r="K147" s="649">
        <f t="shared" si="8"/>
        <v>-40034.731904189917</v>
      </c>
    </row>
    <row r="148" spans="1:11" s="177" customFormat="1" ht="15" x14ac:dyDescent="0.25">
      <c r="A148" s="83">
        <f>Données!A148</f>
        <v>5649</v>
      </c>
      <c r="B148" s="282" t="str">
        <f>Données!B148</f>
        <v>Tolochenaz</v>
      </c>
      <c r="C148" s="644">
        <v>11661967.85443384</v>
      </c>
      <c r="D148" s="645">
        <f>+Synthèse!G147</f>
        <v>15731663.869248163</v>
      </c>
      <c r="E148" s="646">
        <f t="shared" si="6"/>
        <v>4069696.0148143228</v>
      </c>
      <c r="F148" s="647">
        <v>4665789.2255661599</v>
      </c>
      <c r="G148" s="648">
        <f>+Synthèse!F147</f>
        <v>5375803.4207518343</v>
      </c>
      <c r="H148" s="648">
        <f t="shared" si="7"/>
        <v>710014.19518567435</v>
      </c>
      <c r="I148" s="644">
        <v>409034.9919935143</v>
      </c>
      <c r="J148" s="649">
        <f>+Synthèse!H147</f>
        <v>485398.6318111603</v>
      </c>
      <c r="K148" s="649">
        <f t="shared" si="8"/>
        <v>76363.639817646006</v>
      </c>
    </row>
    <row r="149" spans="1:11" s="177" customFormat="1" ht="15" x14ac:dyDescent="0.25">
      <c r="A149" s="83">
        <f>Données!A149</f>
        <v>5650</v>
      </c>
      <c r="B149" s="282" t="str">
        <f>Données!B149</f>
        <v>Vaux-sur-Morges</v>
      </c>
      <c r="C149" s="644">
        <v>3702468.1175947217</v>
      </c>
      <c r="D149" s="645">
        <f>+Synthèse!G148</f>
        <v>4719811.9379269313</v>
      </c>
      <c r="E149" s="646">
        <f t="shared" si="6"/>
        <v>1017343.8203322096</v>
      </c>
      <c r="F149" s="647">
        <v>653370.70811956492</v>
      </c>
      <c r="G149" s="648">
        <f>+Synthèse!F148</f>
        <v>893404.13635878358</v>
      </c>
      <c r="H149" s="648">
        <f t="shared" si="7"/>
        <v>240033.42823921866</v>
      </c>
      <c r="I149" s="644">
        <v>128496.23238096014</v>
      </c>
      <c r="J149" s="649">
        <f>+Synthèse!H148</f>
        <v>147999.17609558828</v>
      </c>
      <c r="K149" s="649">
        <f t="shared" si="8"/>
        <v>19502.943714628142</v>
      </c>
    </row>
    <row r="150" spans="1:11" s="177" customFormat="1" ht="15" x14ac:dyDescent="0.25">
      <c r="A150" s="83">
        <f>Données!A150</f>
        <v>5651</v>
      </c>
      <c r="B150" s="282" t="str">
        <f>Données!B150</f>
        <v>Villars-Sainte-Croix</v>
      </c>
      <c r="C150" s="644">
        <v>1017181.7651475638</v>
      </c>
      <c r="D150" s="645">
        <f>+Synthèse!G149</f>
        <v>1128340.3529905165</v>
      </c>
      <c r="E150" s="646">
        <f t="shared" si="6"/>
        <v>111158.58784295269</v>
      </c>
      <c r="F150" s="647">
        <v>866733.11054335348</v>
      </c>
      <c r="G150" s="648">
        <f>+Synthèse!F149</f>
        <v>1089926.4667776278</v>
      </c>
      <c r="H150" s="648">
        <f t="shared" si="7"/>
        <v>223193.35623427434</v>
      </c>
      <c r="I150" s="644">
        <v>69204.380948963313</v>
      </c>
      <c r="J150" s="649">
        <f>+Synthèse!H149</f>
        <v>70438.124673723854</v>
      </c>
      <c r="K150" s="649">
        <f t="shared" si="8"/>
        <v>1233.7437247605412</v>
      </c>
    </row>
    <row r="151" spans="1:11" s="177" customFormat="1" ht="15" x14ac:dyDescent="0.25">
      <c r="A151" s="83">
        <f>Données!A151</f>
        <v>5652</v>
      </c>
      <c r="B151" s="282" t="str">
        <f>Données!B151</f>
        <v>Villars-sous-Yens</v>
      </c>
      <c r="C151" s="644">
        <v>570082.36811879207</v>
      </c>
      <c r="D151" s="645">
        <f>+Synthèse!G150</f>
        <v>472926.14982386248</v>
      </c>
      <c r="E151" s="646">
        <f t="shared" si="6"/>
        <v>-97156.218294929597</v>
      </c>
      <c r="F151" s="647">
        <v>159658.61273127922</v>
      </c>
      <c r="G151" s="648">
        <f>+Synthèse!F150</f>
        <v>260479.77454785351</v>
      </c>
      <c r="H151" s="648">
        <f t="shared" si="7"/>
        <v>100821.16181657428</v>
      </c>
      <c r="I151" s="644">
        <v>81027.071220858779</v>
      </c>
      <c r="J151" s="649">
        <f>+Synthèse!H150</f>
        <v>82082.952756844228</v>
      </c>
      <c r="K151" s="649">
        <f t="shared" si="8"/>
        <v>1055.8815359854489</v>
      </c>
    </row>
    <row r="152" spans="1:11" s="177" customFormat="1" ht="15" x14ac:dyDescent="0.25">
      <c r="A152" s="83">
        <f>Données!A152</f>
        <v>5653</v>
      </c>
      <c r="B152" s="282" t="str">
        <f>Données!B152</f>
        <v>Vufflens-le-Château</v>
      </c>
      <c r="C152" s="644">
        <v>1578188.5557567084</v>
      </c>
      <c r="D152" s="645">
        <f>+Synthèse!G151</f>
        <v>1677788.4527556598</v>
      </c>
      <c r="E152" s="646">
        <f t="shared" si="6"/>
        <v>99599.896998951444</v>
      </c>
      <c r="F152" s="647">
        <v>1282698.2919277514</v>
      </c>
      <c r="G152" s="648">
        <f>+Synthèse!F151</f>
        <v>1384164.4002131338</v>
      </c>
      <c r="H152" s="648">
        <f t="shared" si="7"/>
        <v>101466.10828538239</v>
      </c>
      <c r="I152" s="644">
        <v>166490.16164145875</v>
      </c>
      <c r="J152" s="649">
        <f>+Synthèse!H151</f>
        <v>162836.0518015913</v>
      </c>
      <c r="K152" s="649">
        <f t="shared" si="8"/>
        <v>-3654.1098398674512</v>
      </c>
    </row>
    <row r="153" spans="1:11" s="177" customFormat="1" ht="15" x14ac:dyDescent="0.25">
      <c r="A153" s="83">
        <f>Données!A153</f>
        <v>5654</v>
      </c>
      <c r="B153" s="282" t="str">
        <f>Données!B153</f>
        <v>Vullierens</v>
      </c>
      <c r="C153" s="644">
        <v>300779.2401016095</v>
      </c>
      <c r="D153" s="645">
        <f>+Synthèse!G152</f>
        <v>320768.04478229425</v>
      </c>
      <c r="E153" s="646">
        <f t="shared" si="6"/>
        <v>19988.804680684756</v>
      </c>
      <c r="F153" s="647">
        <v>146060.17431923756</v>
      </c>
      <c r="G153" s="648">
        <f>+Synthèse!F152</f>
        <v>99053.906541150238</v>
      </c>
      <c r="H153" s="648">
        <f t="shared" si="7"/>
        <v>-47006.26777808732</v>
      </c>
      <c r="I153" s="644">
        <v>64138.634327411004</v>
      </c>
      <c r="J153" s="649">
        <f>+Synthèse!H152</f>
        <v>68877.127745802223</v>
      </c>
      <c r="K153" s="649">
        <f t="shared" si="8"/>
        <v>4738.4934183912192</v>
      </c>
    </row>
    <row r="154" spans="1:11" s="177" customFormat="1" ht="15" x14ac:dyDescent="0.25">
      <c r="A154" s="83">
        <f>Données!A154</f>
        <v>5655</v>
      </c>
      <c r="B154" s="282" t="str">
        <f>Données!B154</f>
        <v>Yens</v>
      </c>
      <c r="C154" s="644">
        <v>1492248.5682699499</v>
      </c>
      <c r="D154" s="645">
        <f>+Synthèse!G153</f>
        <v>1874709.2770966252</v>
      </c>
      <c r="E154" s="646">
        <f t="shared" si="6"/>
        <v>382460.70882667531</v>
      </c>
      <c r="F154" s="647">
        <v>1277890.5772203486</v>
      </c>
      <c r="G154" s="648">
        <f>+Synthèse!F153</f>
        <v>1640842.968128046</v>
      </c>
      <c r="H154" s="648">
        <f t="shared" si="7"/>
        <v>362952.39090769738</v>
      </c>
      <c r="I154" s="644">
        <v>234546.31894992891</v>
      </c>
      <c r="J154" s="649">
        <f>+Synthèse!H153</f>
        <v>250626.32029846252</v>
      </c>
      <c r="K154" s="649">
        <f t="shared" si="8"/>
        <v>16080.001348533609</v>
      </c>
    </row>
    <row r="155" spans="1:11" s="177" customFormat="1" ht="15" x14ac:dyDescent="0.25">
      <c r="A155" s="83">
        <f>Données!A155</f>
        <v>5656</v>
      </c>
      <c r="B155" s="282" t="str">
        <f>Données!B155</f>
        <v>Hautemorges</v>
      </c>
      <c r="C155" s="644">
        <v>2718596.784901164</v>
      </c>
      <c r="D155" s="645">
        <f>+Synthèse!G154</f>
        <v>2385066.4262541304</v>
      </c>
      <c r="E155" s="646">
        <f t="shared" si="6"/>
        <v>-333530.35864703357</v>
      </c>
      <c r="F155" s="647">
        <v>73799.016485889442</v>
      </c>
      <c r="G155" s="648">
        <f>+Synthèse!F154</f>
        <v>-370154.17016582377</v>
      </c>
      <c r="H155" s="648">
        <f t="shared" si="7"/>
        <v>-443953.18665171321</v>
      </c>
      <c r="I155" s="644">
        <v>522223.74003663473</v>
      </c>
      <c r="J155" s="649">
        <f>+Synthèse!H154</f>
        <v>516065.74135415716</v>
      </c>
      <c r="K155" s="649">
        <f t="shared" si="8"/>
        <v>-6157.9986824775697</v>
      </c>
    </row>
    <row r="156" spans="1:11" s="177" customFormat="1" ht="15" x14ac:dyDescent="0.25">
      <c r="A156" s="83">
        <f>Données!A156</f>
        <v>5661</v>
      </c>
      <c r="B156" s="282" t="str">
        <f>Données!B156</f>
        <v>Boulens</v>
      </c>
      <c r="C156" s="644">
        <v>150985.22560060097</v>
      </c>
      <c r="D156" s="645">
        <f>+Synthèse!G155</f>
        <v>143683.82419631534</v>
      </c>
      <c r="E156" s="646">
        <f t="shared" si="6"/>
        <v>-7301.4014042856288</v>
      </c>
      <c r="F156" s="647">
        <v>1325.4881054304715</v>
      </c>
      <c r="G156" s="648">
        <f>+Synthèse!F155</f>
        <v>-32248.877166017308</v>
      </c>
      <c r="H156" s="648">
        <f t="shared" si="7"/>
        <v>-33574.365271447779</v>
      </c>
      <c r="I156" s="644">
        <v>33982.911785118253</v>
      </c>
      <c r="J156" s="649">
        <f>+Synthèse!H155</f>
        <v>29651.41422985329</v>
      </c>
      <c r="K156" s="649">
        <f t="shared" si="8"/>
        <v>-4331.497555264963</v>
      </c>
    </row>
    <row r="157" spans="1:11" s="177" customFormat="1" ht="15" x14ac:dyDescent="0.25">
      <c r="A157" s="83">
        <f>Données!A157</f>
        <v>5663</v>
      </c>
      <c r="B157" s="282" t="str">
        <f>Données!B157</f>
        <v>Bussy-sur-Moudon</v>
      </c>
      <c r="C157" s="644">
        <v>101427.4054365437</v>
      </c>
      <c r="D157" s="645">
        <f>+Synthèse!G156</f>
        <v>77979.546632305312</v>
      </c>
      <c r="E157" s="646">
        <f t="shared" si="6"/>
        <v>-23447.858804238393</v>
      </c>
      <c r="F157" s="647">
        <v>-36395.860150332432</v>
      </c>
      <c r="G157" s="648">
        <f>+Synthèse!F156</f>
        <v>-106776.22859141881</v>
      </c>
      <c r="H157" s="648">
        <f t="shared" si="7"/>
        <v>-70380.368441086379</v>
      </c>
      <c r="I157" s="644">
        <v>20054.166358461582</v>
      </c>
      <c r="J157" s="649">
        <f>+Synthèse!H156</f>
        <v>17244.64108064492</v>
      </c>
      <c r="K157" s="649">
        <f t="shared" si="8"/>
        <v>-2809.5252778166614</v>
      </c>
    </row>
    <row r="158" spans="1:11" s="177" customFormat="1" ht="15" x14ac:dyDescent="0.25">
      <c r="A158" s="83">
        <f>Données!A158</f>
        <v>5665</v>
      </c>
      <c r="B158" s="282" t="str">
        <f>Données!B158</f>
        <v>Chavannes-sur-Moudon</v>
      </c>
      <c r="C158" s="644">
        <v>98571.842001885583</v>
      </c>
      <c r="D158" s="645">
        <f>+Synthèse!G157</f>
        <v>74668.050446925423</v>
      </c>
      <c r="E158" s="646">
        <f t="shared" si="6"/>
        <v>-23903.79155496016</v>
      </c>
      <c r="F158" s="647">
        <v>-31219.703109805661</v>
      </c>
      <c r="G158" s="648">
        <f>+Synthèse!F157</f>
        <v>-13029.350779384433</v>
      </c>
      <c r="H158" s="648">
        <f t="shared" si="7"/>
        <v>18190.352330421229</v>
      </c>
      <c r="I158" s="644">
        <v>17935.425955164657</v>
      </c>
      <c r="J158" s="649">
        <f>+Synthèse!H157</f>
        <v>19585.850365112583</v>
      </c>
      <c r="K158" s="649">
        <f t="shared" si="8"/>
        <v>1650.4244099479256</v>
      </c>
    </row>
    <row r="159" spans="1:11" s="177" customFormat="1" ht="15" x14ac:dyDescent="0.25">
      <c r="A159" s="83">
        <f>Données!A159</f>
        <v>5669</v>
      </c>
      <c r="B159" s="282" t="str">
        <f>Données!B159</f>
        <v>Curtilles</v>
      </c>
      <c r="C159" s="644">
        <v>110511.4243076206</v>
      </c>
      <c r="D159" s="645">
        <f>+Synthèse!G158</f>
        <v>136466.89557335532</v>
      </c>
      <c r="E159" s="646">
        <f t="shared" si="6"/>
        <v>25955.471265734712</v>
      </c>
      <c r="F159" s="647">
        <v>6377.9025015257939</v>
      </c>
      <c r="G159" s="648">
        <f>+Synthèse!F158</f>
        <v>10764.993694252975</v>
      </c>
      <c r="H159" s="648">
        <f t="shared" si="7"/>
        <v>4387.0911927271809</v>
      </c>
      <c r="I159" s="644">
        <v>25980.538586141731</v>
      </c>
      <c r="J159" s="649">
        <f>+Synthèse!H158</f>
        <v>28561.485142809212</v>
      </c>
      <c r="K159" s="649">
        <f t="shared" si="8"/>
        <v>2580.9465566674808</v>
      </c>
    </row>
    <row r="160" spans="1:11" s="177" customFormat="1" ht="15" x14ac:dyDescent="0.25">
      <c r="A160" s="83">
        <f>Données!A160</f>
        <v>5671</v>
      </c>
      <c r="B160" s="282" t="str">
        <f>Données!B160</f>
        <v>Dompierre</v>
      </c>
      <c r="C160" s="644">
        <v>93634.493781141093</v>
      </c>
      <c r="D160" s="645">
        <f>+Synthèse!G159</f>
        <v>69137.106528705932</v>
      </c>
      <c r="E160" s="646">
        <f t="shared" si="6"/>
        <v>-24497.387252435161</v>
      </c>
      <c r="F160" s="647">
        <v>-35478.639513305825</v>
      </c>
      <c r="G160" s="648">
        <f>+Synthèse!F159</f>
        <v>-76838.756549448342</v>
      </c>
      <c r="H160" s="648">
        <f t="shared" si="7"/>
        <v>-41360.117036142517</v>
      </c>
      <c r="I160" s="644">
        <v>20921.996568220653</v>
      </c>
      <c r="J160" s="649">
        <f>+Synthèse!H159</f>
        <v>17947.209309390619</v>
      </c>
      <c r="K160" s="649">
        <f t="shared" si="8"/>
        <v>-2974.7872588300343</v>
      </c>
    </row>
    <row r="161" spans="1:11" s="177" customFormat="1" ht="15" x14ac:dyDescent="0.25">
      <c r="A161" s="83">
        <f>Données!A161</f>
        <v>5673</v>
      </c>
      <c r="B161" s="282" t="str">
        <f>Données!B161</f>
        <v>Hermenches</v>
      </c>
      <c r="C161" s="644">
        <v>153961.19904510904</v>
      </c>
      <c r="D161" s="645">
        <f>+Synthèse!G160</f>
        <v>139989.61505750829</v>
      </c>
      <c r="E161" s="646">
        <f t="shared" si="6"/>
        <v>-13971.583987600752</v>
      </c>
      <c r="F161" s="647">
        <v>-111001.89531650901</v>
      </c>
      <c r="G161" s="648">
        <f>+Synthèse!F160</f>
        <v>-668869.17396309506</v>
      </c>
      <c r="H161" s="648">
        <f t="shared" si="7"/>
        <v>-557867.278646586</v>
      </c>
      <c r="I161" s="644">
        <v>29944.375276470368</v>
      </c>
      <c r="J161" s="649">
        <f>+Synthèse!H160</f>
        <v>29869.832479609318</v>
      </c>
      <c r="K161" s="649">
        <f t="shared" si="8"/>
        <v>-74.542796861049283</v>
      </c>
    </row>
    <row r="162" spans="1:11" s="177" customFormat="1" ht="15" x14ac:dyDescent="0.25">
      <c r="A162" s="83">
        <f>Données!A162</f>
        <v>5674</v>
      </c>
      <c r="B162" s="282" t="str">
        <f>Données!B162</f>
        <v>Lovatens</v>
      </c>
      <c r="C162" s="644">
        <v>63206.018218110912</v>
      </c>
      <c r="D162" s="645">
        <f>+Synthèse!G161</f>
        <v>49273.013575533791</v>
      </c>
      <c r="E162" s="646">
        <f t="shared" si="6"/>
        <v>-13933.004642577122</v>
      </c>
      <c r="F162" s="647">
        <v>-42785.893636277426</v>
      </c>
      <c r="G162" s="648">
        <f>+Synthèse!F161</f>
        <v>-20240.33690241359</v>
      </c>
      <c r="H162" s="648">
        <f t="shared" si="7"/>
        <v>22545.556733863836</v>
      </c>
      <c r="I162" s="644">
        <v>10902.209606529173</v>
      </c>
      <c r="J162" s="649">
        <f>+Synthèse!H161</f>
        <v>12474.786441757615</v>
      </c>
      <c r="K162" s="649">
        <f t="shared" si="8"/>
        <v>1572.5768352284413</v>
      </c>
    </row>
    <row r="163" spans="1:11" s="177" customFormat="1" ht="15" x14ac:dyDescent="0.25">
      <c r="A163" s="83">
        <f>Données!A163</f>
        <v>5675</v>
      </c>
      <c r="B163" s="282" t="str">
        <f>Données!B163</f>
        <v>Lucens</v>
      </c>
      <c r="C163" s="644">
        <v>1551475.586513475</v>
      </c>
      <c r="D163" s="645">
        <f>+Synthèse!G162</f>
        <v>1735749.2337276572</v>
      </c>
      <c r="E163" s="646">
        <f t="shared" si="6"/>
        <v>184273.64721418219</v>
      </c>
      <c r="F163" s="647">
        <v>-2744604.029907689</v>
      </c>
      <c r="G163" s="648">
        <f>+Synthèse!F162</f>
        <v>-3190928.3908468811</v>
      </c>
      <c r="H163" s="648">
        <f t="shared" si="7"/>
        <v>-446324.36093919212</v>
      </c>
      <c r="I163" s="644">
        <v>279827.49891323148</v>
      </c>
      <c r="J163" s="649">
        <f>+Synthèse!H162</f>
        <v>277461.17683906853</v>
      </c>
      <c r="K163" s="649">
        <f t="shared" si="8"/>
        <v>-2366.3220741629484</v>
      </c>
    </row>
    <row r="164" spans="1:11" s="177" customFormat="1" ht="15" x14ac:dyDescent="0.25">
      <c r="A164" s="83">
        <f>Données!A164</f>
        <v>5678</v>
      </c>
      <c r="B164" s="282" t="str">
        <f>Données!B164</f>
        <v>Moudon</v>
      </c>
      <c r="C164" s="644">
        <v>2204973.2473519617</v>
      </c>
      <c r="D164" s="645">
        <f>+Synthèse!G163</f>
        <v>2348388.2544947239</v>
      </c>
      <c r="E164" s="646">
        <f t="shared" si="6"/>
        <v>143415.00714276219</v>
      </c>
      <c r="F164" s="647">
        <v>-4816137.1694761012</v>
      </c>
      <c r="G164" s="648">
        <f>+Synthèse!F163</f>
        <v>-5026654.3726081308</v>
      </c>
      <c r="H164" s="648">
        <f t="shared" si="7"/>
        <v>-210517.20313202962</v>
      </c>
      <c r="I164" s="644">
        <v>396569.65950197878</v>
      </c>
      <c r="J164" s="649">
        <f>+Synthèse!H163</f>
        <v>421430.4220417334</v>
      </c>
      <c r="K164" s="649">
        <f t="shared" si="8"/>
        <v>24860.762539754622</v>
      </c>
    </row>
    <row r="165" spans="1:11" s="177" customFormat="1" ht="15" x14ac:dyDescent="0.25">
      <c r="A165" s="83">
        <f>Données!A165</f>
        <v>5680</v>
      </c>
      <c r="B165" s="282" t="str">
        <f>Données!B165</f>
        <v>Ogens</v>
      </c>
      <c r="C165" s="644">
        <v>200901.44167239481</v>
      </c>
      <c r="D165" s="645">
        <f>+Synthèse!G164</f>
        <v>104468.0338816333</v>
      </c>
      <c r="E165" s="646">
        <f t="shared" si="6"/>
        <v>-96433.407790761514</v>
      </c>
      <c r="F165" s="647">
        <v>8462.6344961199793</v>
      </c>
      <c r="G165" s="648">
        <f>+Synthèse!F164</f>
        <v>-97991.698102727038</v>
      </c>
      <c r="H165" s="648">
        <f t="shared" si="7"/>
        <v>-106454.33259884702</v>
      </c>
      <c r="I165" s="644">
        <v>31207.014302569569</v>
      </c>
      <c r="J165" s="649">
        <f>+Synthèse!H164</f>
        <v>26668.526265042579</v>
      </c>
      <c r="K165" s="649">
        <f t="shared" si="8"/>
        <v>-4538.4880375269895</v>
      </c>
    </row>
    <row r="166" spans="1:11" s="177" customFormat="1" ht="15" x14ac:dyDescent="0.25">
      <c r="A166" s="83">
        <f>Données!A166</f>
        <v>5683</v>
      </c>
      <c r="B166" s="282" t="str">
        <f>Données!B166</f>
        <v>Prévonloup</v>
      </c>
      <c r="C166" s="644">
        <v>70319.064443199284</v>
      </c>
      <c r="D166" s="645">
        <f>+Synthèse!G165</f>
        <v>109079.44908892366</v>
      </c>
      <c r="E166" s="646">
        <f t="shared" si="6"/>
        <v>38760.384645724378</v>
      </c>
      <c r="F166" s="647">
        <v>-39651.458479115201</v>
      </c>
      <c r="G166" s="648">
        <f>+Synthèse!F165</f>
        <v>-154833.30378840867</v>
      </c>
      <c r="H166" s="648">
        <f t="shared" si="7"/>
        <v>-115181.84530929347</v>
      </c>
      <c r="I166" s="644">
        <v>15857.748895936897</v>
      </c>
      <c r="J166" s="649">
        <f>+Synthèse!H165</f>
        <v>9572.5731267467781</v>
      </c>
      <c r="K166" s="649">
        <f t="shared" si="8"/>
        <v>-6285.1757691901184</v>
      </c>
    </row>
    <row r="167" spans="1:11" s="177" customFormat="1" ht="15" x14ac:dyDescent="0.25">
      <c r="A167" s="83">
        <f>Données!A167</f>
        <v>5684</v>
      </c>
      <c r="B167" s="282" t="str">
        <f>Données!B167</f>
        <v>Rossenges</v>
      </c>
      <c r="C167" s="644">
        <v>52706.818472281338</v>
      </c>
      <c r="D167" s="645">
        <f>+Synthèse!G166</f>
        <v>243847.36938169814</v>
      </c>
      <c r="E167" s="646">
        <f t="shared" si="6"/>
        <v>191140.55090941681</v>
      </c>
      <c r="F167" s="647">
        <v>43377.848692916697</v>
      </c>
      <c r="G167" s="648">
        <f>+Synthèse!F166</f>
        <v>186143.58597169854</v>
      </c>
      <c r="H167" s="648">
        <f t="shared" si="7"/>
        <v>142765.73727878183</v>
      </c>
      <c r="I167" s="644">
        <v>11627.438163171071</v>
      </c>
      <c r="J167" s="649">
        <f>+Synthèse!H166</f>
        <v>19635.309422168844</v>
      </c>
      <c r="K167" s="649">
        <f t="shared" si="8"/>
        <v>8007.8712589977731</v>
      </c>
    </row>
    <row r="168" spans="1:11" s="177" customFormat="1" ht="15" x14ac:dyDescent="0.25">
      <c r="A168" s="83">
        <f>Données!A168</f>
        <v>5688</v>
      </c>
      <c r="B168" s="282" t="str">
        <f>Données!B168</f>
        <v>Syens</v>
      </c>
      <c r="C168" s="644">
        <v>78969.191380415446</v>
      </c>
      <c r="D168" s="645">
        <f>+Synthèse!G167</f>
        <v>72193.868884059048</v>
      </c>
      <c r="E168" s="646">
        <f t="shared" si="6"/>
        <v>-6775.3224963563989</v>
      </c>
      <c r="F168" s="647">
        <v>20433.319610407707</v>
      </c>
      <c r="G168" s="648">
        <f>+Synthèse!F167</f>
        <v>19884.944542614045</v>
      </c>
      <c r="H168" s="648">
        <f t="shared" si="7"/>
        <v>-548.37506779366231</v>
      </c>
      <c r="I168" s="644">
        <v>16341.212676605224</v>
      </c>
      <c r="J168" s="649">
        <f>+Synthèse!H167</f>
        <v>15323.578001783222</v>
      </c>
      <c r="K168" s="649">
        <f t="shared" si="8"/>
        <v>-1017.6346748220021</v>
      </c>
    </row>
    <row r="169" spans="1:11" s="177" customFormat="1" ht="15" x14ac:dyDescent="0.25">
      <c r="A169" s="83">
        <f>Données!A169</f>
        <v>5690</v>
      </c>
      <c r="B169" s="282" t="str">
        <f>Données!B169</f>
        <v>Villars-le-Comte</v>
      </c>
      <c r="C169" s="644">
        <v>71315.16639394057</v>
      </c>
      <c r="D169" s="645">
        <f>+Synthèse!G168</f>
        <v>65698.037125662828</v>
      </c>
      <c r="E169" s="646">
        <f t="shared" si="6"/>
        <v>-5617.1292682777421</v>
      </c>
      <c r="F169" s="647">
        <v>22235.052095147861</v>
      </c>
      <c r="G169" s="648">
        <f>+Synthèse!F168</f>
        <v>22071.757810037292</v>
      </c>
      <c r="H169" s="648">
        <f t="shared" si="7"/>
        <v>-163.29428511056904</v>
      </c>
      <c r="I169" s="644">
        <v>13393.755197991586</v>
      </c>
      <c r="J169" s="649">
        <f>+Synthèse!H168</f>
        <v>12526.554838756341</v>
      </c>
      <c r="K169" s="649">
        <f t="shared" si="8"/>
        <v>-867.20035923524483</v>
      </c>
    </row>
    <row r="170" spans="1:11" s="177" customFormat="1" ht="15" x14ac:dyDescent="0.25">
      <c r="A170" s="83">
        <f>Données!A170</f>
        <v>5692</v>
      </c>
      <c r="B170" s="282" t="str">
        <f>Données!B170</f>
        <v>Vucherens</v>
      </c>
      <c r="C170" s="644">
        <v>327932.55781421653</v>
      </c>
      <c r="D170" s="645">
        <f>+Synthèse!G169</f>
        <v>289557.56236726634</v>
      </c>
      <c r="E170" s="646">
        <f t="shared" si="6"/>
        <v>-38374.995446950197</v>
      </c>
      <c r="F170" s="647">
        <v>-83326.087712355191</v>
      </c>
      <c r="G170" s="648">
        <f>+Synthèse!F169</f>
        <v>-34036.215770888317</v>
      </c>
      <c r="H170" s="648">
        <f t="shared" si="7"/>
        <v>49289.871941466874</v>
      </c>
      <c r="I170" s="644">
        <v>58442.838940473375</v>
      </c>
      <c r="J170" s="649">
        <f>+Synthèse!H169</f>
        <v>57734.568313942349</v>
      </c>
      <c r="K170" s="649">
        <f t="shared" si="8"/>
        <v>-708.27062653102621</v>
      </c>
    </row>
    <row r="171" spans="1:11" s="177" customFormat="1" ht="15" x14ac:dyDescent="0.25">
      <c r="A171" s="83">
        <f>Données!A171</f>
        <v>5693</v>
      </c>
      <c r="B171" s="282" t="str">
        <f>Données!B171</f>
        <v>Montanaire</v>
      </c>
      <c r="C171" s="644">
        <v>1221144.9259513277</v>
      </c>
      <c r="D171" s="645">
        <f>+Synthèse!G170</f>
        <v>1093244.3607084942</v>
      </c>
      <c r="E171" s="646">
        <f t="shared" si="6"/>
        <v>-127900.56524283346</v>
      </c>
      <c r="F171" s="647">
        <v>-945411.33183939452</v>
      </c>
      <c r="G171" s="648">
        <f>+Synthèse!F170</f>
        <v>-1180338.1230075813</v>
      </c>
      <c r="H171" s="648">
        <f t="shared" si="7"/>
        <v>-234926.79116818681</v>
      </c>
      <c r="I171" s="644">
        <v>246513.26677870814</v>
      </c>
      <c r="J171" s="649">
        <f>+Synthèse!H170</f>
        <v>227574.94767882116</v>
      </c>
      <c r="K171" s="649">
        <f t="shared" si="8"/>
        <v>-18938.319099886983</v>
      </c>
    </row>
    <row r="172" spans="1:11" s="177" customFormat="1" ht="15" x14ac:dyDescent="0.25">
      <c r="A172" s="83">
        <f>Données!A172</f>
        <v>5701</v>
      </c>
      <c r="B172" s="282" t="str">
        <f>Données!B172</f>
        <v>Arnex-sur-Nyon</v>
      </c>
      <c r="C172" s="644">
        <v>389590.69681230135</v>
      </c>
      <c r="D172" s="645">
        <f>+Synthèse!G171</f>
        <v>519234.50224848831</v>
      </c>
      <c r="E172" s="646">
        <f t="shared" si="6"/>
        <v>129643.80543618696</v>
      </c>
      <c r="F172" s="647">
        <v>223304.30119904072</v>
      </c>
      <c r="G172" s="648">
        <f>+Synthèse!F171</f>
        <v>406499.53035551478</v>
      </c>
      <c r="H172" s="648">
        <f t="shared" si="7"/>
        <v>183195.22915647406</v>
      </c>
      <c r="I172" s="644">
        <v>37292.740920714881</v>
      </c>
      <c r="J172" s="649">
        <f>+Synthèse!H171</f>
        <v>49905.238675890461</v>
      </c>
      <c r="K172" s="649">
        <f t="shared" si="8"/>
        <v>12612.49775517558</v>
      </c>
    </row>
    <row r="173" spans="1:11" s="177" customFormat="1" ht="15" x14ac:dyDescent="0.25">
      <c r="A173" s="83">
        <f>Données!A173</f>
        <v>5702</v>
      </c>
      <c r="B173" s="282" t="str">
        <f>Données!B173</f>
        <v>Arzier-Le Muids</v>
      </c>
      <c r="C173" s="644">
        <v>3903677.680081903</v>
      </c>
      <c r="D173" s="645">
        <f>+Synthèse!G172</f>
        <v>3228041.812395161</v>
      </c>
      <c r="E173" s="646">
        <f t="shared" si="6"/>
        <v>-675635.86768674199</v>
      </c>
      <c r="F173" s="647">
        <v>2302212.3949047667</v>
      </c>
      <c r="G173" s="648">
        <f>+Synthèse!F172</f>
        <v>2474577.5605218331</v>
      </c>
      <c r="H173" s="648">
        <f t="shared" si="7"/>
        <v>172365.16561706644</v>
      </c>
      <c r="I173" s="644">
        <v>493772.14928143541</v>
      </c>
      <c r="J173" s="649">
        <f>+Synthèse!H172</f>
        <v>485877.55657365831</v>
      </c>
      <c r="K173" s="649">
        <f t="shared" si="8"/>
        <v>-7894.5927077771048</v>
      </c>
    </row>
    <row r="174" spans="1:11" s="177" customFormat="1" ht="15" x14ac:dyDescent="0.25">
      <c r="A174" s="83">
        <f>Données!A174</f>
        <v>5703</v>
      </c>
      <c r="B174" s="282" t="str">
        <f>Données!B174</f>
        <v>Bassins</v>
      </c>
      <c r="C174" s="644">
        <v>1057257.9247790363</v>
      </c>
      <c r="D174" s="645">
        <f>+Synthèse!G173</f>
        <v>921196.53595143172</v>
      </c>
      <c r="E174" s="646">
        <f t="shared" si="6"/>
        <v>-136061.38882760459</v>
      </c>
      <c r="F174" s="647">
        <v>863571.98142379837</v>
      </c>
      <c r="G174" s="648">
        <f>+Synthèse!F173</f>
        <v>968439.84218331764</v>
      </c>
      <c r="H174" s="648">
        <f t="shared" si="7"/>
        <v>104867.86075951927</v>
      </c>
      <c r="I174" s="644">
        <v>202576.08742990997</v>
      </c>
      <c r="J174" s="649">
        <f>+Synthèse!H173</f>
        <v>208266.57714665902</v>
      </c>
      <c r="K174" s="649">
        <f t="shared" si="8"/>
        <v>5690.4897167490562</v>
      </c>
    </row>
    <row r="175" spans="1:11" s="177" customFormat="1" ht="15" x14ac:dyDescent="0.25">
      <c r="A175" s="83">
        <f>Données!A175</f>
        <v>5704</v>
      </c>
      <c r="B175" s="282" t="str">
        <f>Données!B175</f>
        <v>Begnins</v>
      </c>
      <c r="C175" s="644">
        <v>2538558.185131433</v>
      </c>
      <c r="D175" s="645">
        <f>+Synthèse!G174</f>
        <v>2719595.3153810631</v>
      </c>
      <c r="E175" s="646">
        <f t="shared" si="6"/>
        <v>181037.13024963019</v>
      </c>
      <c r="F175" s="647">
        <v>2068245.1485493104</v>
      </c>
      <c r="G175" s="648">
        <f>+Synthèse!F174</f>
        <v>2456385.3315921603</v>
      </c>
      <c r="H175" s="648">
        <f t="shared" si="7"/>
        <v>388140.18304284988</v>
      </c>
      <c r="I175" s="644">
        <v>331933.57562588924</v>
      </c>
      <c r="J175" s="649">
        <f>+Synthèse!H174</f>
        <v>358467.03233673616</v>
      </c>
      <c r="K175" s="649">
        <f t="shared" si="8"/>
        <v>26533.45671084692</v>
      </c>
    </row>
    <row r="176" spans="1:11" s="177" customFormat="1" ht="15" x14ac:dyDescent="0.25">
      <c r="A176" s="83">
        <f>Données!A176</f>
        <v>5705</v>
      </c>
      <c r="B176" s="282" t="str">
        <f>Données!B176</f>
        <v>Bogis-Bossey</v>
      </c>
      <c r="C176" s="644">
        <v>1086535.8100126053</v>
      </c>
      <c r="D176" s="645">
        <f>+Synthèse!G175</f>
        <v>1035797.6065714245</v>
      </c>
      <c r="E176" s="646">
        <f t="shared" si="6"/>
        <v>-50738.203441180754</v>
      </c>
      <c r="F176" s="647">
        <v>879571.83006072661</v>
      </c>
      <c r="G176" s="648">
        <f>+Synthèse!F175</f>
        <v>1049717.6977200122</v>
      </c>
      <c r="H176" s="648">
        <f t="shared" si="7"/>
        <v>170145.86765928555</v>
      </c>
      <c r="I176" s="644">
        <v>144737.00701085231</v>
      </c>
      <c r="J176" s="649">
        <f>+Synthèse!H175</f>
        <v>158837.94444100239</v>
      </c>
      <c r="K176" s="649">
        <f t="shared" si="8"/>
        <v>14100.937430150079</v>
      </c>
    </row>
    <row r="177" spans="1:11" s="177" customFormat="1" ht="15" x14ac:dyDescent="0.25">
      <c r="A177" s="83">
        <f>Données!A177</f>
        <v>5706</v>
      </c>
      <c r="B177" s="282" t="str">
        <f>Données!B177</f>
        <v>Borex</v>
      </c>
      <c r="C177" s="644">
        <v>1255293.2229332095</v>
      </c>
      <c r="D177" s="645">
        <f>+Synthèse!G176</f>
        <v>1105058.2275202626</v>
      </c>
      <c r="E177" s="646">
        <f t="shared" si="6"/>
        <v>-150234.99541294691</v>
      </c>
      <c r="F177" s="647">
        <v>1176083.6949115768</v>
      </c>
      <c r="G177" s="648">
        <f>+Synthèse!F176</f>
        <v>1170469.969526629</v>
      </c>
      <c r="H177" s="648">
        <f t="shared" si="7"/>
        <v>-5613.7253849478438</v>
      </c>
      <c r="I177" s="644">
        <v>185533.35054695857</v>
      </c>
      <c r="J177" s="649">
        <f>+Synthèse!H176</f>
        <v>183083.09620040102</v>
      </c>
      <c r="K177" s="649">
        <f t="shared" si="8"/>
        <v>-2450.2543465575436</v>
      </c>
    </row>
    <row r="178" spans="1:11" s="177" customFormat="1" ht="15" x14ac:dyDescent="0.25">
      <c r="A178" s="83">
        <f>Données!A178</f>
        <v>5707</v>
      </c>
      <c r="B178" s="282" t="str">
        <f>Données!B178</f>
        <v>Chavannes-de-Bogis</v>
      </c>
      <c r="C178" s="644">
        <v>1953863.4101976508</v>
      </c>
      <c r="D178" s="645">
        <f>+Synthèse!G177</f>
        <v>1903707.7143536105</v>
      </c>
      <c r="E178" s="646">
        <f t="shared" si="6"/>
        <v>-50155.695844040252</v>
      </c>
      <c r="F178" s="647">
        <v>1455013.2743009173</v>
      </c>
      <c r="G178" s="648">
        <f>+Synthèse!F177</f>
        <v>1691045.9123313867</v>
      </c>
      <c r="H178" s="648">
        <f t="shared" si="7"/>
        <v>236032.63803046942</v>
      </c>
      <c r="I178" s="644">
        <v>223581.5394083751</v>
      </c>
      <c r="J178" s="649">
        <f>+Synthèse!H177</f>
        <v>240571.95565561822</v>
      </c>
      <c r="K178" s="649">
        <f t="shared" si="8"/>
        <v>16990.41624724312</v>
      </c>
    </row>
    <row r="179" spans="1:11" s="177" customFormat="1" ht="15" x14ac:dyDescent="0.25">
      <c r="A179" s="83">
        <f>Données!A179</f>
        <v>5708</v>
      </c>
      <c r="B179" s="282" t="str">
        <f>Données!B179</f>
        <v>Chavannes-des-Bois</v>
      </c>
      <c r="C179" s="644">
        <v>1325209.2388644912</v>
      </c>
      <c r="D179" s="645">
        <f>+Synthèse!G178</f>
        <v>1221360.4549597555</v>
      </c>
      <c r="E179" s="646">
        <f t="shared" si="6"/>
        <v>-103848.7839047357</v>
      </c>
      <c r="F179" s="647">
        <v>1210692.8040414413</v>
      </c>
      <c r="G179" s="648">
        <f>+Synthèse!F178</f>
        <v>1250236.7334163182</v>
      </c>
      <c r="H179" s="648">
        <f t="shared" si="7"/>
        <v>39543.929374876898</v>
      </c>
      <c r="I179" s="644">
        <v>175243.02206390796</v>
      </c>
      <c r="J179" s="649">
        <f>+Synthèse!H178</f>
        <v>169524.53823943849</v>
      </c>
      <c r="K179" s="649">
        <f t="shared" si="8"/>
        <v>-5718.4838244694693</v>
      </c>
    </row>
    <row r="180" spans="1:11" s="177" customFormat="1" ht="15" x14ac:dyDescent="0.25">
      <c r="A180" s="83">
        <f>Données!A180</f>
        <v>5709</v>
      </c>
      <c r="B180" s="282" t="str">
        <f>Données!B180</f>
        <v>Chéserex</v>
      </c>
      <c r="C180" s="644">
        <v>1891879.6811350649</v>
      </c>
      <c r="D180" s="645">
        <f>+Synthèse!G179</f>
        <v>2449623.9781531929</v>
      </c>
      <c r="E180" s="646">
        <f t="shared" si="6"/>
        <v>557744.29701812798</v>
      </c>
      <c r="F180" s="647">
        <v>1560252.1086019522</v>
      </c>
      <c r="G180" s="648">
        <f>+Synthèse!F179</f>
        <v>1939799.0705867</v>
      </c>
      <c r="H180" s="648">
        <f t="shared" si="7"/>
        <v>379546.96198474779</v>
      </c>
      <c r="I180" s="644">
        <v>223222.22638027888</v>
      </c>
      <c r="J180" s="649">
        <f>+Synthèse!H179</f>
        <v>242229.39568954095</v>
      </c>
      <c r="K180" s="649">
        <f t="shared" si="8"/>
        <v>19007.16930926207</v>
      </c>
    </row>
    <row r="181" spans="1:11" s="177" customFormat="1" ht="15" x14ac:dyDescent="0.25">
      <c r="A181" s="83">
        <f>Données!A181</f>
        <v>5710</v>
      </c>
      <c r="B181" s="282" t="str">
        <f>Données!B181</f>
        <v>Coinsins</v>
      </c>
      <c r="C181" s="644">
        <v>650051.06599729892</v>
      </c>
      <c r="D181" s="645">
        <f>+Synthèse!G180</f>
        <v>386544.30347247003</v>
      </c>
      <c r="E181" s="646">
        <f t="shared" si="6"/>
        <v>-263506.7625248289</v>
      </c>
      <c r="F181" s="647">
        <v>592187.01716262649</v>
      </c>
      <c r="G181" s="648">
        <f>+Synthèse!F180</f>
        <v>434359.35915360821</v>
      </c>
      <c r="H181" s="648">
        <f t="shared" si="7"/>
        <v>-157827.65800901828</v>
      </c>
      <c r="I181" s="644">
        <v>85633.425323384552</v>
      </c>
      <c r="J181" s="649">
        <f>+Synthèse!H180</f>
        <v>74708.428491916129</v>
      </c>
      <c r="K181" s="649">
        <f t="shared" si="8"/>
        <v>-10924.996831468423</v>
      </c>
    </row>
    <row r="182" spans="1:11" s="177" customFormat="1" ht="15" x14ac:dyDescent="0.25">
      <c r="A182" s="83">
        <f>Données!A182</f>
        <v>5711</v>
      </c>
      <c r="B182" s="282" t="str">
        <f>Données!B182</f>
        <v>Commugny</v>
      </c>
      <c r="C182" s="644">
        <v>8255944.3610048015</v>
      </c>
      <c r="D182" s="645">
        <f>+Synthèse!G181</f>
        <v>6815154.7903894437</v>
      </c>
      <c r="E182" s="646">
        <f t="shared" si="6"/>
        <v>-1440789.5706153577</v>
      </c>
      <c r="F182" s="647">
        <v>5128682.0813043118</v>
      </c>
      <c r="G182" s="648">
        <f>+Synthèse!F181</f>
        <v>4910120.4979458544</v>
      </c>
      <c r="H182" s="648">
        <f t="shared" si="7"/>
        <v>-218561.58335845731</v>
      </c>
      <c r="I182" s="644">
        <v>642099.55755734269</v>
      </c>
      <c r="J182" s="649">
        <f>+Synthèse!H181</f>
        <v>606292.8966403252</v>
      </c>
      <c r="K182" s="649">
        <f t="shared" si="8"/>
        <v>-35806.660917017492</v>
      </c>
    </row>
    <row r="183" spans="1:11" s="177" customFormat="1" ht="15" x14ac:dyDescent="0.25">
      <c r="A183" s="83">
        <f>Données!A183</f>
        <v>5712</v>
      </c>
      <c r="B183" s="282" t="str">
        <f>Données!B183</f>
        <v>Coppet</v>
      </c>
      <c r="C183" s="644">
        <v>12592254.054030132</v>
      </c>
      <c r="D183" s="645">
        <f>+Synthèse!G182</f>
        <v>12966033.522754358</v>
      </c>
      <c r="E183" s="646">
        <f t="shared" si="6"/>
        <v>373779.46872422658</v>
      </c>
      <c r="F183" s="647">
        <v>7325711.9495554296</v>
      </c>
      <c r="G183" s="648">
        <f>+Synthèse!F182</f>
        <v>7989641.2118820865</v>
      </c>
      <c r="H183" s="648">
        <f t="shared" si="7"/>
        <v>663929.26232665684</v>
      </c>
      <c r="I183" s="644">
        <v>805395.28215117403</v>
      </c>
      <c r="J183" s="649">
        <f>+Synthèse!H182</f>
        <v>810611.98954527942</v>
      </c>
      <c r="K183" s="649">
        <f t="shared" si="8"/>
        <v>5216.7073941053823</v>
      </c>
    </row>
    <row r="184" spans="1:11" s="177" customFormat="1" ht="15" x14ac:dyDescent="0.25">
      <c r="A184" s="83">
        <f>Données!A184</f>
        <v>5713</v>
      </c>
      <c r="B184" s="282" t="str">
        <f>Données!B184</f>
        <v>Crans</v>
      </c>
      <c r="C184" s="644">
        <v>8321212.2181331655</v>
      </c>
      <c r="D184" s="645">
        <f>+Synthèse!G183</f>
        <v>8182912.8798773251</v>
      </c>
      <c r="E184" s="646">
        <f t="shared" si="6"/>
        <v>-138299.33825584035</v>
      </c>
      <c r="F184" s="647">
        <v>4943145.5330733238</v>
      </c>
      <c r="G184" s="648">
        <f>+Synthèse!F183</f>
        <v>4921566.2179854224</v>
      </c>
      <c r="H184" s="648">
        <f t="shared" si="7"/>
        <v>-21579.315087901428</v>
      </c>
      <c r="I184" s="644">
        <v>352729.19702038442</v>
      </c>
      <c r="J184" s="649">
        <f>+Synthèse!H183</f>
        <v>320500.14628311794</v>
      </c>
      <c r="K184" s="649">
        <f t="shared" si="8"/>
        <v>-32229.050737266487</v>
      </c>
    </row>
    <row r="185" spans="1:11" s="177" customFormat="1" ht="15" x14ac:dyDescent="0.25">
      <c r="A185" s="83">
        <f>Données!A185</f>
        <v>5714</v>
      </c>
      <c r="B185" s="282" t="str">
        <f>Données!B185</f>
        <v>Crassier</v>
      </c>
      <c r="C185" s="644">
        <v>1098736.2136664316</v>
      </c>
      <c r="D185" s="645">
        <f>+Synthèse!G184</f>
        <v>976972.07748474309</v>
      </c>
      <c r="E185" s="646">
        <f t="shared" si="6"/>
        <v>-121764.13618168852</v>
      </c>
      <c r="F185" s="647">
        <v>1008964.7457100614</v>
      </c>
      <c r="G185" s="648">
        <f>+Synthèse!F184</f>
        <v>1079947.3147545937</v>
      </c>
      <c r="H185" s="648">
        <f t="shared" si="7"/>
        <v>70982.569044532254</v>
      </c>
      <c r="I185" s="644">
        <v>186321.93084426312</v>
      </c>
      <c r="J185" s="649">
        <f>+Synthèse!H184</f>
        <v>192642.91863333213</v>
      </c>
      <c r="K185" s="649">
        <f t="shared" si="8"/>
        <v>6320.9877890690113</v>
      </c>
    </row>
    <row r="186" spans="1:11" s="177" customFormat="1" ht="15" x14ac:dyDescent="0.25">
      <c r="A186" s="83">
        <f>Données!A186</f>
        <v>5715</v>
      </c>
      <c r="B186" s="282" t="str">
        <f>Données!B186</f>
        <v>Duillier</v>
      </c>
      <c r="C186" s="644">
        <v>1070076.5962659812</v>
      </c>
      <c r="D186" s="645">
        <f>+Synthèse!G185</f>
        <v>877574.30225631979</v>
      </c>
      <c r="E186" s="646">
        <f t="shared" si="6"/>
        <v>-192502.29400966142</v>
      </c>
      <c r="F186" s="647">
        <v>1013222.7435133506</v>
      </c>
      <c r="G186" s="648">
        <f>+Synthèse!F185</f>
        <v>961588.16930196632</v>
      </c>
      <c r="H186" s="648">
        <f t="shared" si="7"/>
        <v>-51634.574211384286</v>
      </c>
      <c r="I186" s="644">
        <v>173553.3050411499</v>
      </c>
      <c r="J186" s="649">
        <f>+Synthèse!H185</f>
        <v>171006.40706712793</v>
      </c>
      <c r="K186" s="649">
        <f t="shared" si="8"/>
        <v>-2546.8979740219656</v>
      </c>
    </row>
    <row r="187" spans="1:11" s="177" customFormat="1" ht="15" x14ac:dyDescent="0.25">
      <c r="A187" s="83">
        <f>Données!A187</f>
        <v>5716</v>
      </c>
      <c r="B187" s="282" t="str">
        <f>Données!B187</f>
        <v>Eysins</v>
      </c>
      <c r="C187" s="644">
        <v>6877784.1395718101</v>
      </c>
      <c r="D187" s="645">
        <f>+Synthèse!G186</f>
        <v>13708359.518152948</v>
      </c>
      <c r="E187" s="646">
        <f t="shared" si="6"/>
        <v>6830575.3785811383</v>
      </c>
      <c r="F187" s="647">
        <v>4143622.6838901178</v>
      </c>
      <c r="G187" s="648">
        <f>+Synthèse!F186</f>
        <v>5597740.8530655364</v>
      </c>
      <c r="H187" s="648">
        <f t="shared" si="7"/>
        <v>1454118.1691754186</v>
      </c>
      <c r="I187" s="644">
        <v>444352.90185903711</v>
      </c>
      <c r="J187" s="649">
        <f>+Synthèse!H186</f>
        <v>599069.85317467595</v>
      </c>
      <c r="K187" s="649">
        <f t="shared" si="8"/>
        <v>154716.95131563884</v>
      </c>
    </row>
    <row r="188" spans="1:11" s="177" customFormat="1" ht="15" x14ac:dyDescent="0.25">
      <c r="A188" s="83">
        <f>Données!A188</f>
        <v>5717</v>
      </c>
      <c r="B188" s="282" t="str">
        <f>Données!B188</f>
        <v>Founex</v>
      </c>
      <c r="C188" s="644">
        <v>9211442.2839247435</v>
      </c>
      <c r="D188" s="645">
        <f>+Synthèse!G187</f>
        <v>9448188.0882411767</v>
      </c>
      <c r="E188" s="646">
        <f t="shared" si="6"/>
        <v>236745.80431643315</v>
      </c>
      <c r="F188" s="647">
        <v>5822293.5880625993</v>
      </c>
      <c r="G188" s="648">
        <f>+Synthèse!F187</f>
        <v>6366941.7701866971</v>
      </c>
      <c r="H188" s="648">
        <f t="shared" si="7"/>
        <v>544648.18212409783</v>
      </c>
      <c r="I188" s="644">
        <v>780524.88007431815</v>
      </c>
      <c r="J188" s="649">
        <f>+Synthèse!H187</f>
        <v>782873.59235986765</v>
      </c>
      <c r="K188" s="649">
        <f t="shared" si="8"/>
        <v>2348.7122855494963</v>
      </c>
    </row>
    <row r="189" spans="1:11" s="177" customFormat="1" ht="15" x14ac:dyDescent="0.25">
      <c r="A189" s="83">
        <f>Données!A189</f>
        <v>5718</v>
      </c>
      <c r="B189" s="282" t="str">
        <f>Données!B189</f>
        <v>Genolier</v>
      </c>
      <c r="C189" s="644">
        <v>5571848.5311208572</v>
      </c>
      <c r="D189" s="645">
        <f>+Synthèse!G188</f>
        <v>6057686.5471714484</v>
      </c>
      <c r="E189" s="646">
        <f t="shared" si="6"/>
        <v>485838.01605059113</v>
      </c>
      <c r="F189" s="647">
        <v>3661522.4838708555</v>
      </c>
      <c r="G189" s="648">
        <f>+Synthèse!F188</f>
        <v>4191534.7083787876</v>
      </c>
      <c r="H189" s="648">
        <f t="shared" si="7"/>
        <v>530012.22450793209</v>
      </c>
      <c r="I189" s="644">
        <v>442588.53552442393</v>
      </c>
      <c r="J189" s="649">
        <f>+Synthèse!H188</f>
        <v>454554.99181912222</v>
      </c>
      <c r="K189" s="649">
        <f t="shared" si="8"/>
        <v>11966.456294698291</v>
      </c>
    </row>
    <row r="190" spans="1:11" s="177" customFormat="1" ht="15" x14ac:dyDescent="0.25">
      <c r="A190" s="83">
        <f>Données!A190</f>
        <v>5719</v>
      </c>
      <c r="B190" s="282" t="str">
        <f>Données!B190</f>
        <v>Gingins</v>
      </c>
      <c r="C190" s="644">
        <v>3252192.0516434237</v>
      </c>
      <c r="D190" s="645">
        <f>+Synthèse!G189</f>
        <v>5598602.3213437721</v>
      </c>
      <c r="E190" s="646">
        <f t="shared" si="6"/>
        <v>2346410.2697003484</v>
      </c>
      <c r="F190" s="647">
        <v>2120979.3496294864</v>
      </c>
      <c r="G190" s="648">
        <f>+Synthèse!F189</f>
        <v>3172467.7152342228</v>
      </c>
      <c r="H190" s="648">
        <f t="shared" si="7"/>
        <v>1051488.3656047364</v>
      </c>
      <c r="I190" s="644">
        <v>260831.46799079707</v>
      </c>
      <c r="J190" s="649">
        <f>+Synthèse!H189</f>
        <v>310105.90402809379</v>
      </c>
      <c r="K190" s="649">
        <f t="shared" si="8"/>
        <v>49274.43603729672</v>
      </c>
    </row>
    <row r="191" spans="1:11" s="177" customFormat="1" ht="15" x14ac:dyDescent="0.25">
      <c r="A191" s="83">
        <f>Données!A191</f>
        <v>5720</v>
      </c>
      <c r="B191" s="282" t="str">
        <f>Données!B191</f>
        <v>Givrins</v>
      </c>
      <c r="C191" s="644">
        <v>2010440.8408061715</v>
      </c>
      <c r="D191" s="645">
        <f>+Synthèse!G190</f>
        <v>2863678.0494778482</v>
      </c>
      <c r="E191" s="646">
        <f t="shared" si="6"/>
        <v>853237.20867167669</v>
      </c>
      <c r="F191" s="647">
        <v>1504648.9953052609</v>
      </c>
      <c r="G191" s="648">
        <f>+Synthèse!F190</f>
        <v>1331837.2882332536</v>
      </c>
      <c r="H191" s="648">
        <f t="shared" si="7"/>
        <v>-172811.70707200724</v>
      </c>
      <c r="I191" s="644">
        <v>195613.84380486218</v>
      </c>
      <c r="J191" s="649">
        <f>+Synthèse!H190</f>
        <v>185557.07457947027</v>
      </c>
      <c r="K191" s="649">
        <f t="shared" si="8"/>
        <v>-10056.769225391909</v>
      </c>
    </row>
    <row r="192" spans="1:11" s="177" customFormat="1" ht="15" x14ac:dyDescent="0.25">
      <c r="A192" s="83">
        <f>Données!A192</f>
        <v>5721</v>
      </c>
      <c r="B192" s="282" t="str">
        <f>Données!B192</f>
        <v>Gland</v>
      </c>
      <c r="C192" s="644">
        <v>11554166.529921733</v>
      </c>
      <c r="D192" s="645">
        <f>+Synthèse!G191</f>
        <v>11618782.820849463</v>
      </c>
      <c r="E192" s="646">
        <f t="shared" si="6"/>
        <v>64616.290927730501</v>
      </c>
      <c r="F192" s="647">
        <v>4626905.3204763308</v>
      </c>
      <c r="G192" s="648">
        <f>+Synthèse!F191</f>
        <v>4983625.1995545216</v>
      </c>
      <c r="H192" s="648">
        <f t="shared" si="7"/>
        <v>356719.87907819077</v>
      </c>
      <c r="I192" s="644">
        <v>2061802.3176970426</v>
      </c>
      <c r="J192" s="649">
        <f>+Synthèse!H191</f>
        <v>2104379.1487430702</v>
      </c>
      <c r="K192" s="649">
        <f t="shared" si="8"/>
        <v>42576.831046027597</v>
      </c>
    </row>
    <row r="193" spans="1:11" s="177" customFormat="1" ht="15" x14ac:dyDescent="0.25">
      <c r="A193" s="83">
        <f>Données!A193</f>
        <v>5722</v>
      </c>
      <c r="B193" s="282" t="str">
        <f>Données!B193</f>
        <v>Grens</v>
      </c>
      <c r="C193" s="644">
        <v>396974.88288141123</v>
      </c>
      <c r="D193" s="645">
        <f>+Synthèse!G192</f>
        <v>747232.19350118574</v>
      </c>
      <c r="E193" s="646">
        <f t="shared" si="6"/>
        <v>350257.31061977451</v>
      </c>
      <c r="F193" s="647">
        <v>357496.74766672897</v>
      </c>
      <c r="G193" s="648">
        <f>+Synthèse!F192</f>
        <v>608706.09439211828</v>
      </c>
      <c r="H193" s="648">
        <f t="shared" si="7"/>
        <v>251209.3467253893</v>
      </c>
      <c r="I193" s="644">
        <v>61225.56345993682</v>
      </c>
      <c r="J193" s="649">
        <f>+Synthèse!H192</f>
        <v>74149.965347994264</v>
      </c>
      <c r="K193" s="649">
        <f t="shared" si="8"/>
        <v>12924.401888057444</v>
      </c>
    </row>
    <row r="194" spans="1:11" s="177" customFormat="1" ht="15" x14ac:dyDescent="0.25">
      <c r="A194" s="83">
        <f>Données!A194</f>
        <v>5723</v>
      </c>
      <c r="B194" s="282" t="str">
        <f>Données!B194</f>
        <v>Mies</v>
      </c>
      <c r="C194" s="644">
        <v>7109168.7447769195</v>
      </c>
      <c r="D194" s="645">
        <f>+Synthèse!G193</f>
        <v>7654859.20371933</v>
      </c>
      <c r="E194" s="646">
        <f t="shared" si="6"/>
        <v>545690.45894241054</v>
      </c>
      <c r="F194" s="647">
        <v>4393344.0277071334</v>
      </c>
      <c r="G194" s="648">
        <f>+Synthèse!F193</f>
        <v>4783760.8389232829</v>
      </c>
      <c r="H194" s="648">
        <f t="shared" si="7"/>
        <v>390416.81121614948</v>
      </c>
      <c r="I194" s="644">
        <v>511197.52220016561</v>
      </c>
      <c r="J194" s="649">
        <f>+Synthèse!H193</f>
        <v>505599.60764794966</v>
      </c>
      <c r="K194" s="649">
        <f t="shared" si="8"/>
        <v>-5597.9145522159524</v>
      </c>
    </row>
    <row r="195" spans="1:11" s="177" customFormat="1" ht="15" x14ac:dyDescent="0.25">
      <c r="A195" s="83">
        <f>Données!A195</f>
        <v>5724</v>
      </c>
      <c r="B195" s="282" t="str">
        <f>Données!B195</f>
        <v>Nyon</v>
      </c>
      <c r="C195" s="644">
        <v>31600297.792368643</v>
      </c>
      <c r="D195" s="645">
        <f>+Synthèse!G194</f>
        <v>31597818.28286704</v>
      </c>
      <c r="E195" s="646">
        <f t="shared" si="6"/>
        <v>-2479.5095016025007</v>
      </c>
      <c r="F195" s="647">
        <v>9850509.9528779872</v>
      </c>
      <c r="G195" s="648">
        <f>+Synthèse!F194</f>
        <v>11499248.437183239</v>
      </c>
      <c r="H195" s="648">
        <f t="shared" si="7"/>
        <v>1648738.4843052514</v>
      </c>
      <c r="I195" s="644">
        <v>1886048.9262436971</v>
      </c>
      <c r="J195" s="649">
        <f>+Synthèse!H194</f>
        <v>1842748.7952803506</v>
      </c>
      <c r="K195" s="649">
        <f t="shared" si="8"/>
        <v>-43300.130963346455</v>
      </c>
    </row>
    <row r="196" spans="1:11" s="177" customFormat="1" ht="15" x14ac:dyDescent="0.25">
      <c r="A196" s="83">
        <f>Données!A196</f>
        <v>5725</v>
      </c>
      <c r="B196" s="282" t="str">
        <f>Données!B196</f>
        <v>Prangins</v>
      </c>
      <c r="C196" s="644">
        <v>9236798.9428448249</v>
      </c>
      <c r="D196" s="645">
        <f>+Synthèse!G195</f>
        <v>7705284.6667896444</v>
      </c>
      <c r="E196" s="646">
        <f t="shared" si="6"/>
        <v>-1531514.2760551805</v>
      </c>
      <c r="F196" s="647">
        <v>6088313.5268328069</v>
      </c>
      <c r="G196" s="648">
        <f>+Synthèse!F195</f>
        <v>5661008.1758429091</v>
      </c>
      <c r="H196" s="648">
        <f t="shared" si="7"/>
        <v>-427305.35098989774</v>
      </c>
      <c r="I196" s="644">
        <v>482568.01290612132</v>
      </c>
      <c r="J196" s="649">
        <f>+Synthèse!H195</f>
        <v>413445.23051410244</v>
      </c>
      <c r="K196" s="649">
        <f t="shared" si="8"/>
        <v>-69122.782392018882</v>
      </c>
    </row>
    <row r="197" spans="1:11" s="177" customFormat="1" ht="15" x14ac:dyDescent="0.25">
      <c r="A197" s="83">
        <f>Données!A197</f>
        <v>5726</v>
      </c>
      <c r="B197" s="282" t="str">
        <f>Données!B197</f>
        <v>La Rippe</v>
      </c>
      <c r="C197" s="644">
        <v>1249312.1841734839</v>
      </c>
      <c r="D197" s="645">
        <f>+Synthèse!G196</f>
        <v>1101395.6131276654</v>
      </c>
      <c r="E197" s="646">
        <f t="shared" si="6"/>
        <v>-147916.57104581851</v>
      </c>
      <c r="F197" s="647">
        <v>1164526.6613036494</v>
      </c>
      <c r="G197" s="648">
        <f>+Synthèse!F196</f>
        <v>1234514.8833417692</v>
      </c>
      <c r="H197" s="648">
        <f t="shared" si="7"/>
        <v>69988.222038119799</v>
      </c>
      <c r="I197" s="644">
        <v>192156.68240035881</v>
      </c>
      <c r="J197" s="649">
        <f>+Synthèse!H196</f>
        <v>192422.02773605398</v>
      </c>
      <c r="K197" s="649">
        <f t="shared" si="8"/>
        <v>265.34533569516498</v>
      </c>
    </row>
    <row r="198" spans="1:11" s="177" customFormat="1" ht="15" x14ac:dyDescent="0.25">
      <c r="A198" s="83">
        <f>Données!A198</f>
        <v>5727</v>
      </c>
      <c r="B198" s="282" t="str">
        <f>Données!B198</f>
        <v>Saint-Cergue</v>
      </c>
      <c r="C198" s="644">
        <v>2099250.6753460146</v>
      </c>
      <c r="D198" s="645">
        <f>+Synthèse!G197</f>
        <v>1630442.7632247247</v>
      </c>
      <c r="E198" s="646">
        <f t="shared" si="6"/>
        <v>-468807.91212128988</v>
      </c>
      <c r="F198" s="647">
        <v>503433.16366467904</v>
      </c>
      <c r="G198" s="648">
        <f>+Synthèse!F197</f>
        <v>173704.82520292653</v>
      </c>
      <c r="H198" s="648">
        <f t="shared" si="7"/>
        <v>-329728.33846175252</v>
      </c>
      <c r="I198" s="644">
        <v>329470.78901170898</v>
      </c>
      <c r="J198" s="649">
        <f>+Synthèse!H197</f>
        <v>330989.23875144718</v>
      </c>
      <c r="K198" s="649">
        <f t="shared" si="8"/>
        <v>1518.4497397381929</v>
      </c>
    </row>
    <row r="199" spans="1:11" s="177" customFormat="1" ht="15" x14ac:dyDescent="0.25">
      <c r="A199" s="83">
        <f>Données!A199</f>
        <v>5728</v>
      </c>
      <c r="B199" s="282" t="str">
        <f>Données!B199</f>
        <v>Signy-Avenex</v>
      </c>
      <c r="C199" s="644">
        <v>1817997.0209007626</v>
      </c>
      <c r="D199" s="645">
        <f>+Synthèse!G198</f>
        <v>837403.15715062292</v>
      </c>
      <c r="E199" s="646">
        <f t="shared" ref="E199:E262" si="9">+D199-C199</f>
        <v>-980593.86375013972</v>
      </c>
      <c r="F199" s="647">
        <v>1216874.1743497241</v>
      </c>
      <c r="G199" s="648">
        <f>+Synthèse!F198</f>
        <v>791740.72683631419</v>
      </c>
      <c r="H199" s="648">
        <f t="shared" ref="H199:H262" si="10">+G199-F199</f>
        <v>-425133.44751340989</v>
      </c>
      <c r="I199" s="644">
        <v>133279.2302957745</v>
      </c>
      <c r="J199" s="649">
        <f>+Synthèse!H198</f>
        <v>105672.69344200895</v>
      </c>
      <c r="K199" s="649">
        <f t="shared" ref="K199:K262" si="11">+J199-I199</f>
        <v>-27606.536853765545</v>
      </c>
    </row>
    <row r="200" spans="1:11" s="177" customFormat="1" ht="15" x14ac:dyDescent="0.25">
      <c r="A200" s="83">
        <f>Données!A200</f>
        <v>5729</v>
      </c>
      <c r="B200" s="282" t="str">
        <f>Données!B200</f>
        <v>Tannay</v>
      </c>
      <c r="C200" s="644">
        <v>5652482.3283048719</v>
      </c>
      <c r="D200" s="645">
        <f>+Synthèse!G199</f>
        <v>4682961.405471188</v>
      </c>
      <c r="E200" s="646">
        <f t="shared" si="9"/>
        <v>-969520.9228336839</v>
      </c>
      <c r="F200" s="647">
        <v>3311133.2621792248</v>
      </c>
      <c r="G200" s="648">
        <f>+Synthèse!F199</f>
        <v>3317783.6622641208</v>
      </c>
      <c r="H200" s="648">
        <f t="shared" si="10"/>
        <v>6650.4000848960131</v>
      </c>
      <c r="I200" s="644">
        <v>386310.45488354273</v>
      </c>
      <c r="J200" s="649">
        <f>+Synthèse!H199</f>
        <v>372302.04812755855</v>
      </c>
      <c r="K200" s="649">
        <f t="shared" si="11"/>
        <v>-14008.406755984179</v>
      </c>
    </row>
    <row r="201" spans="1:11" s="177" customFormat="1" ht="15" x14ac:dyDescent="0.25">
      <c r="A201" s="83">
        <f>Données!A201</f>
        <v>5730</v>
      </c>
      <c r="B201" s="282" t="str">
        <f>Données!B201</f>
        <v>Trélex</v>
      </c>
      <c r="C201" s="644">
        <v>2982252.2895088815</v>
      </c>
      <c r="D201" s="645">
        <f>+Synthèse!G200</f>
        <v>4245524.6512982063</v>
      </c>
      <c r="E201" s="646">
        <f t="shared" si="9"/>
        <v>1263272.3617893248</v>
      </c>
      <c r="F201" s="647">
        <v>2092159.8215152626</v>
      </c>
      <c r="G201" s="648">
        <f>+Synthèse!F200</f>
        <v>3048130.9603896453</v>
      </c>
      <c r="H201" s="648">
        <f t="shared" si="10"/>
        <v>955971.13887438271</v>
      </c>
      <c r="I201" s="644">
        <v>276502.92496009776</v>
      </c>
      <c r="J201" s="649">
        <f>+Synthèse!H200</f>
        <v>322832.8970041608</v>
      </c>
      <c r="K201" s="649">
        <f t="shared" si="11"/>
        <v>46329.972044063034</v>
      </c>
    </row>
    <row r="202" spans="1:11" s="177" customFormat="1" ht="15" x14ac:dyDescent="0.25">
      <c r="A202" s="83">
        <f>Données!A202</f>
        <v>5731</v>
      </c>
      <c r="B202" s="282" t="str">
        <f>Données!B202</f>
        <v>Le Vaud</v>
      </c>
      <c r="C202" s="644">
        <v>1024386.4931878989</v>
      </c>
      <c r="D202" s="645">
        <f>+Synthèse!G201</f>
        <v>1142376.0745919484</v>
      </c>
      <c r="E202" s="646">
        <f t="shared" si="9"/>
        <v>117989.58140404953</v>
      </c>
      <c r="F202" s="647">
        <v>1057530.2957772634</v>
      </c>
      <c r="G202" s="648">
        <f>+Synthèse!F201</f>
        <v>1201097.1081323663</v>
      </c>
      <c r="H202" s="648">
        <f t="shared" si="10"/>
        <v>143566.81235510297</v>
      </c>
      <c r="I202" s="644">
        <v>210812.6544644399</v>
      </c>
      <c r="J202" s="649">
        <f>+Synthèse!H201</f>
        <v>210923.3056562558</v>
      </c>
      <c r="K202" s="649">
        <f t="shared" si="11"/>
        <v>110.65119181590853</v>
      </c>
    </row>
    <row r="203" spans="1:11" s="177" customFormat="1" ht="15" x14ac:dyDescent="0.25">
      <c r="A203" s="83">
        <f>Données!A203</f>
        <v>5732</v>
      </c>
      <c r="B203" s="282" t="str">
        <f>Données!B203</f>
        <v>Vich</v>
      </c>
      <c r="C203" s="644">
        <v>1570995.6147278412</v>
      </c>
      <c r="D203" s="645">
        <f>+Synthèse!G202</f>
        <v>1648071.1081573511</v>
      </c>
      <c r="E203" s="646">
        <f t="shared" si="9"/>
        <v>77075.493429509923</v>
      </c>
      <c r="F203" s="647">
        <v>1375612.6145800385</v>
      </c>
      <c r="G203" s="648">
        <f>+Synthèse!F202</f>
        <v>1447115.8467930513</v>
      </c>
      <c r="H203" s="648">
        <f t="shared" si="10"/>
        <v>71503.232213012874</v>
      </c>
      <c r="I203" s="644">
        <v>201394.46071902249</v>
      </c>
      <c r="J203" s="649">
        <f>+Synthèse!H202</f>
        <v>202897.03874417525</v>
      </c>
      <c r="K203" s="649">
        <f t="shared" si="11"/>
        <v>1502.5780251527613</v>
      </c>
    </row>
    <row r="204" spans="1:11" s="177" customFormat="1" ht="15" x14ac:dyDescent="0.25">
      <c r="A204" s="83">
        <f>Données!A204</f>
        <v>5741</v>
      </c>
      <c r="B204" s="282" t="str">
        <f>Données!B204</f>
        <v>L'Abergement</v>
      </c>
      <c r="C204" s="644">
        <v>152433.78086482143</v>
      </c>
      <c r="D204" s="645">
        <f>+Synthèse!G203</f>
        <v>110006.71556827062</v>
      </c>
      <c r="E204" s="646">
        <f t="shared" si="9"/>
        <v>-42427.065296550805</v>
      </c>
      <c r="F204" s="647">
        <v>23852.476274346758</v>
      </c>
      <c r="G204" s="648">
        <f>+Synthèse!F203</f>
        <v>-111158.18449444562</v>
      </c>
      <c r="H204" s="648">
        <f t="shared" si="10"/>
        <v>-135010.66076879238</v>
      </c>
      <c r="I204" s="644">
        <v>34018.329233108881</v>
      </c>
      <c r="J204" s="649">
        <f>+Synthèse!H203</f>
        <v>24072.217607221359</v>
      </c>
      <c r="K204" s="649">
        <f t="shared" si="11"/>
        <v>-9946.1116258875227</v>
      </c>
    </row>
    <row r="205" spans="1:11" s="177" customFormat="1" ht="15" x14ac:dyDescent="0.25">
      <c r="A205" s="83">
        <f>Données!A205</f>
        <v>5742</v>
      </c>
      <c r="B205" s="282" t="str">
        <f>Données!B205</f>
        <v>Agiez</v>
      </c>
      <c r="C205" s="644">
        <v>114004.30544060341</v>
      </c>
      <c r="D205" s="645">
        <f>+Synthèse!G204</f>
        <v>135279.9192617221</v>
      </c>
      <c r="E205" s="646">
        <f t="shared" si="9"/>
        <v>21275.613821118692</v>
      </c>
      <c r="F205" s="647">
        <v>-125940.19895938458</v>
      </c>
      <c r="G205" s="648">
        <f>+Synthèse!F204</f>
        <v>-105799.51944231609</v>
      </c>
      <c r="H205" s="648">
        <f t="shared" si="10"/>
        <v>20140.679517068493</v>
      </c>
      <c r="I205" s="644">
        <v>27676.414455158578</v>
      </c>
      <c r="J205" s="649">
        <f>+Synthèse!H204</f>
        <v>28362.7494322602</v>
      </c>
      <c r="K205" s="649">
        <f t="shared" si="11"/>
        <v>686.33497710162192</v>
      </c>
    </row>
    <row r="206" spans="1:11" s="177" customFormat="1" ht="15" x14ac:dyDescent="0.25">
      <c r="A206" s="83">
        <f>Données!A206</f>
        <v>5743</v>
      </c>
      <c r="B206" s="282" t="str">
        <f>Données!B206</f>
        <v>Arnex-sur-Orbe</v>
      </c>
      <c r="C206" s="644">
        <v>331751.95448417461</v>
      </c>
      <c r="D206" s="645">
        <f>+Synthèse!G205</f>
        <v>255063.06048170038</v>
      </c>
      <c r="E206" s="646">
        <f t="shared" si="9"/>
        <v>-76688.894002474233</v>
      </c>
      <c r="F206" s="647">
        <v>-77246.857234070078</v>
      </c>
      <c r="G206" s="648">
        <f>+Synthèse!F205</f>
        <v>-99660.369298170554</v>
      </c>
      <c r="H206" s="648">
        <f t="shared" si="10"/>
        <v>-22413.512064100476</v>
      </c>
      <c r="I206" s="644">
        <v>60363.586989039111</v>
      </c>
      <c r="J206" s="649">
        <f>+Synthèse!H205</f>
        <v>58378.82598703634</v>
      </c>
      <c r="K206" s="649">
        <f t="shared" si="11"/>
        <v>-1984.7610020027714</v>
      </c>
    </row>
    <row r="207" spans="1:11" s="177" customFormat="1" ht="15" x14ac:dyDescent="0.25">
      <c r="A207" s="83">
        <f>Données!A207</f>
        <v>5744</v>
      </c>
      <c r="B207" s="282" t="str">
        <f>Données!B207</f>
        <v>Ballaigues</v>
      </c>
      <c r="C207" s="644">
        <v>1253174.9285286246</v>
      </c>
      <c r="D207" s="645">
        <f>+Synthèse!G206</f>
        <v>1726583.2510517703</v>
      </c>
      <c r="E207" s="646">
        <f t="shared" si="9"/>
        <v>473408.3225231457</v>
      </c>
      <c r="F207" s="647">
        <v>538321.07667296613</v>
      </c>
      <c r="G207" s="648">
        <f>+Synthèse!F206</f>
        <v>1187374.7534128805</v>
      </c>
      <c r="H207" s="648">
        <f t="shared" si="10"/>
        <v>649053.67673991434</v>
      </c>
      <c r="I207" s="644">
        <v>168705.22063716396</v>
      </c>
      <c r="J207" s="649">
        <f>+Synthèse!H206</f>
        <v>202463.96312329819</v>
      </c>
      <c r="K207" s="649">
        <f t="shared" si="11"/>
        <v>33758.74248613423</v>
      </c>
    </row>
    <row r="208" spans="1:11" s="177" customFormat="1" ht="15" x14ac:dyDescent="0.25">
      <c r="A208" s="83">
        <f>Données!A208</f>
        <v>5745</v>
      </c>
      <c r="B208" s="282" t="str">
        <f>Données!B208</f>
        <v>Baulmes</v>
      </c>
      <c r="C208" s="644">
        <v>482951.4183712136</v>
      </c>
      <c r="D208" s="645">
        <f>+Synthèse!G207</f>
        <v>405345.66966015159</v>
      </c>
      <c r="E208" s="646">
        <f t="shared" si="9"/>
        <v>-77605.748711062013</v>
      </c>
      <c r="F208" s="647">
        <v>-624129.35710652592</v>
      </c>
      <c r="G208" s="648">
        <f>+Synthèse!F207</f>
        <v>-656871.65563540254</v>
      </c>
      <c r="H208" s="648">
        <f t="shared" si="10"/>
        <v>-32742.298528876621</v>
      </c>
      <c r="I208" s="644">
        <v>85667.948839615623</v>
      </c>
      <c r="J208" s="649">
        <f>+Synthèse!H207</f>
        <v>88070.044638206105</v>
      </c>
      <c r="K208" s="649">
        <f t="shared" si="11"/>
        <v>2402.0957985904824</v>
      </c>
    </row>
    <row r="209" spans="1:11" s="177" customFormat="1" ht="15" x14ac:dyDescent="0.25">
      <c r="A209" s="83">
        <f>Données!A209</f>
        <v>5746</v>
      </c>
      <c r="B209" s="282" t="str">
        <f>Données!B209</f>
        <v>Bavois</v>
      </c>
      <c r="C209" s="644">
        <v>496017.48335411068</v>
      </c>
      <c r="D209" s="645">
        <f>+Synthèse!G208</f>
        <v>512915.48063181835</v>
      </c>
      <c r="E209" s="646">
        <f t="shared" si="9"/>
        <v>16897.997277707676</v>
      </c>
      <c r="F209" s="647">
        <v>-206587.25889943319</v>
      </c>
      <c r="G209" s="648">
        <f>+Synthèse!F208</f>
        <v>73742.315649907221</v>
      </c>
      <c r="H209" s="648">
        <f t="shared" si="10"/>
        <v>280329.57454934041</v>
      </c>
      <c r="I209" s="644">
        <v>89717.305594678444</v>
      </c>
      <c r="J209" s="649">
        <f>+Synthèse!H208</f>
        <v>109632.58482481458</v>
      </c>
      <c r="K209" s="649">
        <f t="shared" si="11"/>
        <v>19915.279230136133</v>
      </c>
    </row>
    <row r="210" spans="1:11" s="177" customFormat="1" ht="15" x14ac:dyDescent="0.25">
      <c r="A210" s="83">
        <f>Données!A210</f>
        <v>5747</v>
      </c>
      <c r="B210" s="282" t="str">
        <f>Données!B210</f>
        <v>Bofflens</v>
      </c>
      <c r="C210" s="644">
        <v>111863.74395135032</v>
      </c>
      <c r="D210" s="645">
        <f>+Synthèse!G209</f>
        <v>100050.28280765262</v>
      </c>
      <c r="E210" s="646">
        <f t="shared" si="9"/>
        <v>-11813.461143697699</v>
      </c>
      <c r="F210" s="647">
        <v>-9876.3265196145949</v>
      </c>
      <c r="G210" s="648">
        <f>+Synthèse!F209</f>
        <v>43511.234245980231</v>
      </c>
      <c r="H210" s="648">
        <f t="shared" si="10"/>
        <v>53387.560765594826</v>
      </c>
      <c r="I210" s="644">
        <v>17731.228857131267</v>
      </c>
      <c r="J210" s="649">
        <f>+Synthèse!H209</f>
        <v>22419.802196245058</v>
      </c>
      <c r="K210" s="649">
        <f t="shared" si="11"/>
        <v>4688.573339113791</v>
      </c>
    </row>
    <row r="211" spans="1:11" s="177" customFormat="1" ht="15" x14ac:dyDescent="0.25">
      <c r="A211" s="83">
        <f>Données!A211</f>
        <v>5748</v>
      </c>
      <c r="B211" s="282" t="str">
        <f>Données!B211</f>
        <v>Bretonnières</v>
      </c>
      <c r="C211" s="644">
        <v>104519.50501879941</v>
      </c>
      <c r="D211" s="645">
        <f>+Synthèse!G210</f>
        <v>98672.840435125763</v>
      </c>
      <c r="E211" s="646">
        <f t="shared" si="9"/>
        <v>-5846.6645836736425</v>
      </c>
      <c r="F211" s="647">
        <v>-100445.91268129618</v>
      </c>
      <c r="G211" s="648">
        <f>+Synthèse!F210</f>
        <v>-103082.80951421501</v>
      </c>
      <c r="H211" s="648">
        <f t="shared" si="10"/>
        <v>-2636.8968329188356</v>
      </c>
      <c r="I211" s="644">
        <v>20764.922375609764</v>
      </c>
      <c r="J211" s="649">
        <f>+Synthèse!H210</f>
        <v>20271.906257134149</v>
      </c>
      <c r="K211" s="649">
        <f t="shared" si="11"/>
        <v>-493.01611847561435</v>
      </c>
    </row>
    <row r="212" spans="1:11" s="177" customFormat="1" ht="15" x14ac:dyDescent="0.25">
      <c r="A212" s="83">
        <f>Données!A212</f>
        <v>5749</v>
      </c>
      <c r="B212" s="282" t="str">
        <f>Données!B212</f>
        <v>Chavornay</v>
      </c>
      <c r="C212" s="644">
        <v>2239089.8898095265</v>
      </c>
      <c r="D212" s="645">
        <f>+Synthèse!G211</f>
        <v>2251485.1652821084</v>
      </c>
      <c r="E212" s="646">
        <f t="shared" si="9"/>
        <v>12395.275472581852</v>
      </c>
      <c r="F212" s="647">
        <v>-2398293.5677190102</v>
      </c>
      <c r="G212" s="648">
        <f>+Synthèse!F211</f>
        <v>-2290594.316835593</v>
      </c>
      <c r="H212" s="648">
        <f t="shared" si="10"/>
        <v>107699.2508834172</v>
      </c>
      <c r="I212" s="644">
        <v>442160.72794043738</v>
      </c>
      <c r="J212" s="649">
        <f>+Synthèse!H211</f>
        <v>458316.56612436404</v>
      </c>
      <c r="K212" s="649">
        <f t="shared" si="11"/>
        <v>16155.838183926651</v>
      </c>
    </row>
    <row r="213" spans="1:11" s="177" customFormat="1" ht="15" x14ac:dyDescent="0.25">
      <c r="A213" s="83">
        <f>Données!A213</f>
        <v>5750</v>
      </c>
      <c r="B213" s="282" t="str">
        <f>Données!B213</f>
        <v>Les Clées</v>
      </c>
      <c r="C213" s="644">
        <v>99138.530444492615</v>
      </c>
      <c r="D213" s="645">
        <f>+Synthèse!G212</f>
        <v>102506.98703721812</v>
      </c>
      <c r="E213" s="646">
        <f t="shared" si="9"/>
        <v>3368.4565927255026</v>
      </c>
      <c r="F213" s="647">
        <v>-59110.890001377789</v>
      </c>
      <c r="G213" s="648">
        <f>+Synthèse!F212</f>
        <v>-71920.72689068492</v>
      </c>
      <c r="H213" s="648">
        <f t="shared" si="10"/>
        <v>-12809.836889307131</v>
      </c>
      <c r="I213" s="644">
        <v>17097.454119843205</v>
      </c>
      <c r="J213" s="649">
        <f>+Synthèse!H212</f>
        <v>18581.88992731088</v>
      </c>
      <c r="K213" s="649">
        <f t="shared" si="11"/>
        <v>1484.4358074676747</v>
      </c>
    </row>
    <row r="214" spans="1:11" s="177" customFormat="1" ht="15" x14ac:dyDescent="0.25">
      <c r="A214" s="83">
        <f>Données!A214</f>
        <v>5752</v>
      </c>
      <c r="B214" s="282" t="str">
        <f>Données!B214</f>
        <v>Croy</v>
      </c>
      <c r="C214" s="644">
        <v>153156.4508292673</v>
      </c>
      <c r="D214" s="645">
        <f>+Synthèse!G213</f>
        <v>167543.72669511213</v>
      </c>
      <c r="E214" s="646">
        <f t="shared" si="9"/>
        <v>14387.275865844829</v>
      </c>
      <c r="F214" s="647">
        <v>-288592.51846351736</v>
      </c>
      <c r="G214" s="648">
        <f>+Synthèse!F213</f>
        <v>-101146.30011355699</v>
      </c>
      <c r="H214" s="648">
        <f t="shared" si="10"/>
        <v>187446.21834996037</v>
      </c>
      <c r="I214" s="644">
        <v>31365.879657523474</v>
      </c>
      <c r="J214" s="649">
        <f>+Synthèse!H213</f>
        <v>31226.956004411491</v>
      </c>
      <c r="K214" s="649">
        <f t="shared" si="11"/>
        <v>-138.92365311198228</v>
      </c>
    </row>
    <row r="215" spans="1:11" s="177" customFormat="1" ht="15" x14ac:dyDescent="0.25">
      <c r="A215" s="83">
        <f>Données!A215</f>
        <v>5754</v>
      </c>
      <c r="B215" s="282" t="str">
        <f>Données!B215</f>
        <v>Juriens</v>
      </c>
      <c r="C215" s="644">
        <v>270457.2317869417</v>
      </c>
      <c r="D215" s="645">
        <f>+Synthèse!G214</f>
        <v>121445.98295225031</v>
      </c>
      <c r="E215" s="646">
        <f t="shared" si="9"/>
        <v>-149011.24883469139</v>
      </c>
      <c r="F215" s="647">
        <v>-106024.43302471173</v>
      </c>
      <c r="G215" s="648">
        <f>+Synthèse!F214</f>
        <v>-155734.41009430532</v>
      </c>
      <c r="H215" s="648">
        <f t="shared" si="10"/>
        <v>-49709.977069593588</v>
      </c>
      <c r="I215" s="644">
        <v>26713.13773515122</v>
      </c>
      <c r="J215" s="649">
        <f>+Synthèse!H214</f>
        <v>26679.868637109837</v>
      </c>
      <c r="K215" s="649">
        <f t="shared" si="11"/>
        <v>-33.269098041382676</v>
      </c>
    </row>
    <row r="216" spans="1:11" s="177" customFormat="1" ht="15" x14ac:dyDescent="0.25">
      <c r="A216" s="83">
        <f>Données!A216</f>
        <v>5755</v>
      </c>
      <c r="B216" s="282" t="str">
        <f>Données!B216</f>
        <v>Lignerolle</v>
      </c>
      <c r="C216" s="644">
        <v>188286.18349817334</v>
      </c>
      <c r="D216" s="645">
        <f>+Synthèse!G215</f>
        <v>162604.03100600361</v>
      </c>
      <c r="E216" s="646">
        <f t="shared" si="9"/>
        <v>-25682.152492169727</v>
      </c>
      <c r="F216" s="647">
        <v>-224383.55776608665</v>
      </c>
      <c r="G216" s="648">
        <f>+Synthèse!F215</f>
        <v>-757227.59405529767</v>
      </c>
      <c r="H216" s="648">
        <f t="shared" si="10"/>
        <v>-532844.03628921101</v>
      </c>
      <c r="I216" s="644">
        <v>33681.594470316406</v>
      </c>
      <c r="J216" s="649">
        <f>+Synthèse!H215</f>
        <v>30401.809392567047</v>
      </c>
      <c r="K216" s="649">
        <f t="shared" si="11"/>
        <v>-3279.7850777493586</v>
      </c>
    </row>
    <row r="217" spans="1:11" s="177" customFormat="1" ht="15" x14ac:dyDescent="0.25">
      <c r="A217" s="83">
        <f>Données!A217</f>
        <v>5756</v>
      </c>
      <c r="B217" s="282" t="str">
        <f>Données!B217</f>
        <v>Montcherand</v>
      </c>
      <c r="C217" s="644">
        <v>231968.92086958716</v>
      </c>
      <c r="D217" s="645">
        <f>+Synthèse!G216</f>
        <v>244335.88841015898</v>
      </c>
      <c r="E217" s="646">
        <f t="shared" si="9"/>
        <v>12366.967540571815</v>
      </c>
      <c r="F217" s="647">
        <v>93418.473303191247</v>
      </c>
      <c r="G217" s="648">
        <f>+Synthèse!F216</f>
        <v>279482.65238295228</v>
      </c>
      <c r="H217" s="648">
        <f t="shared" si="10"/>
        <v>186064.17907976103</v>
      </c>
      <c r="I217" s="644">
        <v>54228.455485666142</v>
      </c>
      <c r="J217" s="649">
        <f>+Synthèse!H216</f>
        <v>64799.477846646143</v>
      </c>
      <c r="K217" s="649">
        <f t="shared" si="11"/>
        <v>10571.022360980001</v>
      </c>
    </row>
    <row r="218" spans="1:11" s="177" customFormat="1" ht="15" x14ac:dyDescent="0.25">
      <c r="A218" s="83">
        <f>Données!A218</f>
        <v>5757</v>
      </c>
      <c r="B218" s="282" t="str">
        <f>Données!B218</f>
        <v>Orbe</v>
      </c>
      <c r="C218" s="644">
        <v>4484979.0875546895</v>
      </c>
      <c r="D218" s="645">
        <f>+Synthèse!G217</f>
        <v>4617175.8245077627</v>
      </c>
      <c r="E218" s="646">
        <f t="shared" si="9"/>
        <v>132196.73695307318</v>
      </c>
      <c r="F218" s="647">
        <v>-4674763.046577042</v>
      </c>
      <c r="G218" s="648">
        <f>+Synthèse!F217</f>
        <v>-4597266.6157894107</v>
      </c>
      <c r="H218" s="648">
        <f t="shared" si="10"/>
        <v>77496.430787631311</v>
      </c>
      <c r="I218" s="644">
        <v>663867.2838719266</v>
      </c>
      <c r="J218" s="649">
        <f>+Synthèse!H217</f>
        <v>755491.47780832602</v>
      </c>
      <c r="K218" s="649">
        <f t="shared" si="11"/>
        <v>91624.193936399417</v>
      </c>
    </row>
    <row r="219" spans="1:11" s="177" customFormat="1" ht="15" x14ac:dyDescent="0.25">
      <c r="A219" s="83">
        <f>Données!A219</f>
        <v>5758</v>
      </c>
      <c r="B219" s="282" t="str">
        <f>Données!B219</f>
        <v>La Praz</v>
      </c>
      <c r="C219" s="644">
        <v>57445.638670749824</v>
      </c>
      <c r="D219" s="645">
        <f>+Synthèse!G218</f>
        <v>84744.279886423566</v>
      </c>
      <c r="E219" s="646">
        <f t="shared" si="9"/>
        <v>27298.641215673742</v>
      </c>
      <c r="F219" s="647">
        <v>-118734.60407225792</v>
      </c>
      <c r="G219" s="648">
        <f>+Synthèse!F218</f>
        <v>-285603.11118609924</v>
      </c>
      <c r="H219" s="648">
        <f t="shared" si="10"/>
        <v>-166868.5071138413</v>
      </c>
      <c r="I219" s="644">
        <v>13830.527371593713</v>
      </c>
      <c r="J219" s="649">
        <f>+Synthèse!H218</f>
        <v>17587.656532466339</v>
      </c>
      <c r="K219" s="649">
        <f t="shared" si="11"/>
        <v>3757.129160872626</v>
      </c>
    </row>
    <row r="220" spans="1:11" s="177" customFormat="1" ht="15" x14ac:dyDescent="0.25">
      <c r="A220" s="83">
        <f>Données!A220</f>
        <v>5759</v>
      </c>
      <c r="B220" s="282" t="str">
        <f>Données!B220</f>
        <v>Premier</v>
      </c>
      <c r="C220" s="644">
        <v>92775.755531993374</v>
      </c>
      <c r="D220" s="645">
        <f>+Synthèse!G219</f>
        <v>69440.230092658923</v>
      </c>
      <c r="E220" s="646">
        <f t="shared" si="9"/>
        <v>-23335.525439334451</v>
      </c>
      <c r="F220" s="647">
        <v>-97395.156783654835</v>
      </c>
      <c r="G220" s="648">
        <f>+Synthèse!F219</f>
        <v>-179322.69243717653</v>
      </c>
      <c r="H220" s="648">
        <f t="shared" si="10"/>
        <v>-81927.5356535217</v>
      </c>
      <c r="I220" s="644">
        <v>17550.691303044427</v>
      </c>
      <c r="J220" s="649">
        <f>+Synthèse!H219</f>
        <v>15319.931808730078</v>
      </c>
      <c r="K220" s="649">
        <f t="shared" si="11"/>
        <v>-2230.7594943143486</v>
      </c>
    </row>
    <row r="221" spans="1:11" s="177" customFormat="1" ht="15" x14ac:dyDescent="0.25">
      <c r="A221" s="83">
        <f>Données!A221</f>
        <v>5760</v>
      </c>
      <c r="B221" s="282" t="str">
        <f>Données!B221</f>
        <v>Rances</v>
      </c>
      <c r="C221" s="644">
        <v>274780.71696518199</v>
      </c>
      <c r="D221" s="645">
        <f>+Synthèse!G220</f>
        <v>201951.25398070517</v>
      </c>
      <c r="E221" s="646">
        <f t="shared" si="9"/>
        <v>-72829.462984476821</v>
      </c>
      <c r="F221" s="647">
        <v>-103217.87169546343</v>
      </c>
      <c r="G221" s="648">
        <f>+Synthèse!F220</f>
        <v>-221426.44262478285</v>
      </c>
      <c r="H221" s="648">
        <f t="shared" si="10"/>
        <v>-118208.57092931942</v>
      </c>
      <c r="I221" s="644">
        <v>50626.936914096907</v>
      </c>
      <c r="J221" s="649">
        <f>+Synthèse!H220</f>
        <v>41033.994675780232</v>
      </c>
      <c r="K221" s="649">
        <f t="shared" si="11"/>
        <v>-9592.9422383166748</v>
      </c>
    </row>
    <row r="222" spans="1:11" s="177" customFormat="1" ht="15" x14ac:dyDescent="0.25">
      <c r="A222" s="83">
        <f>Données!A222</f>
        <v>5761</v>
      </c>
      <c r="B222" s="282" t="str">
        <f>Données!B222</f>
        <v>Romainmôtier-Envy</v>
      </c>
      <c r="C222" s="644">
        <v>228060.76570089458</v>
      </c>
      <c r="D222" s="645">
        <f>+Synthèse!G221</f>
        <v>197758.67579804012</v>
      </c>
      <c r="E222" s="646">
        <f t="shared" si="9"/>
        <v>-30302.089902854466</v>
      </c>
      <c r="F222" s="647">
        <v>-304722.47684922762</v>
      </c>
      <c r="G222" s="648">
        <f>+Synthèse!F221</f>
        <v>-329411.9577262713</v>
      </c>
      <c r="H222" s="648">
        <f t="shared" si="10"/>
        <v>-24689.480877043679</v>
      </c>
      <c r="I222" s="644">
        <v>44438.545501995759</v>
      </c>
      <c r="J222" s="649">
        <f>+Synthèse!H221</f>
        <v>41698.66621257698</v>
      </c>
      <c r="K222" s="649">
        <f t="shared" si="11"/>
        <v>-2739.8792894187791</v>
      </c>
    </row>
    <row r="223" spans="1:11" s="177" customFormat="1" ht="15" x14ac:dyDescent="0.25">
      <c r="A223" s="83">
        <f>Données!A223</f>
        <v>5762</v>
      </c>
      <c r="B223" s="282" t="str">
        <f>Données!B223</f>
        <v>Sergey</v>
      </c>
      <c r="C223" s="644">
        <v>53434.687450440557</v>
      </c>
      <c r="D223" s="645">
        <f>+Synthèse!G222</f>
        <v>53248.149244363442</v>
      </c>
      <c r="E223" s="646">
        <f t="shared" si="9"/>
        <v>-186.53820607711532</v>
      </c>
      <c r="F223" s="647">
        <v>-58571.049895895369</v>
      </c>
      <c r="G223" s="648">
        <f>+Synthèse!F222</f>
        <v>-68151.343235450273</v>
      </c>
      <c r="H223" s="648">
        <f t="shared" si="10"/>
        <v>-9580.2933395549044</v>
      </c>
      <c r="I223" s="644">
        <v>11588.777698350868</v>
      </c>
      <c r="J223" s="649">
        <f>+Synthèse!H222</f>
        <v>10399.259183566519</v>
      </c>
      <c r="K223" s="649">
        <f t="shared" si="11"/>
        <v>-1189.5185147843495</v>
      </c>
    </row>
    <row r="224" spans="1:11" s="177" customFormat="1" ht="15" x14ac:dyDescent="0.25">
      <c r="A224" s="83">
        <f>Données!A224</f>
        <v>5763</v>
      </c>
      <c r="B224" s="282" t="str">
        <f>Données!B224</f>
        <v>Valeyres-sous-Rances</v>
      </c>
      <c r="C224" s="644">
        <v>298686.66278693621</v>
      </c>
      <c r="D224" s="645">
        <f>+Synthèse!G223</f>
        <v>351148.25603229942</v>
      </c>
      <c r="E224" s="646">
        <f t="shared" si="9"/>
        <v>52461.593245363212</v>
      </c>
      <c r="F224" s="647">
        <v>152214.96035239787</v>
      </c>
      <c r="G224" s="648">
        <f>+Synthèse!F223</f>
        <v>116544.33371923695</v>
      </c>
      <c r="H224" s="648">
        <f t="shared" si="10"/>
        <v>-35670.626633160922</v>
      </c>
      <c r="I224" s="644">
        <v>69453.16674224622</v>
      </c>
      <c r="J224" s="649">
        <f>+Synthèse!H223</f>
        <v>66387.396089596048</v>
      </c>
      <c r="K224" s="649">
        <f t="shared" si="11"/>
        <v>-3065.7706526501715</v>
      </c>
    </row>
    <row r="225" spans="1:11" s="177" customFormat="1" ht="15" x14ac:dyDescent="0.25">
      <c r="A225" s="83">
        <f>Données!A225</f>
        <v>5764</v>
      </c>
      <c r="B225" s="282" t="str">
        <f>Données!B225</f>
        <v>Vallorbe</v>
      </c>
      <c r="C225" s="644">
        <v>2103883.7410668842</v>
      </c>
      <c r="D225" s="645">
        <f>+Synthèse!G224</f>
        <v>2542924.1998758819</v>
      </c>
      <c r="E225" s="646">
        <f t="shared" si="9"/>
        <v>439040.45880899765</v>
      </c>
      <c r="F225" s="647">
        <v>-4106469.7892872524</v>
      </c>
      <c r="G225" s="648">
        <f>+Synthèse!F224</f>
        <v>-4644287.5272069825</v>
      </c>
      <c r="H225" s="648">
        <f t="shared" si="10"/>
        <v>-537817.73791973013</v>
      </c>
      <c r="I225" s="644">
        <v>255836.04165400742</v>
      </c>
      <c r="J225" s="649">
        <f>+Synthèse!H224</f>
        <v>278691.79446371982</v>
      </c>
      <c r="K225" s="649">
        <f t="shared" si="11"/>
        <v>22855.752809712401</v>
      </c>
    </row>
    <row r="226" spans="1:11" s="177" customFormat="1" ht="15" x14ac:dyDescent="0.25">
      <c r="A226" s="83">
        <f>Données!A226</f>
        <v>5765</v>
      </c>
      <c r="B226" s="282" t="str">
        <f>Données!B226</f>
        <v>Vaulion</v>
      </c>
      <c r="C226" s="644">
        <v>135821.68422299065</v>
      </c>
      <c r="D226" s="645">
        <f>+Synthèse!G225</f>
        <v>175637.06493630775</v>
      </c>
      <c r="E226" s="646">
        <f t="shared" si="9"/>
        <v>39815.380713317107</v>
      </c>
      <c r="F226" s="647">
        <v>-400208.45022259315</v>
      </c>
      <c r="G226" s="648">
        <f>+Synthèse!F225</f>
        <v>-416891.33258935617</v>
      </c>
      <c r="H226" s="648">
        <f t="shared" si="10"/>
        <v>-16682.88236676302</v>
      </c>
      <c r="I226" s="644">
        <v>29546.643476354351</v>
      </c>
      <c r="J226" s="649">
        <f>+Synthèse!H225</f>
        <v>30007.903352568221</v>
      </c>
      <c r="K226" s="649">
        <f t="shared" si="11"/>
        <v>461.25987621386957</v>
      </c>
    </row>
    <row r="227" spans="1:11" s="177" customFormat="1" ht="15" x14ac:dyDescent="0.25">
      <c r="A227" s="83">
        <f>Données!A227</f>
        <v>5766</v>
      </c>
      <c r="B227" s="282" t="str">
        <f>Données!B227</f>
        <v>Vuiteboeuf</v>
      </c>
      <c r="C227" s="644">
        <v>288020.74378792883</v>
      </c>
      <c r="D227" s="645">
        <f>+Synthèse!G226</f>
        <v>249675.38217374991</v>
      </c>
      <c r="E227" s="646">
        <f t="shared" si="9"/>
        <v>-38345.361614178924</v>
      </c>
      <c r="F227" s="647">
        <v>-122601.93900442839</v>
      </c>
      <c r="G227" s="648">
        <f>+Synthèse!F226</f>
        <v>-231850.00395732751</v>
      </c>
      <c r="H227" s="648">
        <f t="shared" si="10"/>
        <v>-109248.06495289912</v>
      </c>
      <c r="I227" s="644">
        <v>47685.703910478071</v>
      </c>
      <c r="J227" s="649">
        <f>+Synthèse!H226</f>
        <v>45564.47688516925</v>
      </c>
      <c r="K227" s="649">
        <f t="shared" si="11"/>
        <v>-2121.2270253088209</v>
      </c>
    </row>
    <row r="228" spans="1:11" s="177" customFormat="1" ht="15" x14ac:dyDescent="0.25">
      <c r="A228" s="83">
        <f>Données!A228</f>
        <v>5785</v>
      </c>
      <c r="B228" s="282" t="str">
        <f>Données!B228</f>
        <v>Corcelles-le-Jorat</v>
      </c>
      <c r="C228" s="644">
        <v>211393.0455119613</v>
      </c>
      <c r="D228" s="645">
        <f>+Synthèse!G227</f>
        <v>343578.15819635743</v>
      </c>
      <c r="E228" s="646">
        <f t="shared" si="9"/>
        <v>132185.11268439612</v>
      </c>
      <c r="F228" s="647">
        <v>-14271.693364728708</v>
      </c>
      <c r="G228" s="648">
        <f>+Synthèse!F227</f>
        <v>-39337.109459237603</v>
      </c>
      <c r="H228" s="648">
        <f t="shared" si="10"/>
        <v>-25065.416094508895</v>
      </c>
      <c r="I228" s="644">
        <v>47969.258326349984</v>
      </c>
      <c r="J228" s="649">
        <f>+Synthèse!H227</f>
        <v>45020.233477500988</v>
      </c>
      <c r="K228" s="649">
        <f t="shared" si="11"/>
        <v>-2949.024848848996</v>
      </c>
    </row>
    <row r="229" spans="1:11" s="177" customFormat="1" ht="15" x14ac:dyDescent="0.25">
      <c r="A229" s="83">
        <f>Données!A229</f>
        <v>5790</v>
      </c>
      <c r="B229" s="282" t="str">
        <f>Données!B229</f>
        <v>Maracon</v>
      </c>
      <c r="C229" s="644">
        <v>217244.46182975522</v>
      </c>
      <c r="D229" s="645">
        <f>+Synthèse!G228</f>
        <v>214005.0003365365</v>
      </c>
      <c r="E229" s="646">
        <f t="shared" si="9"/>
        <v>-3239.4614932187251</v>
      </c>
      <c r="F229" s="647">
        <v>-21974.954263985972</v>
      </c>
      <c r="G229" s="648">
        <f>+Synthèse!F228</f>
        <v>-96974.191478234541</v>
      </c>
      <c r="H229" s="648">
        <f t="shared" si="10"/>
        <v>-74999.237214248569</v>
      </c>
      <c r="I229" s="644">
        <v>50246.233763697193</v>
      </c>
      <c r="J229" s="649">
        <f>+Synthèse!H228</f>
        <v>48165.136035236603</v>
      </c>
      <c r="K229" s="649">
        <f t="shared" si="11"/>
        <v>-2081.0977284605906</v>
      </c>
    </row>
    <row r="230" spans="1:11" s="177" customFormat="1" ht="15" x14ac:dyDescent="0.25">
      <c r="A230" s="83">
        <f>Données!A230</f>
        <v>5792</v>
      </c>
      <c r="B230" s="282" t="str">
        <f>Données!B230</f>
        <v>Montpreveyres</v>
      </c>
      <c r="C230" s="644">
        <v>261528.30431103799</v>
      </c>
      <c r="D230" s="645">
        <f>+Synthèse!G229</f>
        <v>340595.27685815468</v>
      </c>
      <c r="E230" s="646">
        <f t="shared" si="9"/>
        <v>79066.972547116689</v>
      </c>
      <c r="F230" s="647">
        <v>-146654.70111001952</v>
      </c>
      <c r="G230" s="648">
        <f>+Synthèse!F229</f>
        <v>-175287.75316935108</v>
      </c>
      <c r="H230" s="648">
        <f t="shared" si="10"/>
        <v>-28633.05205933156</v>
      </c>
      <c r="I230" s="644">
        <v>59381.93145374264</v>
      </c>
      <c r="J230" s="649">
        <f>+Synthèse!H229</f>
        <v>59141.513659614771</v>
      </c>
      <c r="K230" s="649">
        <f t="shared" si="11"/>
        <v>-240.41779412786855</v>
      </c>
    </row>
    <row r="231" spans="1:11" s="177" customFormat="1" ht="15" x14ac:dyDescent="0.25">
      <c r="A231" s="83">
        <f>Données!A231</f>
        <v>5798</v>
      </c>
      <c r="B231" s="282" t="str">
        <f>Données!B231</f>
        <v>Ropraz</v>
      </c>
      <c r="C231" s="644">
        <v>240825.40167925006</v>
      </c>
      <c r="D231" s="645">
        <f>+Synthèse!G230</f>
        <v>244684.50386370183</v>
      </c>
      <c r="E231" s="646">
        <f t="shared" si="9"/>
        <v>3859.1021844517672</v>
      </c>
      <c r="F231" s="647">
        <v>-56835.544603269431</v>
      </c>
      <c r="G231" s="648">
        <f>+Synthèse!F230</f>
        <v>-60880.610967560031</v>
      </c>
      <c r="H231" s="648">
        <f t="shared" si="10"/>
        <v>-4045.0663642906002</v>
      </c>
      <c r="I231" s="644">
        <v>49799.304385173193</v>
      </c>
      <c r="J231" s="649">
        <f>+Synthèse!H230</f>
        <v>46006.189999739829</v>
      </c>
      <c r="K231" s="649">
        <f t="shared" si="11"/>
        <v>-3793.1143854333641</v>
      </c>
    </row>
    <row r="232" spans="1:11" s="177" customFormat="1" ht="15" x14ac:dyDescent="0.25">
      <c r="A232" s="83">
        <f>Données!A232</f>
        <v>5799</v>
      </c>
      <c r="B232" s="282" t="str">
        <f>Données!B232</f>
        <v>Servion</v>
      </c>
      <c r="C232" s="644">
        <v>1336740.5030866014</v>
      </c>
      <c r="D232" s="645">
        <f>+Synthèse!G231</f>
        <v>1177215.0935196159</v>
      </c>
      <c r="E232" s="646">
        <f t="shared" si="9"/>
        <v>-159525.40956698544</v>
      </c>
      <c r="F232" s="647">
        <v>-36069.456683449214</v>
      </c>
      <c r="G232" s="648">
        <f>+Synthèse!F231</f>
        <v>153944.32202830166</v>
      </c>
      <c r="H232" s="648">
        <f t="shared" si="10"/>
        <v>190013.77871175087</v>
      </c>
      <c r="I232" s="644">
        <v>224069.06956484367</v>
      </c>
      <c r="J232" s="649">
        <f>+Synthèse!H231</f>
        <v>235935.77321733435</v>
      </c>
      <c r="K232" s="649">
        <f t="shared" si="11"/>
        <v>11866.703652490687</v>
      </c>
    </row>
    <row r="233" spans="1:11" s="177" customFormat="1" ht="15" x14ac:dyDescent="0.25">
      <c r="A233" s="83">
        <f>Données!A233</f>
        <v>5803</v>
      </c>
      <c r="B233" s="282" t="str">
        <f>Données!B233</f>
        <v>Vulliens</v>
      </c>
      <c r="C233" s="644">
        <v>275289.2346627065</v>
      </c>
      <c r="D233" s="645">
        <f>+Synthèse!G232</f>
        <v>271317.70707365498</v>
      </c>
      <c r="E233" s="646">
        <f t="shared" si="9"/>
        <v>-3971.5275890515186</v>
      </c>
      <c r="F233" s="647">
        <v>-158255.94525846135</v>
      </c>
      <c r="G233" s="648">
        <f>+Synthèse!F232</f>
        <v>-517922.49316744762</v>
      </c>
      <c r="H233" s="648">
        <f t="shared" si="10"/>
        <v>-359666.54790898628</v>
      </c>
      <c r="I233" s="644">
        <v>50723.574457662406</v>
      </c>
      <c r="J233" s="649">
        <f>+Synthèse!H232</f>
        <v>54678.430960060927</v>
      </c>
      <c r="K233" s="649">
        <f t="shared" si="11"/>
        <v>3954.8565023985211</v>
      </c>
    </row>
    <row r="234" spans="1:11" s="177" customFormat="1" ht="15" x14ac:dyDescent="0.25">
      <c r="A234" s="83">
        <f>Données!A234</f>
        <v>5804</v>
      </c>
      <c r="B234" s="282" t="str">
        <f>Données!B234</f>
        <v>Jorat-Menthue</v>
      </c>
      <c r="C234" s="644">
        <v>668183.39225313487</v>
      </c>
      <c r="D234" s="645">
        <f>+Synthèse!G233</f>
        <v>676792.2238805762</v>
      </c>
      <c r="E234" s="646">
        <f t="shared" si="9"/>
        <v>8608.8316274413373</v>
      </c>
      <c r="F234" s="647">
        <v>-466114.12742147187</v>
      </c>
      <c r="G234" s="648">
        <f>+Synthèse!F233</f>
        <v>-504831.42080803507</v>
      </c>
      <c r="H234" s="648">
        <f t="shared" si="10"/>
        <v>-38717.293386563193</v>
      </c>
      <c r="I234" s="644">
        <v>138130.31306413971</v>
      </c>
      <c r="J234" s="649">
        <f>+Synthèse!H233</f>
        <v>142174.3442555017</v>
      </c>
      <c r="K234" s="649">
        <f t="shared" si="11"/>
        <v>4044.0311913619807</v>
      </c>
    </row>
    <row r="235" spans="1:11" s="177" customFormat="1" ht="15" x14ac:dyDescent="0.25">
      <c r="A235" s="83">
        <f>Données!A235</f>
        <v>5805</v>
      </c>
      <c r="B235" s="282" t="str">
        <f>Données!B235</f>
        <v>Oron</v>
      </c>
      <c r="C235" s="644">
        <v>2678089.1821459206</v>
      </c>
      <c r="D235" s="645">
        <f>+Synthèse!G234</f>
        <v>2878001.0574153014</v>
      </c>
      <c r="E235" s="646">
        <f t="shared" si="9"/>
        <v>199911.87526938086</v>
      </c>
      <c r="F235" s="647">
        <v>-2662921.5058288123</v>
      </c>
      <c r="G235" s="648">
        <f>+Synthèse!F234</f>
        <v>-2533268.6329892804</v>
      </c>
      <c r="H235" s="648">
        <f t="shared" si="10"/>
        <v>129652.87283953186</v>
      </c>
      <c r="I235" s="644">
        <v>532720.50876311504</v>
      </c>
      <c r="J235" s="649">
        <f>+Synthèse!H234</f>
        <v>555698.00028124021</v>
      </c>
      <c r="K235" s="649">
        <f t="shared" si="11"/>
        <v>22977.491518125171</v>
      </c>
    </row>
    <row r="236" spans="1:11" s="177" customFormat="1" ht="15" x14ac:dyDescent="0.25">
      <c r="A236" s="83">
        <f>Données!A236</f>
        <v>5806</v>
      </c>
      <c r="B236" s="282" t="str">
        <f>Données!B236</f>
        <v>Jorat-Mézières</v>
      </c>
      <c r="C236" s="644">
        <v>1658996.9497703766</v>
      </c>
      <c r="D236" s="645">
        <f>+Synthèse!G235</f>
        <v>1575896.5355314079</v>
      </c>
      <c r="E236" s="646">
        <f t="shared" si="9"/>
        <v>-83100.414238968631</v>
      </c>
      <c r="F236" s="647">
        <v>-387690.43465782097</v>
      </c>
      <c r="G236" s="648">
        <f>+Synthèse!F235</f>
        <v>-499470.67318051495</v>
      </c>
      <c r="H236" s="648">
        <f t="shared" si="10"/>
        <v>-111780.23852269398</v>
      </c>
      <c r="I236" s="644">
        <v>317174.93070809788</v>
      </c>
      <c r="J236" s="649">
        <f>+Synthèse!H235</f>
        <v>300904.88544743077</v>
      </c>
      <c r="K236" s="649">
        <f t="shared" si="11"/>
        <v>-16270.045260667102</v>
      </c>
    </row>
    <row r="237" spans="1:11" s="177" customFormat="1" ht="15" x14ac:dyDescent="0.25">
      <c r="A237" s="83">
        <f>Données!A237</f>
        <v>5812</v>
      </c>
      <c r="B237" s="282" t="str">
        <f>Données!B237</f>
        <v>Champtauroz</v>
      </c>
      <c r="C237" s="644">
        <v>68855.725471231242</v>
      </c>
      <c r="D237" s="645">
        <f>+Synthèse!G236</f>
        <v>61682.884063187339</v>
      </c>
      <c r="E237" s="646">
        <f t="shared" si="9"/>
        <v>-7172.8414080439034</v>
      </c>
      <c r="F237" s="647">
        <v>-94524.288828098724</v>
      </c>
      <c r="G237" s="648">
        <f>+Synthèse!F236</f>
        <v>-95718.613202171153</v>
      </c>
      <c r="H237" s="648">
        <f t="shared" si="10"/>
        <v>-1194.3243740724283</v>
      </c>
      <c r="I237" s="644">
        <v>11246.765100191855</v>
      </c>
      <c r="J237" s="649">
        <f>+Synthèse!H236</f>
        <v>11722.41943586944</v>
      </c>
      <c r="K237" s="649">
        <f t="shared" si="11"/>
        <v>475.65433567758555</v>
      </c>
    </row>
    <row r="238" spans="1:11" s="177" customFormat="1" ht="15" x14ac:dyDescent="0.25">
      <c r="A238" s="83">
        <f>Données!A238</f>
        <v>5813</v>
      </c>
      <c r="B238" s="282" t="str">
        <f>Données!B238</f>
        <v>Chevroux</v>
      </c>
      <c r="C238" s="644">
        <v>300473.52605062956</v>
      </c>
      <c r="D238" s="645">
        <f>+Synthèse!G237</f>
        <v>241186.36426792503</v>
      </c>
      <c r="E238" s="646">
        <f t="shared" si="9"/>
        <v>-59287.161782704527</v>
      </c>
      <c r="F238" s="647">
        <v>-34788.941603241256</v>
      </c>
      <c r="G238" s="648">
        <f>+Synthèse!F237</f>
        <v>56660.391396688647</v>
      </c>
      <c r="H238" s="648">
        <f t="shared" si="10"/>
        <v>91449.332999929902</v>
      </c>
      <c r="I238" s="644">
        <v>53800.200113754167</v>
      </c>
      <c r="J238" s="649">
        <f>+Synthèse!H237</f>
        <v>57063.133523699711</v>
      </c>
      <c r="K238" s="649">
        <f t="shared" si="11"/>
        <v>3262.9334099455446</v>
      </c>
    </row>
    <row r="239" spans="1:11" s="177" customFormat="1" ht="15" x14ac:dyDescent="0.25">
      <c r="A239" s="83">
        <f>Données!A239</f>
        <v>5816</v>
      </c>
      <c r="B239" s="282" t="str">
        <f>Données!B239</f>
        <v>Corcelles-près-Payerne</v>
      </c>
      <c r="C239" s="644">
        <v>1037033.7149601716</v>
      </c>
      <c r="D239" s="645">
        <f>+Synthèse!G238</f>
        <v>1165140.0573392464</v>
      </c>
      <c r="E239" s="646">
        <f t="shared" si="9"/>
        <v>128106.34237907478</v>
      </c>
      <c r="F239" s="647">
        <v>-1191829.2460590543</v>
      </c>
      <c r="G239" s="648">
        <f>+Synthèse!F238</f>
        <v>-1125494.8719330162</v>
      </c>
      <c r="H239" s="648">
        <f t="shared" si="10"/>
        <v>66334.374126038048</v>
      </c>
      <c r="I239" s="644">
        <v>199781.71611971024</v>
      </c>
      <c r="J239" s="649">
        <f>+Synthèse!H238</f>
        <v>217338.48827780853</v>
      </c>
      <c r="K239" s="649">
        <f t="shared" si="11"/>
        <v>17556.772158098291</v>
      </c>
    </row>
    <row r="240" spans="1:11" s="177" customFormat="1" ht="15" x14ac:dyDescent="0.25">
      <c r="A240" s="83">
        <f>Données!A240</f>
        <v>5817</v>
      </c>
      <c r="B240" s="282" t="str">
        <f>Données!B240</f>
        <v>Grandcour</v>
      </c>
      <c r="C240" s="644">
        <v>423184.34089847631</v>
      </c>
      <c r="D240" s="645">
        <f>+Synthèse!G239</f>
        <v>369157.29699691583</v>
      </c>
      <c r="E240" s="646">
        <f t="shared" si="9"/>
        <v>-54027.043901560479</v>
      </c>
      <c r="F240" s="647">
        <v>-217714.40308356809</v>
      </c>
      <c r="G240" s="648">
        <f>+Synthèse!F239</f>
        <v>-218758.11147854908</v>
      </c>
      <c r="H240" s="648">
        <f t="shared" si="10"/>
        <v>-1043.7083949809894</v>
      </c>
      <c r="I240" s="644">
        <v>80016.28689905291</v>
      </c>
      <c r="J240" s="649">
        <f>+Synthèse!H239</f>
        <v>80611.358013857593</v>
      </c>
      <c r="K240" s="649">
        <f t="shared" si="11"/>
        <v>595.07111480468302</v>
      </c>
    </row>
    <row r="241" spans="1:11" s="177" customFormat="1" ht="15" x14ac:dyDescent="0.25">
      <c r="A241" s="83">
        <f>Données!A241</f>
        <v>5819</v>
      </c>
      <c r="B241" s="282" t="str">
        <f>Données!B241</f>
        <v>Henniez</v>
      </c>
      <c r="C241" s="644">
        <v>219375.1287906841</v>
      </c>
      <c r="D241" s="645">
        <f>+Synthèse!G240</f>
        <v>187879.40272289282</v>
      </c>
      <c r="E241" s="646">
        <f t="shared" si="9"/>
        <v>-31495.726067791285</v>
      </c>
      <c r="F241" s="647">
        <v>-136722.15727393809</v>
      </c>
      <c r="G241" s="648">
        <f>+Synthèse!F240</f>
        <v>-634.781516917923</v>
      </c>
      <c r="H241" s="648">
        <f t="shared" si="10"/>
        <v>136087.37575702017</v>
      </c>
      <c r="I241" s="644">
        <v>30577.270164812806</v>
      </c>
      <c r="J241" s="649">
        <f>+Synthèse!H240</f>
        <v>43414.58254991869</v>
      </c>
      <c r="K241" s="649">
        <f t="shared" si="11"/>
        <v>12837.312385105884</v>
      </c>
    </row>
    <row r="242" spans="1:11" s="177" customFormat="1" ht="15" x14ac:dyDescent="0.25">
      <c r="A242" s="83">
        <f>Données!A242</f>
        <v>5821</v>
      </c>
      <c r="B242" s="282" t="str">
        <f>Données!B242</f>
        <v>Missy</v>
      </c>
      <c r="C242" s="644">
        <v>144957.80922291329</v>
      </c>
      <c r="D242" s="645">
        <f>+Synthèse!G241</f>
        <v>136796.6719305781</v>
      </c>
      <c r="E242" s="646">
        <f t="shared" si="9"/>
        <v>-8161.1372923351882</v>
      </c>
      <c r="F242" s="647">
        <v>-142668.05300253714</v>
      </c>
      <c r="G242" s="648">
        <f>+Synthèse!F241</f>
        <v>-14865.089938805002</v>
      </c>
      <c r="H242" s="648">
        <f t="shared" si="10"/>
        <v>127802.96306373214</v>
      </c>
      <c r="I242" s="644">
        <v>25555.727884239979</v>
      </c>
      <c r="J242" s="649">
        <f>+Synthèse!H241</f>
        <v>30742.016457312478</v>
      </c>
      <c r="K242" s="649">
        <f t="shared" si="11"/>
        <v>5186.2885730724993</v>
      </c>
    </row>
    <row r="243" spans="1:11" s="177" customFormat="1" ht="15" x14ac:dyDescent="0.25">
      <c r="A243" s="83">
        <f>Données!A243</f>
        <v>5822</v>
      </c>
      <c r="B243" s="282" t="str">
        <f>Données!B243</f>
        <v>Payerne</v>
      </c>
      <c r="C243" s="644">
        <v>3857721.0651279795</v>
      </c>
      <c r="D243" s="645">
        <f>+Synthèse!G242</f>
        <v>3779645.3748474829</v>
      </c>
      <c r="E243" s="646">
        <f t="shared" si="9"/>
        <v>-78075.690280496608</v>
      </c>
      <c r="F243" s="647">
        <v>-7807538.9674565643</v>
      </c>
      <c r="G243" s="648">
        <f>+Synthèse!F242</f>
        <v>-8026996.0668613063</v>
      </c>
      <c r="H243" s="648">
        <f t="shared" si="10"/>
        <v>-219457.09940474201</v>
      </c>
      <c r="I243" s="644">
        <v>687165.3179729213</v>
      </c>
      <c r="J243" s="649">
        <f>+Synthèse!H242</f>
        <v>728126.64797824994</v>
      </c>
      <c r="K243" s="649">
        <f t="shared" si="11"/>
        <v>40961.330005328637</v>
      </c>
    </row>
    <row r="244" spans="1:11" s="177" customFormat="1" ht="15" x14ac:dyDescent="0.25">
      <c r="A244" s="83">
        <f>Données!A244</f>
        <v>5827</v>
      </c>
      <c r="B244" s="282" t="str">
        <f>Données!B244</f>
        <v>Trey</v>
      </c>
      <c r="C244" s="644">
        <v>121061.09972613721</v>
      </c>
      <c r="D244" s="645">
        <f>+Synthèse!G243</f>
        <v>120907.87500504276</v>
      </c>
      <c r="E244" s="646">
        <f t="shared" si="9"/>
        <v>-153.22472109444789</v>
      </c>
      <c r="F244" s="647">
        <v>-83313.180544444243</v>
      </c>
      <c r="G244" s="648">
        <f>+Synthèse!F243</f>
        <v>-80224.980186009139</v>
      </c>
      <c r="H244" s="648">
        <f t="shared" si="10"/>
        <v>3088.2003584351041</v>
      </c>
      <c r="I244" s="644">
        <v>23726.350937308071</v>
      </c>
      <c r="J244" s="649">
        <f>+Synthèse!H243</f>
        <v>25840.494850363662</v>
      </c>
      <c r="K244" s="649">
        <f t="shared" si="11"/>
        <v>2114.1439130555918</v>
      </c>
    </row>
    <row r="245" spans="1:11" s="177" customFormat="1" ht="15" x14ac:dyDescent="0.25">
      <c r="A245" s="83">
        <f>Données!A245</f>
        <v>5828</v>
      </c>
      <c r="B245" s="282" t="str">
        <f>Données!B245</f>
        <v>Treytorrens (Payerne)</v>
      </c>
      <c r="C245" s="644">
        <v>46752.772110528022</v>
      </c>
      <c r="D245" s="645">
        <f>+Synthèse!G244</f>
        <v>35889.581735726992</v>
      </c>
      <c r="E245" s="646">
        <f t="shared" si="9"/>
        <v>-10863.19037480103</v>
      </c>
      <c r="F245" s="647">
        <v>-54802.401721524599</v>
      </c>
      <c r="G245" s="648">
        <f>+Synthèse!F244</f>
        <v>-60641.242285842134</v>
      </c>
      <c r="H245" s="648">
        <f t="shared" si="10"/>
        <v>-5838.8405643175356</v>
      </c>
      <c r="I245" s="644">
        <v>8847.154376207407</v>
      </c>
      <c r="J245" s="649">
        <f>+Synthèse!H244</f>
        <v>8423.0016572492405</v>
      </c>
      <c r="K245" s="649">
        <f t="shared" si="11"/>
        <v>-424.15271895816659</v>
      </c>
    </row>
    <row r="246" spans="1:11" s="177" customFormat="1" ht="15" x14ac:dyDescent="0.25">
      <c r="A246" s="83">
        <f>Données!A246</f>
        <v>5830</v>
      </c>
      <c r="B246" s="282" t="str">
        <f>Données!B246</f>
        <v>Villarzel</v>
      </c>
      <c r="C246" s="644">
        <v>187707.21817462839</v>
      </c>
      <c r="D246" s="645">
        <f>+Synthèse!G245</f>
        <v>238796.7107265447</v>
      </c>
      <c r="E246" s="646">
        <f t="shared" si="9"/>
        <v>51089.492551916308</v>
      </c>
      <c r="F246" s="647">
        <v>-166359.44541987823</v>
      </c>
      <c r="G246" s="648">
        <f>+Synthèse!F245</f>
        <v>-102010.28826287389</v>
      </c>
      <c r="H246" s="648">
        <f t="shared" si="10"/>
        <v>64349.157157004345</v>
      </c>
      <c r="I246" s="644">
        <v>38748.738130468773</v>
      </c>
      <c r="J246" s="649">
        <f>+Synthèse!H245</f>
        <v>44989.121028058042</v>
      </c>
      <c r="K246" s="649">
        <f t="shared" si="11"/>
        <v>6240.3828975892684</v>
      </c>
    </row>
    <row r="247" spans="1:11" s="177" customFormat="1" ht="15" x14ac:dyDescent="0.25">
      <c r="A247" s="83">
        <f>Données!A247</f>
        <v>5831</v>
      </c>
      <c r="B247" s="282" t="str">
        <f>Données!B247</f>
        <v>Valbroye</v>
      </c>
      <c r="C247" s="644">
        <v>1534730.6196986139</v>
      </c>
      <c r="D247" s="645">
        <f>+Synthèse!G246</f>
        <v>2202490.2456945856</v>
      </c>
      <c r="E247" s="646">
        <f t="shared" si="9"/>
        <v>667759.62599597173</v>
      </c>
      <c r="F247" s="647">
        <v>-1760130.5251319194</v>
      </c>
      <c r="G247" s="648">
        <f>+Synthèse!F246</f>
        <v>-1822261.4629934358</v>
      </c>
      <c r="H247" s="648">
        <f t="shared" si="10"/>
        <v>-62130.937861516373</v>
      </c>
      <c r="I247" s="644">
        <v>267957.92056412681</v>
      </c>
      <c r="J247" s="649">
        <f>+Synthèse!H246</f>
        <v>255023.60267515871</v>
      </c>
      <c r="K247" s="649">
        <f t="shared" si="11"/>
        <v>-12934.3178889681</v>
      </c>
    </row>
    <row r="248" spans="1:11" s="177" customFormat="1" ht="15" x14ac:dyDescent="0.25">
      <c r="A248" s="83">
        <f>Données!A248</f>
        <v>5841</v>
      </c>
      <c r="B248" s="282" t="str">
        <f>Données!B248</f>
        <v>Château-d'Oex</v>
      </c>
      <c r="C248" s="644">
        <v>2664715.3548459383</v>
      </c>
      <c r="D248" s="645">
        <f>+Synthèse!G247</f>
        <v>2231767.4914126825</v>
      </c>
      <c r="E248" s="646">
        <f t="shared" si="9"/>
        <v>-432947.86343325581</v>
      </c>
      <c r="F248" s="647">
        <v>-2101621.9428075738</v>
      </c>
      <c r="G248" s="648">
        <f>+Synthèse!F247</f>
        <v>-2753326.6194362822</v>
      </c>
      <c r="H248" s="648">
        <f t="shared" si="10"/>
        <v>-651704.67662870837</v>
      </c>
      <c r="I248" s="644">
        <v>375241.35750261496</v>
      </c>
      <c r="J248" s="649">
        <f>+Synthèse!H247</f>
        <v>359708.24502328178</v>
      </c>
      <c r="K248" s="649">
        <f t="shared" si="11"/>
        <v>-15533.112479333184</v>
      </c>
    </row>
    <row r="249" spans="1:11" s="177" customFormat="1" ht="15" x14ac:dyDescent="0.25">
      <c r="A249" s="83">
        <f>Données!A249</f>
        <v>5842</v>
      </c>
      <c r="B249" s="282" t="str">
        <f>Données!B249</f>
        <v>Rossinière</v>
      </c>
      <c r="C249" s="644">
        <v>256256.04442144567</v>
      </c>
      <c r="D249" s="645">
        <f>+Synthèse!G248</f>
        <v>552570.7311042659</v>
      </c>
      <c r="E249" s="646">
        <f t="shared" si="9"/>
        <v>296314.6866828202</v>
      </c>
      <c r="F249" s="647">
        <v>-302811.57789582515</v>
      </c>
      <c r="G249" s="648">
        <f>+Synthèse!F248</f>
        <v>-442326.28181493119</v>
      </c>
      <c r="H249" s="648">
        <f t="shared" si="10"/>
        <v>-139514.70391910605</v>
      </c>
      <c r="I249" s="644">
        <v>50968.279884779367</v>
      </c>
      <c r="J249" s="649">
        <f>+Synthèse!H248</f>
        <v>47113.549201550384</v>
      </c>
      <c r="K249" s="649">
        <f t="shared" si="11"/>
        <v>-3854.7306832289833</v>
      </c>
    </row>
    <row r="250" spans="1:11" s="177" customFormat="1" ht="15" x14ac:dyDescent="0.25">
      <c r="A250" s="83">
        <f>Données!A250</f>
        <v>5843</v>
      </c>
      <c r="B250" s="282" t="str">
        <f>Données!B250</f>
        <v>Rougemont</v>
      </c>
      <c r="C250" s="644">
        <v>3519459.2130802064</v>
      </c>
      <c r="D250" s="645">
        <f>+Synthèse!G249</f>
        <v>2934791.2785578901</v>
      </c>
      <c r="E250" s="646">
        <f t="shared" si="9"/>
        <v>-584667.93452231633</v>
      </c>
      <c r="F250" s="647">
        <v>1550112.605994822</v>
      </c>
      <c r="G250" s="648">
        <f>+Synthèse!F249</f>
        <v>1371419.7194467087</v>
      </c>
      <c r="H250" s="648">
        <f t="shared" si="10"/>
        <v>-178692.88654811331</v>
      </c>
      <c r="I250" s="644">
        <v>184192.42635179227</v>
      </c>
      <c r="J250" s="649">
        <f>+Synthèse!H249</f>
        <v>172741.89793774608</v>
      </c>
      <c r="K250" s="649">
        <f t="shared" si="11"/>
        <v>-11450.528414046188</v>
      </c>
    </row>
    <row r="251" spans="1:11" s="177" customFormat="1" ht="15" x14ac:dyDescent="0.25">
      <c r="A251" s="83">
        <f>Données!A251</f>
        <v>5851</v>
      </c>
      <c r="B251" s="282" t="str">
        <f>Données!B251</f>
        <v>Allaman</v>
      </c>
      <c r="C251" s="644">
        <v>677362.78042910865</v>
      </c>
      <c r="D251" s="645">
        <f>+Synthèse!G250</f>
        <v>448848.32452356094</v>
      </c>
      <c r="E251" s="646">
        <f t="shared" si="9"/>
        <v>-228514.45590554771</v>
      </c>
      <c r="F251" s="647">
        <v>420730.85834366339</v>
      </c>
      <c r="G251" s="648">
        <f>+Synthèse!F250</f>
        <v>486868.07487557962</v>
      </c>
      <c r="H251" s="648">
        <f t="shared" si="10"/>
        <v>66137.21653191623</v>
      </c>
      <c r="I251" s="644">
        <v>67627.185162434151</v>
      </c>
      <c r="J251" s="649">
        <f>+Synthèse!H250</f>
        <v>70761.674671220331</v>
      </c>
      <c r="K251" s="649">
        <f t="shared" si="11"/>
        <v>3134.4895087861805</v>
      </c>
    </row>
    <row r="252" spans="1:11" s="177" customFormat="1" ht="15" x14ac:dyDescent="0.25">
      <c r="A252" s="83">
        <f>Données!A252</f>
        <v>5852</v>
      </c>
      <c r="B252" s="282" t="str">
        <f>Données!B252</f>
        <v>Bursinel</v>
      </c>
      <c r="C252" s="644">
        <v>745316.29024655896</v>
      </c>
      <c r="D252" s="645">
        <f>+Synthèse!G251</f>
        <v>837976.01759178238</v>
      </c>
      <c r="E252" s="646">
        <f t="shared" si="9"/>
        <v>92659.727345223422</v>
      </c>
      <c r="F252" s="647">
        <v>632872.36062999046</v>
      </c>
      <c r="G252" s="648">
        <f>+Synthèse!F251</f>
        <v>772088.8104837219</v>
      </c>
      <c r="H252" s="648">
        <f t="shared" si="10"/>
        <v>139216.44985373144</v>
      </c>
      <c r="I252" s="644">
        <v>88594.62892586313</v>
      </c>
      <c r="J252" s="649">
        <f>+Synthèse!H251</f>
        <v>97068.568973317189</v>
      </c>
      <c r="K252" s="649">
        <f t="shared" si="11"/>
        <v>8473.9400474540598</v>
      </c>
    </row>
    <row r="253" spans="1:11" s="177" customFormat="1" ht="15" x14ac:dyDescent="0.25">
      <c r="A253" s="83">
        <f>Données!A253</f>
        <v>5853</v>
      </c>
      <c r="B253" s="282" t="str">
        <f>Données!B253</f>
        <v>Bursins</v>
      </c>
      <c r="C253" s="644">
        <v>1164900.1076481557</v>
      </c>
      <c r="D253" s="645">
        <f>+Synthèse!G252</f>
        <v>637732.74362005445</v>
      </c>
      <c r="E253" s="646">
        <f t="shared" si="9"/>
        <v>-527167.3640281012</v>
      </c>
      <c r="F253" s="647">
        <v>831399.38961888524</v>
      </c>
      <c r="G253" s="648">
        <f>+Synthèse!F252</f>
        <v>746718.73736508458</v>
      </c>
      <c r="H253" s="648">
        <f t="shared" si="10"/>
        <v>-84680.652253800654</v>
      </c>
      <c r="I253" s="644">
        <v>126538.40922225964</v>
      </c>
      <c r="J253" s="649">
        <f>+Synthèse!H252</f>
        <v>126545.45723844401</v>
      </c>
      <c r="K253" s="649">
        <f t="shared" si="11"/>
        <v>7.0480161843734095</v>
      </c>
    </row>
    <row r="254" spans="1:11" s="177" customFormat="1" ht="15" x14ac:dyDescent="0.25">
      <c r="A254" s="83">
        <f>Données!A254</f>
        <v>5854</v>
      </c>
      <c r="B254" s="282" t="str">
        <f>Données!B254</f>
        <v>Burtigny</v>
      </c>
      <c r="C254" s="644">
        <v>247370.31734885761</v>
      </c>
      <c r="D254" s="645">
        <f>+Synthèse!G253</f>
        <v>262006.72006296756</v>
      </c>
      <c r="E254" s="646">
        <f t="shared" si="9"/>
        <v>14636.40271410995</v>
      </c>
      <c r="F254" s="647">
        <v>99857.075055266556</v>
      </c>
      <c r="G254" s="648">
        <f>+Synthèse!F253</f>
        <v>192246.38678616408</v>
      </c>
      <c r="H254" s="648">
        <f t="shared" si="10"/>
        <v>92389.31173089752</v>
      </c>
      <c r="I254" s="644">
        <v>47362.026824877801</v>
      </c>
      <c r="J254" s="649">
        <f>+Synthèse!H253</f>
        <v>49753.324037734987</v>
      </c>
      <c r="K254" s="649">
        <f t="shared" si="11"/>
        <v>2391.2972128571855</v>
      </c>
    </row>
    <row r="255" spans="1:11" s="177" customFormat="1" ht="15" x14ac:dyDescent="0.25">
      <c r="A255" s="83">
        <f>Données!A255</f>
        <v>5855</v>
      </c>
      <c r="B255" s="282" t="str">
        <f>Données!B255</f>
        <v>Dully</v>
      </c>
      <c r="C255" s="644">
        <v>2829674.2985414192</v>
      </c>
      <c r="D255" s="645">
        <f>+Synthèse!G254</f>
        <v>2693301.6133587034</v>
      </c>
      <c r="E255" s="646">
        <f t="shared" si="9"/>
        <v>-136372.68518271577</v>
      </c>
      <c r="F255" s="647">
        <v>1535928.9675980725</v>
      </c>
      <c r="G255" s="648">
        <f>+Synthèse!F254</f>
        <v>1859457.6243138481</v>
      </c>
      <c r="H255" s="648">
        <f t="shared" si="10"/>
        <v>323528.65671577561</v>
      </c>
      <c r="I255" s="644">
        <v>158105.887913796</v>
      </c>
      <c r="J255" s="649">
        <f>+Synthèse!H254</f>
        <v>168618.82567981182</v>
      </c>
      <c r="K255" s="649">
        <f t="shared" si="11"/>
        <v>10512.937766015821</v>
      </c>
    </row>
    <row r="256" spans="1:11" s="177" customFormat="1" ht="15" x14ac:dyDescent="0.25">
      <c r="A256" s="83">
        <f>Données!A256</f>
        <v>5856</v>
      </c>
      <c r="B256" s="282" t="str">
        <f>Données!B256</f>
        <v>Essertines-sur-Rolle</v>
      </c>
      <c r="C256" s="644">
        <v>569049.86223760014</v>
      </c>
      <c r="D256" s="645">
        <f>+Synthèse!G255</f>
        <v>552085.14073068334</v>
      </c>
      <c r="E256" s="646">
        <f t="shared" si="9"/>
        <v>-16964.721506916801</v>
      </c>
      <c r="F256" s="647">
        <v>616520.08562430507</v>
      </c>
      <c r="G256" s="648">
        <f>+Synthèse!F255</f>
        <v>564353.77700828016</v>
      </c>
      <c r="H256" s="648">
        <f t="shared" si="10"/>
        <v>-52166.308616024908</v>
      </c>
      <c r="I256" s="644">
        <v>111296.96549493678</v>
      </c>
      <c r="J256" s="649">
        <f>+Synthèse!H255</f>
        <v>108116.34108583254</v>
      </c>
      <c r="K256" s="649">
        <f t="shared" si="11"/>
        <v>-3180.6244091042463</v>
      </c>
    </row>
    <row r="257" spans="1:11" s="177" customFormat="1" ht="15" x14ac:dyDescent="0.25">
      <c r="A257" s="83">
        <f>Données!A257</f>
        <v>5857</v>
      </c>
      <c r="B257" s="282" t="str">
        <f>Données!B257</f>
        <v>Gilly</v>
      </c>
      <c r="C257" s="644">
        <v>1592745.4282579252</v>
      </c>
      <c r="D257" s="645">
        <f>+Synthèse!G256</f>
        <v>1689353.0466075141</v>
      </c>
      <c r="E257" s="646">
        <f t="shared" si="9"/>
        <v>96607.618349588942</v>
      </c>
      <c r="F257" s="647">
        <v>1410883.304131262</v>
      </c>
      <c r="G257" s="648">
        <f>+Synthèse!F256</f>
        <v>1599738.787410778</v>
      </c>
      <c r="H257" s="648">
        <f t="shared" si="10"/>
        <v>188855.48327951599</v>
      </c>
      <c r="I257" s="644">
        <v>235497.9750800608</v>
      </c>
      <c r="J257" s="649">
        <f>+Synthèse!H256</f>
        <v>241353.67534253641</v>
      </c>
      <c r="K257" s="649">
        <f t="shared" si="11"/>
        <v>5855.7002624756133</v>
      </c>
    </row>
    <row r="258" spans="1:11" s="177" customFormat="1" ht="15" x14ac:dyDescent="0.25">
      <c r="A258" s="83">
        <f>Données!A258</f>
        <v>5858</v>
      </c>
      <c r="B258" s="282" t="str">
        <f>Données!B258</f>
        <v>Luins</v>
      </c>
      <c r="C258" s="644">
        <v>872997.07114121527</v>
      </c>
      <c r="D258" s="645">
        <f>+Synthèse!G257</f>
        <v>620429.32628062507</v>
      </c>
      <c r="E258" s="646">
        <f t="shared" si="9"/>
        <v>-252567.7448605902</v>
      </c>
      <c r="F258" s="647">
        <v>725853.99579167261</v>
      </c>
      <c r="G258" s="648">
        <f>+Synthèse!F257</f>
        <v>723714.75668242888</v>
      </c>
      <c r="H258" s="648">
        <f t="shared" si="10"/>
        <v>-2139.2391092437319</v>
      </c>
      <c r="I258" s="644">
        <v>105576.75864722842</v>
      </c>
      <c r="J258" s="649">
        <f>+Synthèse!H257</f>
        <v>104967.51737150506</v>
      </c>
      <c r="K258" s="649">
        <f t="shared" si="11"/>
        <v>-609.24127572335419</v>
      </c>
    </row>
    <row r="259" spans="1:11" s="177" customFormat="1" ht="15" x14ac:dyDescent="0.25">
      <c r="A259" s="83">
        <f>Données!A259</f>
        <v>5859</v>
      </c>
      <c r="B259" s="282" t="str">
        <f>Données!B259</f>
        <v>Mont-sur-Rolle</v>
      </c>
      <c r="C259" s="644">
        <v>3018299.1856465633</v>
      </c>
      <c r="D259" s="645">
        <f>+Synthèse!G258</f>
        <v>3088200.7629942028</v>
      </c>
      <c r="E259" s="646">
        <f t="shared" si="9"/>
        <v>69901.577347639482</v>
      </c>
      <c r="F259" s="647">
        <v>2100445.9837197382</v>
      </c>
      <c r="G259" s="648">
        <f>+Synthèse!F258</f>
        <v>2652537.4483285793</v>
      </c>
      <c r="H259" s="648">
        <f t="shared" si="10"/>
        <v>552091.46460884111</v>
      </c>
      <c r="I259" s="644">
        <v>439907.99864171026</v>
      </c>
      <c r="J259" s="649">
        <f>+Synthèse!H258</f>
        <v>450001.06970369373</v>
      </c>
      <c r="K259" s="649">
        <f t="shared" si="11"/>
        <v>10093.071061983472</v>
      </c>
    </row>
    <row r="260" spans="1:11" s="177" customFormat="1" ht="15" x14ac:dyDescent="0.25">
      <c r="A260" s="83">
        <f>Données!A260</f>
        <v>5860</v>
      </c>
      <c r="B260" s="282" t="str">
        <f>Données!B260</f>
        <v>Perroy</v>
      </c>
      <c r="C260" s="644">
        <v>3114981.8853328293</v>
      </c>
      <c r="D260" s="645">
        <f>+Synthèse!G259</f>
        <v>2071983.1487197487</v>
      </c>
      <c r="E260" s="646">
        <f t="shared" si="9"/>
        <v>-1042998.7366130806</v>
      </c>
      <c r="F260" s="647">
        <v>2264768.5671798964</v>
      </c>
      <c r="G260" s="648">
        <f>+Synthèse!F259</f>
        <v>1901209.0513326009</v>
      </c>
      <c r="H260" s="648">
        <f t="shared" si="10"/>
        <v>-363559.51584729552</v>
      </c>
      <c r="I260" s="644">
        <v>300243.67974730267</v>
      </c>
      <c r="J260" s="649">
        <f>+Synthèse!H259</f>
        <v>275292.18139901053</v>
      </c>
      <c r="K260" s="649">
        <f t="shared" si="11"/>
        <v>-24951.498348292138</v>
      </c>
    </row>
    <row r="261" spans="1:11" s="177" customFormat="1" ht="15" x14ac:dyDescent="0.25">
      <c r="A261" s="83">
        <f>Données!A261</f>
        <v>5861</v>
      </c>
      <c r="B261" s="282" t="str">
        <f>Données!B261</f>
        <v>Rolle</v>
      </c>
      <c r="C261" s="644">
        <v>22592658.619484603</v>
      </c>
      <c r="D261" s="645">
        <f>+Synthèse!G260</f>
        <v>29394323.901936598</v>
      </c>
      <c r="E261" s="646">
        <f t="shared" si="9"/>
        <v>6801665.2824519947</v>
      </c>
      <c r="F261" s="647">
        <v>12862756.841513887</v>
      </c>
      <c r="G261" s="648">
        <f>+Synthèse!F260</f>
        <v>16730250.113010926</v>
      </c>
      <c r="H261" s="648">
        <f t="shared" si="10"/>
        <v>3867493.2714970391</v>
      </c>
      <c r="I261" s="644">
        <v>1545473.6056677408</v>
      </c>
      <c r="J261" s="649">
        <f>+Synthèse!H260</f>
        <v>1727572.4187689472</v>
      </c>
      <c r="K261" s="649">
        <f t="shared" si="11"/>
        <v>182098.81310120644</v>
      </c>
    </row>
    <row r="262" spans="1:11" s="177" customFormat="1" ht="15" x14ac:dyDescent="0.25">
      <c r="A262" s="83">
        <f>Données!A262</f>
        <v>5862</v>
      </c>
      <c r="B262" s="282" t="str">
        <f>Données!B262</f>
        <v>Tartegnin</v>
      </c>
      <c r="C262" s="644">
        <v>212364.37882796652</v>
      </c>
      <c r="D262" s="645">
        <f>+Synthèse!G261</f>
        <v>161381.77816659579</v>
      </c>
      <c r="E262" s="646">
        <f t="shared" si="9"/>
        <v>-50982.600661370729</v>
      </c>
      <c r="F262" s="647">
        <v>131863.94466663379</v>
      </c>
      <c r="G262" s="648">
        <f>+Synthèse!F261</f>
        <v>211220.58605490075</v>
      </c>
      <c r="H262" s="648">
        <f t="shared" si="10"/>
        <v>79356.641388266959</v>
      </c>
      <c r="I262" s="644">
        <v>32330.340601221687</v>
      </c>
      <c r="J262" s="649">
        <f>+Synthèse!H261</f>
        <v>35829.316687533763</v>
      </c>
      <c r="K262" s="649">
        <f t="shared" si="11"/>
        <v>3498.9760863120755</v>
      </c>
    </row>
    <row r="263" spans="1:11" s="177" customFormat="1" ht="15" x14ac:dyDescent="0.25">
      <c r="A263" s="83">
        <f>Données!A263</f>
        <v>5863</v>
      </c>
      <c r="B263" s="282" t="str">
        <f>Données!B263</f>
        <v>Vinzel</v>
      </c>
      <c r="C263" s="644">
        <v>468193.33240299835</v>
      </c>
      <c r="D263" s="645">
        <f>+Synthèse!G262</f>
        <v>290127.08782245871</v>
      </c>
      <c r="E263" s="646">
        <f t="shared" ref="E263:E305" si="12">+D263-C263</f>
        <v>-178066.24458053964</v>
      </c>
      <c r="F263" s="647">
        <v>414258.00305350841</v>
      </c>
      <c r="G263" s="648">
        <f>+Synthèse!F262</f>
        <v>343295.07504895341</v>
      </c>
      <c r="H263" s="648">
        <f t="shared" ref="H263:H305" si="13">+G263-F263</f>
        <v>-70962.928004554997</v>
      </c>
      <c r="I263" s="644">
        <v>62695.48395705146</v>
      </c>
      <c r="J263" s="649">
        <f>+Synthèse!H262</f>
        <v>58251.097602540525</v>
      </c>
      <c r="K263" s="649">
        <f t="shared" ref="K263:K305" si="14">+J263-I263</f>
        <v>-4444.3863545109343</v>
      </c>
    </row>
    <row r="264" spans="1:11" s="177" customFormat="1" ht="15" x14ac:dyDescent="0.25">
      <c r="A264" s="83">
        <f>Données!A264</f>
        <v>5871</v>
      </c>
      <c r="B264" s="282" t="str">
        <f>Données!B264</f>
        <v>L'Abbaye</v>
      </c>
      <c r="C264" s="644">
        <v>1023876.6654795378</v>
      </c>
      <c r="D264" s="645">
        <f>+Synthèse!G263</f>
        <v>911617.92411833315</v>
      </c>
      <c r="E264" s="646">
        <f t="shared" si="12"/>
        <v>-112258.74136120465</v>
      </c>
      <c r="F264" s="647">
        <v>-322990.71825205721</v>
      </c>
      <c r="G264" s="648">
        <f>+Synthèse!F263</f>
        <v>-237640.57020553853</v>
      </c>
      <c r="H264" s="648">
        <f t="shared" si="13"/>
        <v>85350.148046518676</v>
      </c>
      <c r="I264" s="644">
        <v>155042.04100595292</v>
      </c>
      <c r="J264" s="649">
        <f>+Synthèse!H263</f>
        <v>148458.5009303572</v>
      </c>
      <c r="K264" s="649">
        <f t="shared" si="14"/>
        <v>-6583.5400755957235</v>
      </c>
    </row>
    <row r="265" spans="1:11" s="177" customFormat="1" ht="15" x14ac:dyDescent="0.25">
      <c r="A265" s="83">
        <f>Données!A265</f>
        <v>5872</v>
      </c>
      <c r="B265" s="282" t="str">
        <f>Données!B265</f>
        <v>Le Chenit</v>
      </c>
      <c r="C265" s="644">
        <v>8341707.3903751187</v>
      </c>
      <c r="D265" s="645">
        <f>+Synthèse!G264</f>
        <v>8544870.482882224</v>
      </c>
      <c r="E265" s="646">
        <f t="shared" si="12"/>
        <v>203163.09250710532</v>
      </c>
      <c r="F265" s="647">
        <v>3313092.2688086387</v>
      </c>
      <c r="G265" s="648">
        <f>+Synthèse!F264</f>
        <v>5035892.1079612626</v>
      </c>
      <c r="H265" s="648">
        <f t="shared" si="13"/>
        <v>1722799.8391526239</v>
      </c>
      <c r="I265" s="644">
        <v>800070.47392224567</v>
      </c>
      <c r="J265" s="649">
        <f>+Synthèse!H264</f>
        <v>842453.75873455056</v>
      </c>
      <c r="K265" s="649">
        <f t="shared" si="14"/>
        <v>42383.28481230489</v>
      </c>
    </row>
    <row r="266" spans="1:11" s="177" customFormat="1" ht="15" x14ac:dyDescent="0.25">
      <c r="A266" s="83">
        <f>Données!A266</f>
        <v>5873</v>
      </c>
      <c r="B266" s="282" t="str">
        <f>Données!B266</f>
        <v>Le Lieu</v>
      </c>
      <c r="C266" s="644">
        <v>827613.52013103396</v>
      </c>
      <c r="D266" s="645">
        <f>+Synthèse!G265</f>
        <v>800453.88479706564</v>
      </c>
      <c r="E266" s="646">
        <f t="shared" si="12"/>
        <v>-27159.635333968326</v>
      </c>
      <c r="F266" s="647">
        <v>-225489.11747811711</v>
      </c>
      <c r="G266" s="648">
        <f>+Synthèse!F265</f>
        <v>-1353738.1569765573</v>
      </c>
      <c r="H266" s="648">
        <f t="shared" si="13"/>
        <v>-1128249.0394984402</v>
      </c>
      <c r="I266" s="644">
        <v>109761.16446368986</v>
      </c>
      <c r="J266" s="649">
        <f>+Synthèse!H265</f>
        <v>94091.258243954333</v>
      </c>
      <c r="K266" s="649">
        <f t="shared" si="14"/>
        <v>-15669.906219735523</v>
      </c>
    </row>
    <row r="267" spans="1:11" s="177" customFormat="1" ht="15" x14ac:dyDescent="0.25">
      <c r="A267" s="83">
        <f>Données!A267</f>
        <v>5882</v>
      </c>
      <c r="B267" s="282" t="str">
        <f>Données!B267</f>
        <v>Chardonne</v>
      </c>
      <c r="C267" s="644">
        <v>4877359.4682823727</v>
      </c>
      <c r="D267" s="645">
        <f>+Synthèse!G266</f>
        <v>3396702.4073395059</v>
      </c>
      <c r="E267" s="646">
        <f t="shared" si="12"/>
        <v>-1480657.0609428668</v>
      </c>
      <c r="F267" s="647">
        <v>2719512.4762727474</v>
      </c>
      <c r="G267" s="648">
        <f>+Synthèse!F266</f>
        <v>2623732.9173962972</v>
      </c>
      <c r="H267" s="648">
        <f t="shared" si="13"/>
        <v>-95779.558876450174</v>
      </c>
      <c r="I267" s="644">
        <v>250344.33635403207</v>
      </c>
      <c r="J267" s="649">
        <f>+Synthèse!H266</f>
        <v>227037.89151209095</v>
      </c>
      <c r="K267" s="649">
        <f t="shared" si="14"/>
        <v>-23306.44484194112</v>
      </c>
    </row>
    <row r="268" spans="1:11" s="177" customFormat="1" ht="15" x14ac:dyDescent="0.25">
      <c r="A268" s="83">
        <f>Données!A268</f>
        <v>5883</v>
      </c>
      <c r="B268" s="282" t="str">
        <f>Données!B268</f>
        <v>Corseaux</v>
      </c>
      <c r="C268" s="644">
        <v>4387931.7136757197</v>
      </c>
      <c r="D268" s="645">
        <f>+Synthèse!G267</f>
        <v>3965043.4996463396</v>
      </c>
      <c r="E268" s="646">
        <f t="shared" si="12"/>
        <v>-422888.21402938012</v>
      </c>
      <c r="F268" s="647">
        <v>2935027.9139251374</v>
      </c>
      <c r="G268" s="648">
        <f>+Synthèse!F267</f>
        <v>3058592.8491279446</v>
      </c>
      <c r="H268" s="648">
        <f t="shared" si="13"/>
        <v>123564.93520280719</v>
      </c>
      <c r="I268" s="644">
        <v>224460.57552861419</v>
      </c>
      <c r="J268" s="649">
        <f>+Synthèse!H267</f>
        <v>210967.18584111848</v>
      </c>
      <c r="K268" s="649">
        <f t="shared" si="14"/>
        <v>-13493.389687495714</v>
      </c>
    </row>
    <row r="269" spans="1:11" s="177" customFormat="1" ht="15" x14ac:dyDescent="0.25">
      <c r="A269" s="83">
        <f>Données!A269</f>
        <v>5884</v>
      </c>
      <c r="B269" s="282" t="str">
        <f>Données!B269</f>
        <v>Corsier-sur-Vevey</v>
      </c>
      <c r="C269" s="644">
        <v>2287056.8544043489</v>
      </c>
      <c r="D269" s="645">
        <f>+Synthèse!G268</f>
        <v>2370228.5283713872</v>
      </c>
      <c r="E269" s="646">
        <f t="shared" si="12"/>
        <v>83171.673967038281</v>
      </c>
      <c r="F269" s="647">
        <v>-503221.14437722042</v>
      </c>
      <c r="G269" s="648">
        <f>+Synthèse!F268</f>
        <v>585933.12642882299</v>
      </c>
      <c r="H269" s="648">
        <f t="shared" si="13"/>
        <v>1089154.2708060434</v>
      </c>
      <c r="I269" s="644">
        <v>158876.25090198693</v>
      </c>
      <c r="J269" s="649">
        <f>+Synthèse!H268</f>
        <v>180134.61303245771</v>
      </c>
      <c r="K269" s="649">
        <f t="shared" si="14"/>
        <v>21258.362130470778</v>
      </c>
    </row>
    <row r="270" spans="1:11" s="177" customFormat="1" ht="15" x14ac:dyDescent="0.25">
      <c r="A270" s="83">
        <f>Données!A270</f>
        <v>5885</v>
      </c>
      <c r="B270" s="282" t="str">
        <f>Données!B270</f>
        <v>Jongny</v>
      </c>
      <c r="C270" s="644">
        <v>1817436.5758549825</v>
      </c>
      <c r="D270" s="645">
        <f>+Synthèse!G269</f>
        <v>1610232.122303348</v>
      </c>
      <c r="E270" s="646">
        <f t="shared" si="12"/>
        <v>-207204.45355163445</v>
      </c>
      <c r="F270" s="647">
        <v>1538741.5146728063</v>
      </c>
      <c r="G270" s="648">
        <f>+Synthèse!F269</f>
        <v>1452037.1868518852</v>
      </c>
      <c r="H270" s="648">
        <f t="shared" si="13"/>
        <v>-86704.327820921084</v>
      </c>
      <c r="I270" s="644">
        <v>129156.6236412711</v>
      </c>
      <c r="J270" s="649">
        <f>+Synthèse!H269</f>
        <v>118157.46492144343</v>
      </c>
      <c r="K270" s="649">
        <f t="shared" si="14"/>
        <v>-10999.158719827668</v>
      </c>
    </row>
    <row r="271" spans="1:11" s="177" customFormat="1" ht="15" x14ac:dyDescent="0.25">
      <c r="A271" s="83">
        <f>Données!A271</f>
        <v>5886</v>
      </c>
      <c r="B271" s="282" t="str">
        <f>Données!B271</f>
        <v>Montreux</v>
      </c>
      <c r="C271" s="644">
        <v>26063840.442991309</v>
      </c>
      <c r="D271" s="645">
        <f>+Synthèse!G270</f>
        <v>28884579.162721463</v>
      </c>
      <c r="E271" s="646">
        <f t="shared" si="12"/>
        <v>2820738.7197301537</v>
      </c>
      <c r="F271" s="647">
        <v>-8032787.8318504803</v>
      </c>
      <c r="G271" s="648">
        <f>+Synthèse!F270</f>
        <v>-12252788.359725505</v>
      </c>
      <c r="H271" s="648">
        <f t="shared" si="13"/>
        <v>-4220000.5278750248</v>
      </c>
      <c r="I271" s="644">
        <v>1430752.0542515386</v>
      </c>
      <c r="J271" s="649">
        <f>+Synthèse!H270</f>
        <v>1259571.4588820871</v>
      </c>
      <c r="K271" s="649">
        <f t="shared" si="14"/>
        <v>-171180.59536945145</v>
      </c>
    </row>
    <row r="272" spans="1:11" s="177" customFormat="1" ht="15" x14ac:dyDescent="0.25">
      <c r="A272" s="83">
        <f>Données!A272</f>
        <v>5889</v>
      </c>
      <c r="B272" s="282" t="str">
        <f>Données!B272</f>
        <v>La Tour-de-Peilz</v>
      </c>
      <c r="C272" s="644">
        <v>12616815.903031006</v>
      </c>
      <c r="D272" s="645">
        <f>+Synthèse!G271</f>
        <v>12883451.204713369</v>
      </c>
      <c r="E272" s="646">
        <f t="shared" si="12"/>
        <v>266635.30168236233</v>
      </c>
      <c r="F272" s="647">
        <v>5612859.9749840992</v>
      </c>
      <c r="G272" s="648">
        <f>+Synthèse!F271</f>
        <v>5242053.3814623058</v>
      </c>
      <c r="H272" s="648">
        <f t="shared" si="13"/>
        <v>-370806.59352179337</v>
      </c>
      <c r="I272" s="644">
        <v>879859.08914418379</v>
      </c>
      <c r="J272" s="649">
        <f>+Synthèse!H271</f>
        <v>818977.00533733366</v>
      </c>
      <c r="K272" s="649">
        <f t="shared" si="14"/>
        <v>-60882.083806850133</v>
      </c>
    </row>
    <row r="273" spans="1:11" s="177" customFormat="1" ht="15" x14ac:dyDescent="0.25">
      <c r="A273" s="83">
        <f>Données!A273</f>
        <v>5890</v>
      </c>
      <c r="B273" s="282" t="str">
        <f>Données!B273</f>
        <v>Vevey</v>
      </c>
      <c r="C273" s="644">
        <v>15317578.717211235</v>
      </c>
      <c r="D273" s="645">
        <f>+Synthèse!G272</f>
        <v>14943186.180121023</v>
      </c>
      <c r="E273" s="646">
        <f t="shared" si="12"/>
        <v>-374392.53709021211</v>
      </c>
      <c r="F273" s="647">
        <v>-639144.00204616785</v>
      </c>
      <c r="G273" s="648">
        <f>+Synthèse!F272</f>
        <v>1751619.7854636535</v>
      </c>
      <c r="H273" s="648">
        <f t="shared" si="13"/>
        <v>2390763.7875098214</v>
      </c>
      <c r="I273" s="644">
        <v>1172428.9419631057</v>
      </c>
      <c r="J273" s="649">
        <f>+Synthèse!H272</f>
        <v>1195949.6088561111</v>
      </c>
      <c r="K273" s="649">
        <f t="shared" si="14"/>
        <v>23520.666893005371</v>
      </c>
    </row>
    <row r="274" spans="1:11" s="177" customFormat="1" ht="15" x14ac:dyDescent="0.25">
      <c r="A274" s="83">
        <f>Données!A274</f>
        <v>5891</v>
      </c>
      <c r="B274" s="282" t="str">
        <f>Données!B274</f>
        <v>Veytaux</v>
      </c>
      <c r="C274" s="644">
        <v>811879.53082325635</v>
      </c>
      <c r="D274" s="645">
        <f>+Synthèse!G273</f>
        <v>590443.81097973336</v>
      </c>
      <c r="E274" s="646">
        <f t="shared" si="12"/>
        <v>-221435.71984352299</v>
      </c>
      <c r="F274" s="647">
        <v>-120165.78616766282</v>
      </c>
      <c r="G274" s="648">
        <f>+Synthèse!F273</f>
        <v>-143191.11097988614</v>
      </c>
      <c r="H274" s="648">
        <f t="shared" si="13"/>
        <v>-23025.32481222332</v>
      </c>
      <c r="I274" s="644">
        <v>51013.983473720662</v>
      </c>
      <c r="J274" s="649">
        <f>+Synthèse!H273</f>
        <v>46147.024459486398</v>
      </c>
      <c r="K274" s="649">
        <f t="shared" si="14"/>
        <v>-4866.959014234264</v>
      </c>
    </row>
    <row r="275" spans="1:11" s="177" customFormat="1" ht="15" x14ac:dyDescent="0.25">
      <c r="A275" s="83">
        <f>Données!A275</f>
        <v>5892</v>
      </c>
      <c r="B275" s="282" t="str">
        <f>Données!B275</f>
        <v>Blonay - Saint-Légier</v>
      </c>
      <c r="C275" s="644">
        <v>15466260.748382477</v>
      </c>
      <c r="D275" s="645">
        <f>+Synthèse!G274</f>
        <v>13846669.01451249</v>
      </c>
      <c r="E275" s="646">
        <f t="shared" si="12"/>
        <v>-1619591.7338699866</v>
      </c>
      <c r="F275" s="647">
        <v>5419891.4726390596</v>
      </c>
      <c r="G275" s="648">
        <f>+Synthèse!F274</f>
        <v>4633010.2053059991</v>
      </c>
      <c r="H275" s="648">
        <f t="shared" si="13"/>
        <v>-786881.2673330605</v>
      </c>
      <c r="I275" s="644">
        <v>930278.34624073037</v>
      </c>
      <c r="J275" s="649">
        <f>+Synthèse!H274</f>
        <v>849387.18674829672</v>
      </c>
      <c r="K275" s="649">
        <f t="shared" si="14"/>
        <v>-80891.159492433653</v>
      </c>
    </row>
    <row r="276" spans="1:11" s="177" customFormat="1" ht="15" x14ac:dyDescent="0.25">
      <c r="A276" s="83">
        <f>Données!A276</f>
        <v>5902</v>
      </c>
      <c r="B276" s="282" t="str">
        <f>Données!B276</f>
        <v>Belmont-sur-Yverdon</v>
      </c>
      <c r="C276" s="644">
        <v>190027.265549028</v>
      </c>
      <c r="D276" s="645">
        <f>+Synthèse!G275</f>
        <v>150903.19483721105</v>
      </c>
      <c r="E276" s="646">
        <f t="shared" si="12"/>
        <v>-39124.070711816952</v>
      </c>
      <c r="F276" s="647">
        <v>-3096.3876866393548</v>
      </c>
      <c r="G276" s="648">
        <f>+Synthèse!F275</f>
        <v>-33341.596442658483</v>
      </c>
      <c r="H276" s="648">
        <f t="shared" si="13"/>
        <v>-30245.208756019128</v>
      </c>
      <c r="I276" s="644">
        <v>36629.601572691929</v>
      </c>
      <c r="J276" s="649">
        <f>+Synthèse!H275</f>
        <v>36465.851880234528</v>
      </c>
      <c r="K276" s="649">
        <f t="shared" si="14"/>
        <v>-163.74969245740067</v>
      </c>
    </row>
    <row r="277" spans="1:11" s="177" customFormat="1" ht="15" x14ac:dyDescent="0.25">
      <c r="A277" s="83">
        <f>Données!A277</f>
        <v>5903</v>
      </c>
      <c r="B277" s="282" t="str">
        <f>Données!B277</f>
        <v>Bioley-Magnoux</v>
      </c>
      <c r="C277" s="644">
        <v>98196.416714415362</v>
      </c>
      <c r="D277" s="645">
        <f>+Synthèse!G276</f>
        <v>107162.6880838322</v>
      </c>
      <c r="E277" s="646">
        <f t="shared" si="12"/>
        <v>8966.2713694168342</v>
      </c>
      <c r="F277" s="647">
        <v>-166712.05704297818</v>
      </c>
      <c r="G277" s="648">
        <f>+Synthèse!F276</f>
        <v>-219960.62593508736</v>
      </c>
      <c r="H277" s="648">
        <f t="shared" si="13"/>
        <v>-53248.568892109179</v>
      </c>
      <c r="I277" s="644">
        <v>19240.921879474852</v>
      </c>
      <c r="J277" s="649">
        <f>+Synthèse!H276</f>
        <v>20732.214881478787</v>
      </c>
      <c r="K277" s="649">
        <f t="shared" si="14"/>
        <v>1491.2930020039348</v>
      </c>
    </row>
    <row r="278" spans="1:11" s="177" customFormat="1" ht="15" x14ac:dyDescent="0.25">
      <c r="A278" s="83">
        <f>Données!A278</f>
        <v>5904</v>
      </c>
      <c r="B278" s="282" t="str">
        <f>Données!B278</f>
        <v>Chamblon</v>
      </c>
      <c r="C278" s="644">
        <v>306692.79878597346</v>
      </c>
      <c r="D278" s="645">
        <f>+Synthèse!G277</f>
        <v>246577.52773916841</v>
      </c>
      <c r="E278" s="646">
        <f t="shared" si="12"/>
        <v>-60115.27104680505</v>
      </c>
      <c r="F278" s="647">
        <v>152136.17635109022</v>
      </c>
      <c r="G278" s="648">
        <f>+Synthèse!F277</f>
        <v>72257.723937562609</v>
      </c>
      <c r="H278" s="648">
        <f t="shared" si="13"/>
        <v>-79878.452413527615</v>
      </c>
      <c r="I278" s="644">
        <v>23439.2128971399</v>
      </c>
      <c r="J278" s="649">
        <f>+Synthèse!H277</f>
        <v>19208.492706573685</v>
      </c>
      <c r="K278" s="649">
        <f t="shared" si="14"/>
        <v>-4230.720190566215</v>
      </c>
    </row>
    <row r="279" spans="1:11" s="177" customFormat="1" ht="15" x14ac:dyDescent="0.25">
      <c r="A279" s="83">
        <f>Données!A279</f>
        <v>5905</v>
      </c>
      <c r="B279" s="282" t="str">
        <f>Données!B279</f>
        <v>Champvent</v>
      </c>
      <c r="C279" s="644">
        <v>372361.47727386397</v>
      </c>
      <c r="D279" s="645">
        <f>+Synthèse!G278</f>
        <v>334460.18464242527</v>
      </c>
      <c r="E279" s="646">
        <f t="shared" si="12"/>
        <v>-37901.2926314387</v>
      </c>
      <c r="F279" s="647">
        <v>-22657.503447816242</v>
      </c>
      <c r="G279" s="648">
        <f>+Synthèse!F278</f>
        <v>-95357.178890849173</v>
      </c>
      <c r="H279" s="648">
        <f t="shared" si="13"/>
        <v>-72699.675443032931</v>
      </c>
      <c r="I279" s="644">
        <v>66568.609791927549</v>
      </c>
      <c r="J279" s="649">
        <f>+Synthèse!H278</f>
        <v>62351.901613585593</v>
      </c>
      <c r="K279" s="649">
        <f t="shared" si="14"/>
        <v>-4216.7081783419562</v>
      </c>
    </row>
    <row r="280" spans="1:11" s="177" customFormat="1" ht="15" x14ac:dyDescent="0.25">
      <c r="A280" s="83">
        <f>Données!A280</f>
        <v>5907</v>
      </c>
      <c r="B280" s="282" t="str">
        <f>Données!B280</f>
        <v>Chavannes-le-Chêne</v>
      </c>
      <c r="C280" s="644">
        <v>139950.0110451639</v>
      </c>
      <c r="D280" s="645">
        <f>+Synthèse!G279</f>
        <v>101199.12501501359</v>
      </c>
      <c r="E280" s="646">
        <f t="shared" si="12"/>
        <v>-38750.886030150315</v>
      </c>
      <c r="F280" s="647">
        <v>-71453.238950985426</v>
      </c>
      <c r="G280" s="648">
        <f>+Synthèse!F279</f>
        <v>-145913.78295441851</v>
      </c>
      <c r="H280" s="648">
        <f t="shared" si="13"/>
        <v>-74460.544003433082</v>
      </c>
      <c r="I280" s="644">
        <v>26000.302766548124</v>
      </c>
      <c r="J280" s="649">
        <f>+Synthèse!H279</f>
        <v>22819.391623751999</v>
      </c>
      <c r="K280" s="649">
        <f t="shared" si="14"/>
        <v>-3180.9111427961252</v>
      </c>
    </row>
    <row r="281" spans="1:11" s="177" customFormat="1" ht="15" x14ac:dyDescent="0.25">
      <c r="A281" s="83">
        <f>Données!A281</f>
        <v>5908</v>
      </c>
      <c r="B281" s="282" t="str">
        <f>Données!B281</f>
        <v>Chêne-Pâquier</v>
      </c>
      <c r="C281" s="644">
        <v>73637.707437136793</v>
      </c>
      <c r="D281" s="645">
        <f>+Synthèse!G280</f>
        <v>84949.840188526432</v>
      </c>
      <c r="E281" s="646">
        <f t="shared" si="12"/>
        <v>11312.132751389639</v>
      </c>
      <c r="F281" s="647">
        <v>-29150.613674696462</v>
      </c>
      <c r="G281" s="648">
        <f>+Synthèse!F280</f>
        <v>-4917.3974710658222</v>
      </c>
      <c r="H281" s="648">
        <f t="shared" si="13"/>
        <v>24233.21620363064</v>
      </c>
      <c r="I281" s="644">
        <v>15309.529533402976</v>
      </c>
      <c r="J281" s="649">
        <f>+Synthèse!H280</f>
        <v>16897.712150077208</v>
      </c>
      <c r="K281" s="649">
        <f t="shared" si="14"/>
        <v>1588.1826166742321</v>
      </c>
    </row>
    <row r="282" spans="1:11" s="177" customFormat="1" ht="15" x14ac:dyDescent="0.25">
      <c r="A282" s="83">
        <f>Données!A282</f>
        <v>5909</v>
      </c>
      <c r="B282" s="282" t="str">
        <f>Données!B282</f>
        <v>Cheseaux-Noréaz</v>
      </c>
      <c r="C282" s="644">
        <v>534463.10097911907</v>
      </c>
      <c r="D282" s="645">
        <f>+Synthèse!G281</f>
        <v>570738.99977960705</v>
      </c>
      <c r="E282" s="646">
        <f t="shared" si="12"/>
        <v>36275.898800487979</v>
      </c>
      <c r="F282" s="647">
        <v>505166.14533381193</v>
      </c>
      <c r="G282" s="648">
        <f>+Synthèse!F281</f>
        <v>330543.42005794292</v>
      </c>
      <c r="H282" s="648">
        <f t="shared" si="13"/>
        <v>-174622.72527586902</v>
      </c>
      <c r="I282" s="644">
        <v>42417.215522122766</v>
      </c>
      <c r="J282" s="649">
        <f>+Synthèse!H281</f>
        <v>35400.613030106826</v>
      </c>
      <c r="K282" s="649">
        <f t="shared" si="14"/>
        <v>-7016.6024920159398</v>
      </c>
    </row>
    <row r="283" spans="1:11" s="177" customFormat="1" ht="15" x14ac:dyDescent="0.25">
      <c r="A283" s="83">
        <f>Données!A283</f>
        <v>5910</v>
      </c>
      <c r="B283" s="282" t="str">
        <f>Données!B283</f>
        <v>Cronay</v>
      </c>
      <c r="C283" s="644">
        <v>204691.59649600307</v>
      </c>
      <c r="D283" s="645">
        <f>+Synthèse!G282</f>
        <v>132857.40048136769</v>
      </c>
      <c r="E283" s="646">
        <f t="shared" si="12"/>
        <v>-71834.196014635381</v>
      </c>
      <c r="F283" s="647">
        <v>-114059.91037576422</v>
      </c>
      <c r="G283" s="648">
        <f>+Synthèse!F282</f>
        <v>-191652.77233398208</v>
      </c>
      <c r="H283" s="648">
        <f t="shared" si="13"/>
        <v>-77592.861958217865</v>
      </c>
      <c r="I283" s="644">
        <v>32687.221244569635</v>
      </c>
      <c r="J283" s="649">
        <f>+Synthèse!H282</f>
        <v>34063.449498423906</v>
      </c>
      <c r="K283" s="649">
        <f t="shared" si="14"/>
        <v>1376.2282538542713</v>
      </c>
    </row>
    <row r="284" spans="1:11" s="177" customFormat="1" ht="15" x14ac:dyDescent="0.25">
      <c r="A284" s="83">
        <f>Données!A284</f>
        <v>5911</v>
      </c>
      <c r="B284" s="282" t="str">
        <f>Données!B284</f>
        <v>Cuarny</v>
      </c>
      <c r="C284" s="644">
        <v>110700.47314429155</v>
      </c>
      <c r="D284" s="645">
        <f>+Synthèse!G283</f>
        <v>328136.17745566403</v>
      </c>
      <c r="E284" s="646">
        <f t="shared" si="12"/>
        <v>217435.70431137248</v>
      </c>
      <c r="F284" s="647">
        <v>23506.523413862829</v>
      </c>
      <c r="G284" s="648">
        <f>+Synthèse!F283</f>
        <v>-84252.84521818455</v>
      </c>
      <c r="H284" s="648">
        <f t="shared" si="13"/>
        <v>-107759.36863204738</v>
      </c>
      <c r="I284" s="644">
        <v>23683.15660004918</v>
      </c>
      <c r="J284" s="649">
        <f>+Synthèse!H283</f>
        <v>21046.458498196869</v>
      </c>
      <c r="K284" s="649">
        <f t="shared" si="14"/>
        <v>-2636.6981018523111</v>
      </c>
    </row>
    <row r="285" spans="1:11" s="177" customFormat="1" ht="15" x14ac:dyDescent="0.25">
      <c r="A285" s="83">
        <f>Données!A285</f>
        <v>5912</v>
      </c>
      <c r="B285" s="282" t="str">
        <f>Données!B285</f>
        <v>Démoret</v>
      </c>
      <c r="C285" s="644">
        <v>58682.339588458264</v>
      </c>
      <c r="D285" s="645">
        <f>+Synthèse!G284</f>
        <v>53486.699923979511</v>
      </c>
      <c r="E285" s="646">
        <f t="shared" si="12"/>
        <v>-5195.6396644787528</v>
      </c>
      <c r="F285" s="647">
        <v>-97986.754496467998</v>
      </c>
      <c r="G285" s="648">
        <f>+Synthèse!F284</f>
        <v>-92731.845296357322</v>
      </c>
      <c r="H285" s="648">
        <f t="shared" si="13"/>
        <v>5254.9092001106765</v>
      </c>
      <c r="I285" s="644">
        <v>9237.7300162113188</v>
      </c>
      <c r="J285" s="649">
        <f>+Synthèse!H284</f>
        <v>12015.757403555799</v>
      </c>
      <c r="K285" s="649">
        <f t="shared" si="14"/>
        <v>2778.0273873444803</v>
      </c>
    </row>
    <row r="286" spans="1:11" s="177" customFormat="1" ht="15" x14ac:dyDescent="0.25">
      <c r="A286" s="83">
        <f>Données!A286</f>
        <v>5913</v>
      </c>
      <c r="B286" s="282" t="str">
        <f>Données!B286</f>
        <v>Donneloye</v>
      </c>
      <c r="C286" s="644">
        <v>365507.84262161213</v>
      </c>
      <c r="D286" s="645">
        <f>+Synthèse!G285</f>
        <v>324726.92593364289</v>
      </c>
      <c r="E286" s="646">
        <f t="shared" si="12"/>
        <v>-40780.916687969235</v>
      </c>
      <c r="F286" s="647">
        <v>-240110.15513504483</v>
      </c>
      <c r="G286" s="648">
        <f>+Synthèse!F285</f>
        <v>-287429.40214535297</v>
      </c>
      <c r="H286" s="648">
        <f t="shared" si="13"/>
        <v>-47319.247010308143</v>
      </c>
      <c r="I286" s="644">
        <v>67559.814849242161</v>
      </c>
      <c r="J286" s="649">
        <f>+Synthèse!H285</f>
        <v>64578.819481482409</v>
      </c>
      <c r="K286" s="649">
        <f t="shared" si="14"/>
        <v>-2980.9953677597514</v>
      </c>
    </row>
    <row r="287" spans="1:11" s="177" customFormat="1" ht="15" x14ac:dyDescent="0.25">
      <c r="A287" s="83">
        <f>Données!A287</f>
        <v>5914</v>
      </c>
      <c r="B287" s="282" t="str">
        <f>Données!B287</f>
        <v>Ependes</v>
      </c>
      <c r="C287" s="644">
        <v>142471.00843693767</v>
      </c>
      <c r="D287" s="645">
        <f>+Synthèse!G286</f>
        <v>142193.13977953771</v>
      </c>
      <c r="E287" s="646">
        <f t="shared" si="12"/>
        <v>-277.86865739995847</v>
      </c>
      <c r="F287" s="647">
        <v>-101513.06728350869</v>
      </c>
      <c r="G287" s="648">
        <f>+Synthèse!F286</f>
        <v>-99493.955951420852</v>
      </c>
      <c r="H287" s="648">
        <f t="shared" si="13"/>
        <v>2019.1113320878358</v>
      </c>
      <c r="I287" s="644">
        <v>12192.407489945464</v>
      </c>
      <c r="J287" s="649">
        <f>+Synthèse!H286</f>
        <v>11917.993929632832</v>
      </c>
      <c r="K287" s="649">
        <f t="shared" si="14"/>
        <v>-274.4135603126324</v>
      </c>
    </row>
    <row r="288" spans="1:11" s="177" customFormat="1" ht="15" x14ac:dyDescent="0.25">
      <c r="A288" s="83">
        <f>Données!A288</f>
        <v>5919</v>
      </c>
      <c r="B288" s="282" t="str">
        <f>Données!B288</f>
        <v>Mathod</v>
      </c>
      <c r="C288" s="644">
        <v>408415.90604380058</v>
      </c>
      <c r="D288" s="645">
        <f>+Synthèse!G287</f>
        <v>324292.57800362172</v>
      </c>
      <c r="E288" s="646">
        <f t="shared" si="12"/>
        <v>-84123.328040178865</v>
      </c>
      <c r="F288" s="647">
        <v>-25489.502463399491</v>
      </c>
      <c r="G288" s="648">
        <f>+Synthèse!F287</f>
        <v>-136761.72540656594</v>
      </c>
      <c r="H288" s="648">
        <f t="shared" si="13"/>
        <v>-111272.22294316645</v>
      </c>
      <c r="I288" s="644">
        <v>25876.210220461198</v>
      </c>
      <c r="J288" s="649">
        <f>+Synthèse!H287</f>
        <v>24081.327811076142</v>
      </c>
      <c r="K288" s="649">
        <f t="shared" si="14"/>
        <v>-1794.8824093850562</v>
      </c>
    </row>
    <row r="289" spans="1:11" s="177" customFormat="1" ht="15" x14ac:dyDescent="0.25">
      <c r="A289" s="83">
        <f>Données!A289</f>
        <v>5921</v>
      </c>
      <c r="B289" s="282" t="str">
        <f>Données!B289</f>
        <v>Molondin</v>
      </c>
      <c r="C289" s="644">
        <v>79480.690328552359</v>
      </c>
      <c r="D289" s="645">
        <f>+Synthèse!G288</f>
        <v>129999.70866742145</v>
      </c>
      <c r="E289" s="646">
        <f t="shared" si="12"/>
        <v>50519.018338869093</v>
      </c>
      <c r="F289" s="647">
        <v>-132348.09432048484</v>
      </c>
      <c r="G289" s="648">
        <f>+Synthèse!F288</f>
        <v>-20789.751827614178</v>
      </c>
      <c r="H289" s="648">
        <f t="shared" si="13"/>
        <v>111558.34249287067</v>
      </c>
      <c r="I289" s="644">
        <v>15577.696072334975</v>
      </c>
      <c r="J289" s="649">
        <f>+Synthèse!H288</f>
        <v>25225.411487215173</v>
      </c>
      <c r="K289" s="649">
        <f t="shared" si="14"/>
        <v>9647.7154148801983</v>
      </c>
    </row>
    <row r="290" spans="1:11" s="177" customFormat="1" ht="15" x14ac:dyDescent="0.25">
      <c r="A290" s="83">
        <f>Données!A290</f>
        <v>5922</v>
      </c>
      <c r="B290" s="282" t="str">
        <f>Données!B290</f>
        <v>Montagny-près-Yverdon</v>
      </c>
      <c r="C290" s="644">
        <v>691783.98492625228</v>
      </c>
      <c r="D290" s="645">
        <f>+Synthèse!G289</f>
        <v>766288.68953971216</v>
      </c>
      <c r="E290" s="646">
        <f t="shared" si="12"/>
        <v>74504.704613459879</v>
      </c>
      <c r="F290" s="647">
        <v>519400.15324898646</v>
      </c>
      <c r="G290" s="648">
        <f>+Synthèse!F289</f>
        <v>520069.35704359057</v>
      </c>
      <c r="H290" s="648">
        <f t="shared" si="13"/>
        <v>669.20379460410913</v>
      </c>
      <c r="I290" s="644">
        <v>116506.41481186016</v>
      </c>
      <c r="J290" s="649">
        <f>+Synthèse!H289</f>
        <v>113883.27570124253</v>
      </c>
      <c r="K290" s="649">
        <f t="shared" si="14"/>
        <v>-2623.1391106176306</v>
      </c>
    </row>
    <row r="291" spans="1:11" s="177" customFormat="1" ht="15" x14ac:dyDescent="0.25">
      <c r="A291" s="83">
        <f>Données!A291</f>
        <v>5923</v>
      </c>
      <c r="B291" s="282" t="str">
        <f>Données!B291</f>
        <v>Oppens</v>
      </c>
      <c r="C291" s="644">
        <v>68499.39653950333</v>
      </c>
      <c r="D291" s="645">
        <f>+Synthèse!G290</f>
        <v>71077.590535493116</v>
      </c>
      <c r="E291" s="646">
        <f t="shared" si="12"/>
        <v>2578.1939959897863</v>
      </c>
      <c r="F291" s="647">
        <v>-115858.42171092804</v>
      </c>
      <c r="G291" s="648">
        <f>+Synthèse!F290</f>
        <v>-138804.44446788428</v>
      </c>
      <c r="H291" s="648">
        <f t="shared" si="13"/>
        <v>-22946.022756956241</v>
      </c>
      <c r="I291" s="644">
        <v>13776.00608617567</v>
      </c>
      <c r="J291" s="649">
        <f>+Synthèse!H290</f>
        <v>17057.600624638755</v>
      </c>
      <c r="K291" s="649">
        <f t="shared" si="14"/>
        <v>3281.594538463085</v>
      </c>
    </row>
    <row r="292" spans="1:11" s="177" customFormat="1" ht="15" x14ac:dyDescent="0.25">
      <c r="A292" s="83">
        <f>Données!A292</f>
        <v>5924</v>
      </c>
      <c r="B292" s="282" t="str">
        <f>Données!B292</f>
        <v>Orges</v>
      </c>
      <c r="C292" s="644">
        <v>175935.30215922082</v>
      </c>
      <c r="D292" s="645">
        <f>+Synthèse!G291</f>
        <v>200587.41602556538</v>
      </c>
      <c r="E292" s="646">
        <f t="shared" si="12"/>
        <v>24652.11386634456</v>
      </c>
      <c r="F292" s="647">
        <v>-30331.968793019536</v>
      </c>
      <c r="G292" s="648">
        <f>+Synthèse!F291</f>
        <v>-60495.415714530653</v>
      </c>
      <c r="H292" s="648">
        <f t="shared" si="13"/>
        <v>-30163.446921511117</v>
      </c>
      <c r="I292" s="644">
        <v>36045.895381116105</v>
      </c>
      <c r="J292" s="649">
        <f>+Synthèse!H291</f>
        <v>39663.9360962192</v>
      </c>
      <c r="K292" s="649">
        <f t="shared" si="14"/>
        <v>3618.0407151030959</v>
      </c>
    </row>
    <row r="293" spans="1:11" s="177" customFormat="1" ht="15" x14ac:dyDescent="0.25">
      <c r="A293" s="83">
        <f>Données!A293</f>
        <v>5925</v>
      </c>
      <c r="B293" s="282" t="str">
        <f>Données!B293</f>
        <v>Orzens</v>
      </c>
      <c r="C293" s="644">
        <v>85117.540811930201</v>
      </c>
      <c r="D293" s="645">
        <f>+Synthèse!G292</f>
        <v>74465.075069047103</v>
      </c>
      <c r="E293" s="646">
        <f t="shared" si="12"/>
        <v>-10652.465742883098</v>
      </c>
      <c r="F293" s="647">
        <v>-98362.441730760387</v>
      </c>
      <c r="G293" s="648">
        <f>+Synthèse!F292</f>
        <v>-79585.79430090409</v>
      </c>
      <c r="H293" s="648">
        <f t="shared" si="13"/>
        <v>18776.647429856297</v>
      </c>
      <c r="I293" s="644">
        <v>16128.964048693269</v>
      </c>
      <c r="J293" s="649">
        <f>+Synthèse!H292</f>
        <v>14839.821841523339</v>
      </c>
      <c r="K293" s="649">
        <f t="shared" si="14"/>
        <v>-1289.1422071699308</v>
      </c>
    </row>
    <row r="294" spans="1:11" s="177" customFormat="1" ht="15" x14ac:dyDescent="0.25">
      <c r="A294" s="83">
        <f>Données!A294</f>
        <v>5926</v>
      </c>
      <c r="B294" s="282" t="str">
        <f>Données!B294</f>
        <v>Pomy</v>
      </c>
      <c r="C294" s="644">
        <v>392088.99263090501</v>
      </c>
      <c r="D294" s="645">
        <f>+Synthèse!G293</f>
        <v>441072.53167451487</v>
      </c>
      <c r="E294" s="646">
        <f t="shared" si="12"/>
        <v>48983.539043609868</v>
      </c>
      <c r="F294" s="647">
        <v>59959.291938852111</v>
      </c>
      <c r="G294" s="648">
        <f>+Synthèse!F293</f>
        <v>-39412.954702172079</v>
      </c>
      <c r="H294" s="648">
        <f t="shared" si="13"/>
        <v>-99372.24664102419</v>
      </c>
      <c r="I294" s="644">
        <v>33232.085028620626</v>
      </c>
      <c r="J294" s="649">
        <f>+Synthèse!H293</f>
        <v>29941.748710648022</v>
      </c>
      <c r="K294" s="649">
        <f t="shared" si="14"/>
        <v>-3290.3363179726039</v>
      </c>
    </row>
    <row r="295" spans="1:11" s="177" customFormat="1" ht="15" x14ac:dyDescent="0.25">
      <c r="A295" s="83">
        <f>Données!A295</f>
        <v>5928</v>
      </c>
      <c r="B295" s="282" t="str">
        <f>Données!B295</f>
        <v>Rovray</v>
      </c>
      <c r="C295" s="644">
        <v>63804.54529320763</v>
      </c>
      <c r="D295" s="645">
        <f>+Synthèse!G294</f>
        <v>81432.065283149976</v>
      </c>
      <c r="E295" s="646">
        <f t="shared" si="12"/>
        <v>17627.519989942346</v>
      </c>
      <c r="F295" s="647">
        <v>-20152.159825444323</v>
      </c>
      <c r="G295" s="648">
        <f>+Synthèse!F294</f>
        <v>-2251.7624015605979</v>
      </c>
      <c r="H295" s="648">
        <f t="shared" si="13"/>
        <v>17900.397423883725</v>
      </c>
      <c r="I295" s="644">
        <v>15778.103931082976</v>
      </c>
      <c r="J295" s="649">
        <f>+Synthèse!H294</f>
        <v>17939.82878546913</v>
      </c>
      <c r="K295" s="649">
        <f t="shared" si="14"/>
        <v>2161.7248543861533</v>
      </c>
    </row>
    <row r="296" spans="1:11" s="177" customFormat="1" ht="15" x14ac:dyDescent="0.25">
      <c r="A296" s="83">
        <f>Données!A296</f>
        <v>5929</v>
      </c>
      <c r="B296" s="282" t="str">
        <f>Données!B296</f>
        <v>Suchy</v>
      </c>
      <c r="C296" s="644">
        <v>320604.90393830684</v>
      </c>
      <c r="D296" s="645">
        <f>+Synthèse!G295</f>
        <v>335792.84317194996</v>
      </c>
      <c r="E296" s="646">
        <f t="shared" si="12"/>
        <v>15187.939233643119</v>
      </c>
      <c r="F296" s="647">
        <v>117353.54177661776</v>
      </c>
      <c r="G296" s="648">
        <f>+Synthèse!F295</f>
        <v>144963.7978041672</v>
      </c>
      <c r="H296" s="648">
        <f t="shared" si="13"/>
        <v>27610.256027549447</v>
      </c>
      <c r="I296" s="644">
        <v>26805.266331597148</v>
      </c>
      <c r="J296" s="649">
        <f>+Synthèse!H295</f>
        <v>25797.801940522211</v>
      </c>
      <c r="K296" s="649">
        <f t="shared" si="14"/>
        <v>-1007.4643910749364</v>
      </c>
    </row>
    <row r="297" spans="1:11" s="177" customFormat="1" ht="15" x14ac:dyDescent="0.25">
      <c r="A297" s="83">
        <f>Données!A297</f>
        <v>5930</v>
      </c>
      <c r="B297" s="282" t="str">
        <f>Données!B297</f>
        <v>Suscévaz</v>
      </c>
      <c r="C297" s="644">
        <v>96123.959921848378</v>
      </c>
      <c r="D297" s="645">
        <f>+Synthèse!G296</f>
        <v>72656.481359226935</v>
      </c>
      <c r="E297" s="646">
        <f t="shared" si="12"/>
        <v>-23467.478562621443</v>
      </c>
      <c r="F297" s="647">
        <v>-52382.129885363553</v>
      </c>
      <c r="G297" s="648">
        <f>+Synthèse!F296</f>
        <v>-109339.07670459224</v>
      </c>
      <c r="H297" s="648">
        <f t="shared" si="13"/>
        <v>-56956.946819228688</v>
      </c>
      <c r="I297" s="644">
        <v>7133.7403173199282</v>
      </c>
      <c r="J297" s="649">
        <f>+Synthèse!H296</f>
        <v>5756.7441341603708</v>
      </c>
      <c r="K297" s="649">
        <f t="shared" si="14"/>
        <v>-1376.9961831595574</v>
      </c>
    </row>
    <row r="298" spans="1:11" s="177" customFormat="1" ht="15" x14ac:dyDescent="0.25">
      <c r="A298" s="83">
        <f>Données!A298</f>
        <v>5931</v>
      </c>
      <c r="B298" s="282" t="str">
        <f>Données!B298</f>
        <v>Treycovagnes</v>
      </c>
      <c r="C298" s="644">
        <v>307229.73552313156</v>
      </c>
      <c r="D298" s="645">
        <f>+Synthèse!G297</f>
        <v>212252.48307901423</v>
      </c>
      <c r="E298" s="646">
        <f t="shared" si="12"/>
        <v>-94977.25244411733</v>
      </c>
      <c r="F298" s="647">
        <v>6655.1630222136737</v>
      </c>
      <c r="G298" s="648">
        <f>+Synthèse!F297</f>
        <v>15608.103132127144</v>
      </c>
      <c r="H298" s="648">
        <f t="shared" si="13"/>
        <v>8952.9401099134702</v>
      </c>
      <c r="I298" s="644">
        <v>20233.743052656984</v>
      </c>
      <c r="J298" s="649">
        <f>+Synthèse!H297</f>
        <v>18528.849564175951</v>
      </c>
      <c r="K298" s="649">
        <f t="shared" si="14"/>
        <v>-1704.8934884810333</v>
      </c>
    </row>
    <row r="299" spans="1:11" s="177" customFormat="1" ht="15" x14ac:dyDescent="0.25">
      <c r="A299" s="83">
        <f>Données!A299</f>
        <v>5932</v>
      </c>
      <c r="B299" s="282" t="str">
        <f>Données!B299</f>
        <v>Ursins</v>
      </c>
      <c r="C299" s="644">
        <v>109042.05860120765</v>
      </c>
      <c r="D299" s="645">
        <f>+Synthèse!G298</f>
        <v>102799.01912018452</v>
      </c>
      <c r="E299" s="646">
        <f t="shared" si="12"/>
        <v>-6243.0394810231373</v>
      </c>
      <c r="F299" s="647">
        <v>48453.869301180559</v>
      </c>
      <c r="G299" s="648">
        <f>+Synthèse!F298</f>
        <v>83266.719384352196</v>
      </c>
      <c r="H299" s="648">
        <f t="shared" si="13"/>
        <v>34812.850083171637</v>
      </c>
      <c r="I299" s="644">
        <v>24794.477070649031</v>
      </c>
      <c r="J299" s="649">
        <f>+Synthèse!H298</f>
        <v>28077.845590505709</v>
      </c>
      <c r="K299" s="649">
        <f t="shared" si="14"/>
        <v>3283.3685198566782</v>
      </c>
    </row>
    <row r="300" spans="1:11" s="177" customFormat="1" ht="15" x14ac:dyDescent="0.25">
      <c r="A300" s="83">
        <f>Données!A300</f>
        <v>5933</v>
      </c>
      <c r="B300" s="282" t="str">
        <f>Données!B300</f>
        <v>Valeyres-sous-Montagny</v>
      </c>
      <c r="C300" s="644">
        <v>348304.00302525808</v>
      </c>
      <c r="D300" s="645">
        <f>+Synthèse!G299</f>
        <v>301349.41876281449</v>
      </c>
      <c r="E300" s="646">
        <f t="shared" si="12"/>
        <v>-46954.58426244359</v>
      </c>
      <c r="F300" s="647">
        <v>-171465.91824505676</v>
      </c>
      <c r="G300" s="648">
        <f>+Synthèse!F299</f>
        <v>-468621.61458285613</v>
      </c>
      <c r="H300" s="648">
        <f t="shared" si="13"/>
        <v>-297155.69633779937</v>
      </c>
      <c r="I300" s="644">
        <v>72496.472724925756</v>
      </c>
      <c r="J300" s="649">
        <f>+Synthèse!H299</f>
        <v>68976.168471043318</v>
      </c>
      <c r="K300" s="649">
        <f t="shared" si="14"/>
        <v>-3520.3042538824375</v>
      </c>
    </row>
    <row r="301" spans="1:11" s="177" customFormat="1" ht="15" x14ac:dyDescent="0.25">
      <c r="A301" s="83">
        <f>Données!A301</f>
        <v>5934</v>
      </c>
      <c r="B301" s="282" t="str">
        <f>Données!B301</f>
        <v>Valeyres-sous-Ursins</v>
      </c>
      <c r="C301" s="644">
        <v>116623.67080309436</v>
      </c>
      <c r="D301" s="645">
        <f>+Synthèse!G300</f>
        <v>143626.1984117692</v>
      </c>
      <c r="E301" s="646">
        <f t="shared" si="12"/>
        <v>27002.527608674849</v>
      </c>
      <c r="F301" s="647">
        <v>-9644.3444169119757</v>
      </c>
      <c r="G301" s="648">
        <f>+Synthèse!F300</f>
        <v>44437.912320571661</v>
      </c>
      <c r="H301" s="648">
        <f t="shared" si="13"/>
        <v>54082.256737483636</v>
      </c>
      <c r="I301" s="644">
        <v>21600.91962882084</v>
      </c>
      <c r="J301" s="649">
        <f>+Synthèse!H300</f>
        <v>25936.446980153451</v>
      </c>
      <c r="K301" s="649">
        <f t="shared" si="14"/>
        <v>4335.5273513326101</v>
      </c>
    </row>
    <row r="302" spans="1:11" s="177" customFormat="1" ht="15" x14ac:dyDescent="0.25">
      <c r="A302" s="83">
        <f>Données!A302</f>
        <v>5935</v>
      </c>
      <c r="B302" s="282" t="str">
        <f>Données!B302</f>
        <v>Villars-Epeney</v>
      </c>
      <c r="C302" s="644">
        <v>155010.56334757741</v>
      </c>
      <c r="D302" s="645">
        <f>+Synthèse!G301</f>
        <v>237165.50625440397</v>
      </c>
      <c r="E302" s="646">
        <f t="shared" si="12"/>
        <v>82154.94290682656</v>
      </c>
      <c r="F302" s="647">
        <v>116483.3945276177</v>
      </c>
      <c r="G302" s="648">
        <f>+Synthèse!F301</f>
        <v>182441.30175065802</v>
      </c>
      <c r="H302" s="648">
        <f t="shared" si="13"/>
        <v>65957.907223040325</v>
      </c>
      <c r="I302" s="644">
        <v>16457.434994056734</v>
      </c>
      <c r="J302" s="649">
        <f>+Synthèse!H301</f>
        <v>21218.133208205116</v>
      </c>
      <c r="K302" s="649">
        <f t="shared" si="14"/>
        <v>4760.6982141483822</v>
      </c>
    </row>
    <row r="303" spans="1:11" s="177" customFormat="1" ht="15" x14ac:dyDescent="0.25">
      <c r="A303" s="83">
        <f>Données!A303</f>
        <v>5937</v>
      </c>
      <c r="B303" s="282" t="str">
        <f>Données!B303</f>
        <v>Vugelles-La Mothe</v>
      </c>
      <c r="C303" s="644">
        <v>50769.964938056713</v>
      </c>
      <c r="D303" s="645">
        <f>+Synthèse!G302</f>
        <v>49684.985040377556</v>
      </c>
      <c r="E303" s="646">
        <f t="shared" si="12"/>
        <v>-1084.9798976791571</v>
      </c>
      <c r="F303" s="647">
        <v>-38441.073860871809</v>
      </c>
      <c r="G303" s="648">
        <f>+Synthèse!F302</f>
        <v>-1147.1405833430472</v>
      </c>
      <c r="H303" s="648">
        <f t="shared" si="13"/>
        <v>37293.933277528762</v>
      </c>
      <c r="I303" s="644">
        <v>10325.373640420246</v>
      </c>
      <c r="J303" s="649">
        <f>+Synthèse!H302</f>
        <v>13249.745812966697</v>
      </c>
      <c r="K303" s="649">
        <f t="shared" si="14"/>
        <v>2924.3721725464511</v>
      </c>
    </row>
    <row r="304" spans="1:11" s="177" customFormat="1" ht="15" x14ac:dyDescent="0.25">
      <c r="A304" s="83">
        <f>Données!A304</f>
        <v>5938</v>
      </c>
      <c r="B304" s="282" t="str">
        <f>Données!B304</f>
        <v>Yverdon-les-Bains</v>
      </c>
      <c r="C304" s="644">
        <v>14019962.406728145</v>
      </c>
      <c r="D304" s="645">
        <f>+Synthèse!G303</f>
        <v>13854620.40552716</v>
      </c>
      <c r="E304" s="646">
        <f t="shared" si="12"/>
        <v>-165342.00120098516</v>
      </c>
      <c r="F304" s="647">
        <v>-31896581.400512476</v>
      </c>
      <c r="G304" s="648">
        <f>+Synthèse!F303</f>
        <v>-32288229.78610988</v>
      </c>
      <c r="H304" s="648">
        <f t="shared" si="13"/>
        <v>-391648.38559740409</v>
      </c>
      <c r="I304" s="644">
        <v>968526.33241896215</v>
      </c>
      <c r="J304" s="649">
        <f>+Synthèse!H303</f>
        <v>900984.27981596335</v>
      </c>
      <c r="K304" s="649">
        <f t="shared" si="14"/>
        <v>-67542.052602998796</v>
      </c>
    </row>
    <row r="305" spans="1:11" s="177" customFormat="1" ht="15" x14ac:dyDescent="0.25">
      <c r="A305" s="83">
        <f>Données!A305</f>
        <v>5939</v>
      </c>
      <c r="B305" s="282" t="str">
        <f>Données!B305</f>
        <v>Yvonand</v>
      </c>
      <c r="C305" s="644">
        <v>1961033.1281461825</v>
      </c>
      <c r="D305" s="645">
        <f>+Synthèse!G304</f>
        <v>1456497.1720368145</v>
      </c>
      <c r="E305" s="646">
        <f t="shared" si="12"/>
        <v>-504535.95610936801</v>
      </c>
      <c r="F305" s="647">
        <v>-1249092.7284528781</v>
      </c>
      <c r="G305" s="648">
        <f>+Synthèse!F304</f>
        <v>-1480557.6523356794</v>
      </c>
      <c r="H305" s="648">
        <f t="shared" si="13"/>
        <v>-231464.92388280132</v>
      </c>
      <c r="I305" s="644">
        <v>297414.99819079856</v>
      </c>
      <c r="J305" s="649">
        <f>+Synthèse!H304</f>
        <v>280899.55402494193</v>
      </c>
      <c r="K305" s="649">
        <f t="shared" si="14"/>
        <v>-16515.444165856636</v>
      </c>
    </row>
    <row r="306" spans="1:11" s="177" customFormat="1" ht="15" x14ac:dyDescent="0.25">
      <c r="A306" s="24"/>
      <c r="B306" s="18">
        <v>300</v>
      </c>
      <c r="C306" s="650">
        <f t="shared" ref="C306:K306" si="15">SUM(C6:C305)</f>
        <v>790754699.99999952</v>
      </c>
      <c r="D306" s="651">
        <f t="shared" si="15"/>
        <v>806647592.00000012</v>
      </c>
      <c r="E306" s="651">
        <f t="shared" si="15"/>
        <v>15892892.000000035</v>
      </c>
      <c r="F306" s="650">
        <f t="shared" si="15"/>
        <v>449999.99999934621</v>
      </c>
      <c r="G306" s="652">
        <f t="shared" si="15"/>
        <v>450000.00000001653</v>
      </c>
      <c r="H306" s="652">
        <f t="shared" si="15"/>
        <v>6.1199534684419632E-7</v>
      </c>
      <c r="I306" s="650">
        <f t="shared" si="15"/>
        <v>73172184.99999994</v>
      </c>
      <c r="J306" s="653">
        <f t="shared" si="15"/>
        <v>73172184.999999925</v>
      </c>
      <c r="K306" s="653">
        <f t="shared" si="15"/>
        <v>1.9150320440530777E-8</v>
      </c>
    </row>
    <row r="307" spans="1:11" s="177" customFormat="1" ht="15" x14ac:dyDescent="0.25">
      <c r="A307" s="178"/>
      <c r="B307" s="178"/>
      <c r="C307" s="178"/>
      <c r="D307" s="4"/>
      <c r="F307" s="178"/>
      <c r="I307" s="176"/>
      <c r="J307" s="4"/>
    </row>
    <row r="308" spans="1:11" s="177" customFormat="1" ht="15" x14ac:dyDescent="0.25">
      <c r="A308" s="178"/>
      <c r="B308" s="178"/>
      <c r="C308" s="178"/>
      <c r="F308" s="178"/>
      <c r="I308" s="176"/>
      <c r="J308" s="4"/>
    </row>
    <row r="309" spans="1:11" s="177" customFormat="1" ht="15" x14ac:dyDescent="0.25">
      <c r="A309" s="178"/>
      <c r="B309" s="178"/>
      <c r="C309" s="178"/>
      <c r="F309" s="178"/>
      <c r="I309" s="176"/>
    </row>
    <row r="310" spans="1:11" s="177" customFormat="1" ht="15" x14ac:dyDescent="0.25">
      <c r="A310" s="178"/>
      <c r="B310" s="178"/>
      <c r="C310" s="178"/>
      <c r="F310" s="178"/>
      <c r="I310" s="158"/>
    </row>
  </sheetData>
  <sheetProtection sheet="1" objects="1" scenarios="1"/>
  <mergeCells count="5">
    <mergeCell ref="I4:K4"/>
    <mergeCell ref="A4:A5"/>
    <mergeCell ref="B4:B5"/>
    <mergeCell ref="C4:E4"/>
    <mergeCell ref="F4:H4"/>
  </mergeCells>
  <hyperlinks>
    <hyperlink ref="C1" location="Synthèse!A1" display="← Précédent" xr:uid="{D046A632-CF30-4412-9AE7-773599330617}"/>
    <hyperlink ref="D1" location="'Table des matières'!A1" display="Table des             matières" xr:uid="{312CF942-877A-4E96-8B85-400AB3A21C9A}"/>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3" tint="0.59999389629810485"/>
  </sheetPr>
  <dimension ref="A1:L537"/>
  <sheetViews>
    <sheetView zoomScaleNormal="100" workbookViewId="0">
      <pane ySplit="2" topLeftCell="A3" activePane="bottomLeft" state="frozen"/>
      <selection activeCell="B4" sqref="B4:C4"/>
      <selection pane="bottomLeft"/>
    </sheetView>
  </sheetViews>
  <sheetFormatPr baseColWidth="10" defaultColWidth="10.75" defaultRowHeight="15" x14ac:dyDescent="0.25"/>
  <cols>
    <col min="1" max="1" width="66.625" style="389" customWidth="1"/>
    <col min="2" max="2" width="12.5" style="389" bestFit="1" customWidth="1"/>
    <col min="3" max="3" width="13.875" style="389" customWidth="1"/>
    <col min="4" max="4" width="12.125" style="389" customWidth="1"/>
    <col min="5" max="8" width="13.125" style="389" customWidth="1"/>
    <col min="9" max="10" width="12.125" style="389" bestFit="1" customWidth="1"/>
    <col min="11" max="11" width="12" style="389" bestFit="1" customWidth="1"/>
    <col min="12" max="16384" width="10.75" style="389"/>
  </cols>
  <sheetData>
    <row r="1" spans="1:11" ht="26.25" x14ac:dyDescent="0.4">
      <c r="A1" s="385" t="s">
        <v>404</v>
      </c>
      <c r="B1" s="386" t="s">
        <v>402</v>
      </c>
      <c r="C1" s="387" t="s">
        <v>394</v>
      </c>
      <c r="D1" s="386" t="s">
        <v>403</v>
      </c>
      <c r="E1" s="388"/>
    </row>
    <row r="3" spans="1:11" ht="21" customHeight="1" x14ac:dyDescent="0.35">
      <c r="A3" s="390" t="s">
        <v>405</v>
      </c>
    </row>
    <row r="4" spans="1:11" ht="14.45" customHeight="1" x14ac:dyDescent="0.25">
      <c r="A4" s="389" t="s">
        <v>440</v>
      </c>
      <c r="B4" s="391" t="s">
        <v>594</v>
      </c>
      <c r="D4" s="691" t="s">
        <v>592</v>
      </c>
      <c r="E4" s="692"/>
      <c r="F4" s="692"/>
      <c r="G4" s="692"/>
      <c r="H4" s="693"/>
      <c r="I4" s="392"/>
      <c r="J4" s="392"/>
      <c r="K4" s="392"/>
    </row>
    <row r="5" spans="1:11" x14ac:dyDescent="0.25">
      <c r="A5" s="389" t="s">
        <v>476</v>
      </c>
      <c r="B5" s="393">
        <v>2024</v>
      </c>
      <c r="D5" s="694"/>
      <c r="E5" s="695"/>
      <c r="F5" s="695"/>
      <c r="G5" s="695"/>
      <c r="H5" s="696"/>
      <c r="I5" s="392"/>
      <c r="J5" s="392"/>
      <c r="K5" s="392"/>
    </row>
    <row r="6" spans="1:11" x14ac:dyDescent="0.25">
      <c r="A6" s="389" t="s">
        <v>475</v>
      </c>
      <c r="B6" s="394">
        <v>44195</v>
      </c>
      <c r="D6" s="694"/>
      <c r="E6" s="695"/>
      <c r="F6" s="695"/>
      <c r="G6" s="695"/>
      <c r="H6" s="696"/>
      <c r="I6" s="392"/>
      <c r="J6" s="392"/>
      <c r="K6" s="392"/>
    </row>
    <row r="7" spans="1:11" x14ac:dyDescent="0.25">
      <c r="A7" s="389" t="s">
        <v>474</v>
      </c>
      <c r="B7" s="394" t="s">
        <v>585</v>
      </c>
      <c r="D7" s="694"/>
      <c r="E7" s="695"/>
      <c r="F7" s="695"/>
      <c r="G7" s="695"/>
      <c r="H7" s="696"/>
      <c r="I7" s="392"/>
      <c r="J7" s="392"/>
      <c r="K7" s="392"/>
    </row>
    <row r="8" spans="1:11" x14ac:dyDescent="0.25">
      <c r="A8" s="389" t="s">
        <v>473</v>
      </c>
      <c r="B8" s="393">
        <v>2024</v>
      </c>
      <c r="D8" s="694"/>
      <c r="E8" s="695"/>
      <c r="F8" s="695"/>
      <c r="G8" s="695"/>
      <c r="H8" s="696"/>
      <c r="I8" s="392"/>
      <c r="J8" s="392"/>
      <c r="K8" s="392"/>
    </row>
    <row r="9" spans="1:11" x14ac:dyDescent="0.25">
      <c r="D9" s="694"/>
      <c r="E9" s="695"/>
      <c r="F9" s="695"/>
      <c r="G9" s="695"/>
      <c r="H9" s="696"/>
      <c r="I9" s="392"/>
      <c r="J9" s="392"/>
      <c r="K9" s="392"/>
    </row>
    <row r="10" spans="1:11" ht="21" x14ac:dyDescent="0.35">
      <c r="A10" s="395" t="s">
        <v>422</v>
      </c>
      <c r="B10" s="396"/>
      <c r="D10" s="694"/>
      <c r="E10" s="695"/>
      <c r="F10" s="695"/>
      <c r="G10" s="695"/>
      <c r="H10" s="696"/>
      <c r="I10" s="392"/>
      <c r="J10" s="392"/>
      <c r="K10" s="392"/>
    </row>
    <row r="11" spans="1:11" ht="30" x14ac:dyDescent="0.25">
      <c r="A11" s="397" t="s">
        <v>549</v>
      </c>
      <c r="B11" s="398">
        <v>806647592</v>
      </c>
      <c r="D11" s="694"/>
      <c r="E11" s="695"/>
      <c r="F11" s="695"/>
      <c r="G11" s="695"/>
      <c r="H11" s="696"/>
      <c r="I11" s="392"/>
      <c r="J11" s="392"/>
      <c r="K11" s="392"/>
    </row>
    <row r="12" spans="1:11" x14ac:dyDescent="0.25">
      <c r="A12" s="399" t="s">
        <v>548</v>
      </c>
      <c r="B12" s="400">
        <v>16278144</v>
      </c>
      <c r="C12" s="688" t="s">
        <v>586</v>
      </c>
      <c r="D12" s="694"/>
      <c r="E12" s="695"/>
      <c r="F12" s="695"/>
      <c r="G12" s="695"/>
      <c r="H12" s="696"/>
      <c r="I12" s="392"/>
      <c r="J12" s="392"/>
      <c r="K12" s="392"/>
    </row>
    <row r="13" spans="1:11" x14ac:dyDescent="0.25">
      <c r="A13" s="399" t="s">
        <v>547</v>
      </c>
      <c r="B13" s="398">
        <v>42836000</v>
      </c>
      <c r="C13" s="689"/>
      <c r="D13" s="694"/>
      <c r="E13" s="695"/>
      <c r="F13" s="695"/>
      <c r="G13" s="695"/>
      <c r="H13" s="696"/>
      <c r="I13" s="392"/>
      <c r="J13" s="392"/>
      <c r="K13" s="392"/>
    </row>
    <row r="14" spans="1:11" x14ac:dyDescent="0.25">
      <c r="A14" s="399" t="s">
        <v>564</v>
      </c>
      <c r="B14" s="398">
        <v>20885856</v>
      </c>
      <c r="C14" s="690"/>
      <c r="D14" s="694"/>
      <c r="E14" s="695"/>
      <c r="F14" s="695"/>
      <c r="G14" s="695"/>
      <c r="H14" s="696"/>
      <c r="I14" s="392"/>
      <c r="J14" s="392"/>
      <c r="K14" s="392"/>
    </row>
    <row r="15" spans="1:11" x14ac:dyDescent="0.25">
      <c r="A15" s="399" t="s">
        <v>484</v>
      </c>
      <c r="B15" s="398">
        <v>25000000</v>
      </c>
      <c r="C15" s="478">
        <f>+B12+B13+B14</f>
        <v>80000000</v>
      </c>
      <c r="D15" s="694"/>
      <c r="E15" s="695"/>
      <c r="F15" s="695"/>
      <c r="G15" s="695"/>
      <c r="H15" s="696"/>
      <c r="I15" s="392"/>
      <c r="J15" s="392"/>
      <c r="K15" s="392"/>
    </row>
    <row r="16" spans="1:11" x14ac:dyDescent="0.25">
      <c r="A16" s="396" t="s">
        <v>591</v>
      </c>
      <c r="B16" s="401">
        <f>+B11+B13+B14+B15</f>
        <v>895369448</v>
      </c>
      <c r="C16" s="446">
        <f>+C15-80000000</f>
        <v>0</v>
      </c>
      <c r="D16" s="694"/>
      <c r="E16" s="695"/>
      <c r="F16" s="695"/>
      <c r="G16" s="695"/>
      <c r="H16" s="696"/>
      <c r="I16" s="392"/>
      <c r="J16" s="392"/>
      <c r="K16" s="392"/>
    </row>
    <row r="17" spans="1:12" x14ac:dyDescent="0.25">
      <c r="D17" s="694"/>
      <c r="E17" s="695"/>
      <c r="F17" s="695"/>
      <c r="G17" s="695"/>
      <c r="H17" s="696"/>
      <c r="I17" s="392"/>
      <c r="J17" s="392"/>
      <c r="K17" s="392"/>
    </row>
    <row r="18" spans="1:12" ht="21" x14ac:dyDescent="0.35">
      <c r="A18" s="390" t="s">
        <v>446</v>
      </c>
      <c r="C18" s="396"/>
      <c r="D18" s="694"/>
      <c r="E18" s="695"/>
      <c r="F18" s="695"/>
      <c r="G18" s="695"/>
      <c r="H18" s="696"/>
      <c r="I18" s="392"/>
      <c r="J18" s="392"/>
      <c r="K18" s="392"/>
    </row>
    <row r="19" spans="1:12" x14ac:dyDescent="0.25">
      <c r="A19" s="389" t="s">
        <v>447</v>
      </c>
      <c r="B19" s="402">
        <v>0.5</v>
      </c>
      <c r="C19" s="403"/>
      <c r="D19" s="694"/>
      <c r="E19" s="695"/>
      <c r="F19" s="695"/>
      <c r="G19" s="695"/>
      <c r="H19" s="696"/>
      <c r="I19" s="392"/>
      <c r="J19" s="392"/>
      <c r="K19" s="392"/>
    </row>
    <row r="20" spans="1:12" x14ac:dyDescent="0.25">
      <c r="A20" s="389" t="s">
        <v>417</v>
      </c>
      <c r="B20" s="402">
        <v>0.3</v>
      </c>
      <c r="C20" s="404"/>
      <c r="D20" s="697"/>
      <c r="E20" s="698"/>
      <c r="F20" s="698"/>
      <c r="G20" s="698"/>
      <c r="H20" s="699"/>
      <c r="I20" s="392"/>
      <c r="J20" s="392"/>
      <c r="K20" s="392"/>
    </row>
    <row r="21" spans="1:12" x14ac:dyDescent="0.25">
      <c r="D21" s="392"/>
      <c r="E21" s="392"/>
      <c r="F21" s="392"/>
      <c r="G21" s="392"/>
      <c r="H21" s="392"/>
      <c r="I21" s="392"/>
      <c r="J21" s="392"/>
      <c r="K21" s="392"/>
    </row>
    <row r="22" spans="1:12" ht="21" x14ac:dyDescent="0.35">
      <c r="A22" s="390" t="s">
        <v>449</v>
      </c>
    </row>
    <row r="23" spans="1:12" x14ac:dyDescent="0.25">
      <c r="B23" s="405" t="s">
        <v>249</v>
      </c>
      <c r="C23" s="405" t="s">
        <v>250</v>
      </c>
      <c r="D23" s="405" t="s">
        <v>335</v>
      </c>
      <c r="E23" s="405" t="s">
        <v>376</v>
      </c>
      <c r="F23" s="405" t="s">
        <v>377</v>
      </c>
    </row>
    <row r="24" spans="1:12" x14ac:dyDescent="0.25">
      <c r="A24" s="389" t="s">
        <v>448</v>
      </c>
      <c r="B24" s="406">
        <v>0.2</v>
      </c>
      <c r="C24" s="406">
        <v>0.3</v>
      </c>
      <c r="D24" s="406">
        <v>0.4</v>
      </c>
      <c r="E24" s="406">
        <v>0.5</v>
      </c>
      <c r="F24" s="406">
        <v>0.6</v>
      </c>
      <c r="G24" s="407"/>
    </row>
    <row r="25" spans="1:12" x14ac:dyDescent="0.25">
      <c r="A25" s="389" t="s">
        <v>358</v>
      </c>
      <c r="B25" s="406">
        <v>1</v>
      </c>
      <c r="C25" s="406">
        <v>1.2</v>
      </c>
      <c r="D25" s="406">
        <v>1.5</v>
      </c>
      <c r="E25" s="408">
        <v>2</v>
      </c>
      <c r="F25" s="406">
        <v>3</v>
      </c>
      <c r="G25" s="407"/>
    </row>
    <row r="26" spans="1:12" x14ac:dyDescent="0.25">
      <c r="F26" s="396"/>
      <c r="I26" s="396"/>
      <c r="J26" s="396"/>
      <c r="K26" s="396"/>
      <c r="L26" s="396"/>
    </row>
    <row r="27" spans="1:12" ht="21" x14ac:dyDescent="0.35">
      <c r="A27" s="390" t="s">
        <v>450</v>
      </c>
      <c r="B27" s="396"/>
      <c r="C27" s="396"/>
      <c r="D27" s="396"/>
      <c r="E27" s="409"/>
      <c r="F27" s="410"/>
      <c r="I27" s="396"/>
      <c r="J27" s="396"/>
      <c r="K27" s="396"/>
      <c r="L27" s="411"/>
    </row>
    <row r="28" spans="1:12" x14ac:dyDescent="0.25">
      <c r="A28" s="412" t="s">
        <v>451</v>
      </c>
      <c r="B28" s="413">
        <v>0</v>
      </c>
      <c r="C28" s="413">
        <v>1000</v>
      </c>
      <c r="D28" s="413">
        <v>3000</v>
      </c>
      <c r="E28" s="413">
        <v>5000</v>
      </c>
      <c r="F28" s="413">
        <v>9000</v>
      </c>
      <c r="G28" s="413">
        <v>12000</v>
      </c>
      <c r="H28" s="413">
        <v>15000</v>
      </c>
      <c r="I28" s="414"/>
      <c r="J28" s="396"/>
      <c r="K28" s="396"/>
      <c r="L28" s="396"/>
    </row>
    <row r="29" spans="1:12" ht="15" customHeight="1" x14ac:dyDescent="0.25">
      <c r="A29" s="412"/>
      <c r="B29" s="413">
        <v>1000</v>
      </c>
      <c r="C29" s="413">
        <v>3000</v>
      </c>
      <c r="D29" s="413">
        <v>5000</v>
      </c>
      <c r="E29" s="413">
        <v>9000</v>
      </c>
      <c r="F29" s="413">
        <v>12000</v>
      </c>
      <c r="G29" s="413">
        <v>15000</v>
      </c>
      <c r="H29" s="413"/>
      <c r="I29" s="414"/>
      <c r="J29" s="396"/>
      <c r="K29" s="396"/>
      <c r="L29" s="396"/>
    </row>
    <row r="30" spans="1:12" x14ac:dyDescent="0.25">
      <c r="A30" s="415" t="s">
        <v>359</v>
      </c>
      <c r="B30" s="416">
        <v>125</v>
      </c>
      <c r="C30" s="416">
        <v>350</v>
      </c>
      <c r="D30" s="416">
        <v>500</v>
      </c>
      <c r="E30" s="416">
        <v>600</v>
      </c>
      <c r="F30" s="416">
        <v>850</v>
      </c>
      <c r="G30" s="416">
        <v>1000</v>
      </c>
      <c r="H30" s="416">
        <v>1050</v>
      </c>
      <c r="I30" s="417"/>
      <c r="J30" s="396"/>
      <c r="K30" s="396"/>
      <c r="L30" s="396"/>
    </row>
    <row r="31" spans="1:12" x14ac:dyDescent="0.25">
      <c r="A31" s="396" t="s">
        <v>353</v>
      </c>
      <c r="B31" s="418">
        <v>99.4</v>
      </c>
      <c r="C31" s="419"/>
      <c r="D31" s="419"/>
      <c r="E31" s="419"/>
      <c r="F31" s="419"/>
      <c r="G31" s="419"/>
      <c r="H31" s="419"/>
      <c r="I31" s="396"/>
      <c r="J31" s="396"/>
      <c r="K31" s="396"/>
      <c r="L31" s="396"/>
    </row>
    <row r="32" spans="1:12" s="422" customFormat="1" x14ac:dyDescent="0.25">
      <c r="A32" s="420" t="str">
        <f>_xlfn.CONCAT("Indice IPC au 30 juin ",B5)</f>
        <v>Indice IPC au 30 juin 2024</v>
      </c>
      <c r="B32" s="416">
        <v>105.7</v>
      </c>
      <c r="C32" s="595"/>
      <c r="D32" s="421"/>
      <c r="E32" s="421"/>
      <c r="F32" s="421"/>
      <c r="G32" s="421"/>
      <c r="H32" s="421"/>
      <c r="I32" s="421"/>
      <c r="J32" s="421"/>
      <c r="K32" s="421"/>
      <c r="L32" s="421"/>
    </row>
    <row r="33" spans="1:12" x14ac:dyDescent="0.25">
      <c r="A33" s="396" t="s">
        <v>354</v>
      </c>
      <c r="B33" s="423">
        <f>+B30/$B$31*$B$32</f>
        <v>132.92253521126759</v>
      </c>
      <c r="C33" s="424">
        <f t="shared" ref="C33:H33" si="0">+C30/$B$31*$B$32</f>
        <v>372.18309859154925</v>
      </c>
      <c r="D33" s="424">
        <f t="shared" si="0"/>
        <v>531.69014084507035</v>
      </c>
      <c r="E33" s="424">
        <f t="shared" si="0"/>
        <v>638.02816901408448</v>
      </c>
      <c r="F33" s="424">
        <f t="shared" si="0"/>
        <v>903.87323943661966</v>
      </c>
      <c r="G33" s="424">
        <f t="shared" si="0"/>
        <v>1063.3802816901407</v>
      </c>
      <c r="H33" s="424">
        <f t="shared" si="0"/>
        <v>1116.5492957746478</v>
      </c>
      <c r="I33" s="396"/>
      <c r="J33" s="396"/>
      <c r="K33" s="396"/>
      <c r="L33" s="396"/>
    </row>
    <row r="35" spans="1:12" ht="21" x14ac:dyDescent="0.35">
      <c r="A35" s="390" t="s">
        <v>452</v>
      </c>
    </row>
    <row r="36" spans="1:12" x14ac:dyDescent="0.25">
      <c r="A36" s="389" t="s">
        <v>453</v>
      </c>
      <c r="B36" s="425">
        <v>0.27</v>
      </c>
    </row>
    <row r="38" spans="1:12" ht="21" x14ac:dyDescent="0.35">
      <c r="A38" s="390" t="s">
        <v>456</v>
      </c>
      <c r="G38" s="426"/>
      <c r="H38" s="427"/>
      <c r="L38" s="426"/>
    </row>
    <row r="39" spans="1:12" x14ac:dyDescent="0.25">
      <c r="A39" s="428"/>
      <c r="B39" s="429" t="s">
        <v>310</v>
      </c>
      <c r="C39" s="429" t="s">
        <v>511</v>
      </c>
      <c r="E39" s="430" t="s">
        <v>461</v>
      </c>
      <c r="F39" s="430"/>
      <c r="G39" s="431">
        <v>4.5</v>
      </c>
      <c r="H39" s="432">
        <v>0.75</v>
      </c>
      <c r="I39" s="685" t="s">
        <v>459</v>
      </c>
      <c r="J39" s="686"/>
      <c r="K39" s="433">
        <f>DT!G306+DT!L306</f>
        <v>276316056.02342409</v>
      </c>
    </row>
    <row r="40" spans="1:12" x14ac:dyDescent="0.25">
      <c r="A40" s="389" t="s">
        <v>458</v>
      </c>
      <c r="B40" s="434">
        <v>8</v>
      </c>
      <c r="C40" s="405">
        <f>+H40</f>
        <v>0.6963417828138283</v>
      </c>
      <c r="E40" s="430" t="s">
        <v>360</v>
      </c>
      <c r="F40" s="430"/>
      <c r="G40" s="435">
        <f>G39*H46</f>
        <v>192410415.07143679</v>
      </c>
      <c r="H40" s="436">
        <f>(IF(G40&gt;K40,H39,H39/K40*G40))</f>
        <v>0.6963417828138283</v>
      </c>
      <c r="I40" s="685" t="s">
        <v>460</v>
      </c>
      <c r="J40" s="686"/>
      <c r="K40" s="433">
        <f>K39*H39</f>
        <v>207237042.01756805</v>
      </c>
    </row>
    <row r="41" spans="1:12" x14ac:dyDescent="0.25">
      <c r="A41" s="389" t="s">
        <v>457</v>
      </c>
      <c r="B41" s="434">
        <v>1</v>
      </c>
      <c r="C41" s="405">
        <f>+H40</f>
        <v>0.6963417828138283</v>
      </c>
      <c r="K41" s="437"/>
    </row>
    <row r="43" spans="1:12" ht="21" x14ac:dyDescent="0.35">
      <c r="A43" s="390" t="s">
        <v>464</v>
      </c>
      <c r="H43" s="438"/>
    </row>
    <row r="44" spans="1:12" x14ac:dyDescent="0.25">
      <c r="A44" s="389" t="s">
        <v>463</v>
      </c>
      <c r="B44" s="439">
        <v>48</v>
      </c>
      <c r="C44" s="440"/>
    </row>
    <row r="45" spans="1:12" x14ac:dyDescent="0.25">
      <c r="A45" s="389" t="s">
        <v>462</v>
      </c>
      <c r="B45" s="439">
        <v>10</v>
      </c>
      <c r="C45" s="415"/>
      <c r="E45" s="441"/>
      <c r="I45" s="685" t="str">
        <f>CONCATENATE("PCS selon ",B7)</f>
        <v>PCS selon Comptes 2024</v>
      </c>
      <c r="J45" s="686"/>
      <c r="K45" s="433">
        <f>+B11</f>
        <v>806647592</v>
      </c>
      <c r="L45" s="426"/>
    </row>
    <row r="46" spans="1:12" x14ac:dyDescent="0.25">
      <c r="A46" s="389" t="s">
        <v>468</v>
      </c>
      <c r="B46" s="442">
        <v>93.882000000000005</v>
      </c>
      <c r="E46" s="685" t="str">
        <f>CONCATENATE("Valeur du point ",B4)</f>
        <v>Valeur du point Décompte 2024</v>
      </c>
      <c r="F46" s="687"/>
      <c r="G46" s="686"/>
      <c r="H46" s="433">
        <f>VPI!R306</f>
        <v>42757870.01587484</v>
      </c>
      <c r="I46" s="685" t="s">
        <v>470</v>
      </c>
      <c r="J46" s="686"/>
      <c r="K46" s="443">
        <v>792838910</v>
      </c>
      <c r="L46" s="426"/>
    </row>
    <row r="47" spans="1:12" x14ac:dyDescent="0.25">
      <c r="A47" s="389" t="s">
        <v>375</v>
      </c>
      <c r="B47" s="597">
        <v>93.882000000000005</v>
      </c>
      <c r="E47" s="685" t="s">
        <v>469</v>
      </c>
      <c r="F47" s="687"/>
      <c r="G47" s="686"/>
      <c r="H47" s="443">
        <v>41856931</v>
      </c>
      <c r="I47" s="685" t="s">
        <v>467</v>
      </c>
      <c r="J47" s="686"/>
      <c r="K47" s="430">
        <f>IF((K45/K46)&gt;(H46/H47),(K45-K46)/H46,0)</f>
        <v>0</v>
      </c>
      <c r="L47" s="426"/>
    </row>
    <row r="48" spans="1:12" x14ac:dyDescent="0.25">
      <c r="E48" s="684"/>
      <c r="F48" s="684"/>
      <c r="G48" s="684"/>
      <c r="H48" s="598"/>
      <c r="K48" s="598"/>
    </row>
    <row r="49" spans="1:12" ht="21" x14ac:dyDescent="0.35">
      <c r="A49" s="390" t="s">
        <v>455</v>
      </c>
      <c r="B49" s="444" t="s">
        <v>466</v>
      </c>
      <c r="C49" s="445" t="s">
        <v>482</v>
      </c>
      <c r="D49" s="444" t="s">
        <v>465</v>
      </c>
      <c r="H49" s="437"/>
      <c r="K49" s="437"/>
    </row>
    <row r="50" spans="1:12" x14ac:dyDescent="0.25">
      <c r="A50" s="389" t="s">
        <v>545</v>
      </c>
      <c r="B50" s="443">
        <v>3152282.356019882</v>
      </c>
      <c r="C50" s="587">
        <f>D50-B50</f>
        <v>0</v>
      </c>
      <c r="D50" s="433">
        <f>'Péréquation directe'!H312</f>
        <v>3152282.3560198848</v>
      </c>
      <c r="L50" s="426"/>
    </row>
    <row r="51" spans="1:12" x14ac:dyDescent="0.25">
      <c r="A51" s="389" t="s">
        <v>454</v>
      </c>
      <c r="B51" s="443">
        <v>450000</v>
      </c>
      <c r="C51" s="447" t="s">
        <v>584</v>
      </c>
      <c r="D51" s="426"/>
      <c r="L51" s="426"/>
    </row>
    <row r="52" spans="1:12" x14ac:dyDescent="0.25">
      <c r="B52" s="448"/>
    </row>
    <row r="53" spans="1:12" ht="21" x14ac:dyDescent="0.35">
      <c r="A53" s="395" t="s">
        <v>406</v>
      </c>
      <c r="B53" s="396"/>
      <c r="C53" s="396"/>
      <c r="D53" s="449"/>
      <c r="F53" s="449"/>
      <c r="G53" s="450"/>
      <c r="H53" s="451"/>
    </row>
    <row r="54" spans="1:12" x14ac:dyDescent="0.25">
      <c r="A54" s="396" t="s">
        <v>471</v>
      </c>
      <c r="B54" s="433">
        <v>62118300</v>
      </c>
      <c r="C54" s="396"/>
      <c r="D54" s="449"/>
      <c r="F54" s="449"/>
      <c r="G54" s="450"/>
      <c r="H54" s="451"/>
    </row>
    <row r="55" spans="1:12" x14ac:dyDescent="0.25">
      <c r="A55" s="396" t="s">
        <v>472</v>
      </c>
      <c r="B55" s="452">
        <v>1.4999999999999999E-2</v>
      </c>
      <c r="C55" s="396"/>
      <c r="D55" s="449"/>
      <c r="F55" s="449"/>
      <c r="G55" s="450"/>
      <c r="H55" s="451"/>
    </row>
    <row r="56" spans="1:12" x14ac:dyDescent="0.25">
      <c r="A56" s="396" t="str">
        <f>CONCATENATE("Montant de la facture ",B8)</f>
        <v>Montant de la facture 2024</v>
      </c>
      <c r="B56" s="433">
        <f>ROUND((B54*(1+B55)^(B8-2013)),0)</f>
        <v>73172185</v>
      </c>
      <c r="C56" s="396"/>
      <c r="D56" s="449"/>
      <c r="E56" s="396"/>
      <c r="F56" s="449"/>
      <c r="G56" s="450"/>
      <c r="H56" s="451"/>
    </row>
    <row r="57" spans="1:12" x14ac:dyDescent="0.25">
      <c r="A57" s="396"/>
      <c r="B57" s="453"/>
      <c r="C57" s="396"/>
      <c r="D57" s="449"/>
      <c r="E57" s="396"/>
      <c r="F57" s="449"/>
      <c r="G57" s="450"/>
      <c r="H57" s="451"/>
    </row>
    <row r="58" spans="1:12" x14ac:dyDescent="0.25">
      <c r="F58" s="449"/>
      <c r="G58" s="450"/>
      <c r="H58" s="451"/>
    </row>
    <row r="59" spans="1:12" x14ac:dyDescent="0.25">
      <c r="F59" s="449"/>
    </row>
    <row r="60" spans="1:12" x14ac:dyDescent="0.25">
      <c r="A60" s="396"/>
      <c r="B60" s="396"/>
      <c r="F60" s="449"/>
    </row>
    <row r="61" spans="1:12" ht="21" x14ac:dyDescent="0.35">
      <c r="A61" s="395" t="s">
        <v>363</v>
      </c>
      <c r="F61" s="449"/>
    </row>
    <row r="62" spans="1:12" x14ac:dyDescent="0.25">
      <c r="A62" s="389" t="s">
        <v>332</v>
      </c>
      <c r="B62" s="389">
        <v>5621</v>
      </c>
      <c r="F62" s="449"/>
    </row>
    <row r="63" spans="1:12" x14ac:dyDescent="0.25">
      <c r="A63" s="389" t="s">
        <v>276</v>
      </c>
      <c r="B63" s="389">
        <v>5742</v>
      </c>
      <c r="F63" s="449"/>
    </row>
    <row r="64" spans="1:12" x14ac:dyDescent="0.25">
      <c r="A64" s="389" t="s">
        <v>224</v>
      </c>
      <c r="B64" s="389">
        <v>5401</v>
      </c>
      <c r="F64" s="449"/>
    </row>
    <row r="65" spans="1:2" x14ac:dyDescent="0.25">
      <c r="A65" s="389" t="s">
        <v>15</v>
      </c>
      <c r="B65" s="389">
        <v>5851</v>
      </c>
    </row>
    <row r="66" spans="1:2" x14ac:dyDescent="0.25">
      <c r="A66" s="389" t="s">
        <v>98</v>
      </c>
      <c r="B66" s="389">
        <v>5701</v>
      </c>
    </row>
    <row r="67" spans="1:2" x14ac:dyDescent="0.25">
      <c r="A67" s="389" t="s">
        <v>226</v>
      </c>
      <c r="B67" s="389">
        <v>5743</v>
      </c>
    </row>
    <row r="68" spans="1:2" x14ac:dyDescent="0.25">
      <c r="A68" s="389" t="s">
        <v>351</v>
      </c>
      <c r="B68" s="389">
        <v>5702</v>
      </c>
    </row>
    <row r="69" spans="1:2" x14ac:dyDescent="0.25">
      <c r="A69" s="389" t="s">
        <v>157</v>
      </c>
      <c r="B69" s="389">
        <v>5511</v>
      </c>
    </row>
    <row r="70" spans="1:2" x14ac:dyDescent="0.25">
      <c r="A70" s="389" t="s">
        <v>67</v>
      </c>
      <c r="B70" s="389">
        <v>5422</v>
      </c>
    </row>
    <row r="71" spans="1:2" x14ac:dyDescent="0.25">
      <c r="A71" s="389" t="s">
        <v>294</v>
      </c>
      <c r="B71" s="389">
        <v>5451</v>
      </c>
    </row>
    <row r="72" spans="1:2" x14ac:dyDescent="0.25">
      <c r="A72" s="389" t="s">
        <v>227</v>
      </c>
      <c r="B72" s="389">
        <v>5744</v>
      </c>
    </row>
    <row r="73" spans="1:2" x14ac:dyDescent="0.25">
      <c r="A73" s="389" t="s">
        <v>68</v>
      </c>
      <c r="B73" s="389">
        <v>5423</v>
      </c>
    </row>
    <row r="74" spans="1:2" x14ac:dyDescent="0.25">
      <c r="A74" s="389" t="s">
        <v>99</v>
      </c>
      <c r="B74" s="389">
        <v>5703</v>
      </c>
    </row>
    <row r="75" spans="1:2" x14ac:dyDescent="0.25">
      <c r="A75" s="389" t="s">
        <v>228</v>
      </c>
      <c r="B75" s="389">
        <v>5745</v>
      </c>
    </row>
    <row r="76" spans="1:2" x14ac:dyDescent="0.25">
      <c r="A76" s="389" t="s">
        <v>229</v>
      </c>
      <c r="B76" s="389">
        <v>5746</v>
      </c>
    </row>
    <row r="77" spans="1:2" x14ac:dyDescent="0.25">
      <c r="A77" s="389" t="s">
        <v>195</v>
      </c>
      <c r="B77" s="389">
        <v>5704</v>
      </c>
    </row>
    <row r="78" spans="1:2" x14ac:dyDescent="0.25">
      <c r="A78" s="389" t="s">
        <v>316</v>
      </c>
      <c r="B78" s="389">
        <v>5581</v>
      </c>
    </row>
    <row r="79" spans="1:2" x14ac:dyDescent="0.25">
      <c r="A79" s="389" t="s">
        <v>51</v>
      </c>
      <c r="B79" s="389">
        <v>5902</v>
      </c>
    </row>
    <row r="80" spans="1:2" x14ac:dyDescent="0.25">
      <c r="A80" s="389" t="s">
        <v>158</v>
      </c>
      <c r="B80" s="389">
        <v>5512</v>
      </c>
    </row>
    <row r="81" spans="1:2" x14ac:dyDescent="0.25">
      <c r="A81" s="389" t="s">
        <v>69</v>
      </c>
      <c r="B81" s="389">
        <v>5424</v>
      </c>
    </row>
    <row r="82" spans="1:2" x14ac:dyDescent="0.25">
      <c r="A82" s="389" t="s">
        <v>297</v>
      </c>
      <c r="B82" s="389">
        <v>5471</v>
      </c>
    </row>
    <row r="83" spans="1:2" x14ac:dyDescent="0.25">
      <c r="A83" s="389" t="s">
        <v>225</v>
      </c>
      <c r="B83" s="389">
        <v>5402</v>
      </c>
    </row>
    <row r="84" spans="1:2" x14ac:dyDescent="0.25">
      <c r="A84" s="389" t="s">
        <v>70</v>
      </c>
      <c r="B84" s="389">
        <v>5425</v>
      </c>
    </row>
    <row r="85" spans="1:2" x14ac:dyDescent="0.25">
      <c r="A85" s="389" t="s">
        <v>52</v>
      </c>
      <c r="B85" s="389">
        <v>5903</v>
      </c>
    </row>
    <row r="86" spans="1:2" x14ac:dyDescent="0.25">
      <c r="A86" s="389" t="s">
        <v>583</v>
      </c>
      <c r="B86" s="389">
        <v>5892</v>
      </c>
    </row>
    <row r="87" spans="1:2" x14ac:dyDescent="0.25">
      <c r="A87" s="389" t="s">
        <v>230</v>
      </c>
      <c r="B87" s="389">
        <v>5747</v>
      </c>
    </row>
    <row r="88" spans="1:2" x14ac:dyDescent="0.25">
      <c r="A88" s="389" t="s">
        <v>196</v>
      </c>
      <c r="B88" s="389">
        <v>5705</v>
      </c>
    </row>
    <row r="89" spans="1:2" x14ac:dyDescent="0.25">
      <c r="A89" s="389" t="s">
        <v>32</v>
      </c>
      <c r="B89" s="389">
        <v>5551</v>
      </c>
    </row>
    <row r="90" spans="1:2" x14ac:dyDescent="0.25">
      <c r="A90" s="389" t="s">
        <v>197</v>
      </c>
      <c r="B90" s="389">
        <v>5706</v>
      </c>
    </row>
    <row r="91" spans="1:2" x14ac:dyDescent="0.25">
      <c r="A91" s="389" t="s">
        <v>159</v>
      </c>
      <c r="B91" s="389">
        <v>5514</v>
      </c>
    </row>
    <row r="92" spans="1:2" x14ac:dyDescent="0.25">
      <c r="A92" s="389" t="s">
        <v>65</v>
      </c>
      <c r="B92" s="389">
        <v>5426</v>
      </c>
    </row>
    <row r="93" spans="1:2" x14ac:dyDescent="0.25">
      <c r="A93" s="389" t="s">
        <v>182</v>
      </c>
      <c r="B93" s="389">
        <v>5661</v>
      </c>
    </row>
    <row r="94" spans="1:2" x14ac:dyDescent="0.25">
      <c r="A94" s="389" t="s">
        <v>341</v>
      </c>
      <c r="B94" s="389">
        <v>5613</v>
      </c>
    </row>
    <row r="95" spans="1:2" x14ac:dyDescent="0.25">
      <c r="A95" s="389" t="s">
        <v>298</v>
      </c>
      <c r="B95" s="389">
        <v>5472</v>
      </c>
    </row>
    <row r="96" spans="1:2" x14ac:dyDescent="0.25">
      <c r="A96" s="389" t="s">
        <v>188</v>
      </c>
      <c r="B96" s="389">
        <v>5473</v>
      </c>
    </row>
    <row r="97" spans="1:2" x14ac:dyDescent="0.25">
      <c r="A97" s="389" t="s">
        <v>130</v>
      </c>
      <c r="B97" s="389">
        <v>5622</v>
      </c>
    </row>
    <row r="98" spans="1:2" x14ac:dyDescent="0.25">
      <c r="A98" s="389" t="s">
        <v>160</v>
      </c>
      <c r="B98" s="389">
        <v>5515</v>
      </c>
    </row>
    <row r="99" spans="1:2" x14ac:dyDescent="0.25">
      <c r="A99" s="389" t="s">
        <v>231</v>
      </c>
      <c r="B99" s="389">
        <v>5748</v>
      </c>
    </row>
    <row r="100" spans="1:2" x14ac:dyDescent="0.25">
      <c r="A100" s="389" t="s">
        <v>131</v>
      </c>
      <c r="B100" s="389">
        <v>5623</v>
      </c>
    </row>
    <row r="101" spans="1:2" x14ac:dyDescent="0.25">
      <c r="A101" s="389" t="s">
        <v>33</v>
      </c>
      <c r="B101" s="389">
        <v>5552</v>
      </c>
    </row>
    <row r="102" spans="1:2" x14ac:dyDescent="0.25">
      <c r="A102" s="389" t="s">
        <v>16</v>
      </c>
      <c r="B102" s="389">
        <v>5852</v>
      </c>
    </row>
    <row r="103" spans="1:2" x14ac:dyDescent="0.25">
      <c r="A103" s="389" t="s">
        <v>17</v>
      </c>
      <c r="B103" s="389">
        <v>5853</v>
      </c>
    </row>
    <row r="104" spans="1:2" x14ac:dyDescent="0.25">
      <c r="A104" s="389" t="s">
        <v>18</v>
      </c>
      <c r="B104" s="389">
        <v>5854</v>
      </c>
    </row>
    <row r="105" spans="1:2" x14ac:dyDescent="0.25">
      <c r="A105" s="389" t="s">
        <v>350</v>
      </c>
      <c r="B105" s="389">
        <v>5624</v>
      </c>
    </row>
    <row r="106" spans="1:2" x14ac:dyDescent="0.25">
      <c r="A106" s="389" t="s">
        <v>183</v>
      </c>
      <c r="B106" s="389">
        <v>5663</v>
      </c>
    </row>
    <row r="107" spans="1:2" x14ac:dyDescent="0.25">
      <c r="A107" s="389" t="s">
        <v>53</v>
      </c>
      <c r="B107" s="389">
        <v>5904</v>
      </c>
    </row>
    <row r="108" spans="1:2" x14ac:dyDescent="0.25">
      <c r="A108" s="389" t="s">
        <v>34</v>
      </c>
      <c r="B108" s="389">
        <v>5553</v>
      </c>
    </row>
    <row r="109" spans="1:2" x14ac:dyDescent="0.25">
      <c r="A109" s="389" t="s">
        <v>314</v>
      </c>
      <c r="B109" s="389">
        <v>5812</v>
      </c>
    </row>
    <row r="110" spans="1:2" x14ac:dyDescent="0.25">
      <c r="A110" s="389" t="s">
        <v>54</v>
      </c>
      <c r="B110" s="389">
        <v>5905</v>
      </c>
    </row>
    <row r="111" spans="1:2" x14ac:dyDescent="0.25">
      <c r="A111" s="389" t="s">
        <v>186</v>
      </c>
      <c r="B111" s="389">
        <v>5882</v>
      </c>
    </row>
    <row r="112" spans="1:2" x14ac:dyDescent="0.25">
      <c r="A112" s="389" t="s">
        <v>12</v>
      </c>
      <c r="B112" s="389">
        <v>5841</v>
      </c>
    </row>
    <row r="113" spans="1:2" x14ac:dyDescent="0.25">
      <c r="A113" s="389" t="s">
        <v>198</v>
      </c>
      <c r="B113" s="389">
        <v>5707</v>
      </c>
    </row>
    <row r="114" spans="1:2" x14ac:dyDescent="0.25">
      <c r="A114" s="389" t="s">
        <v>199</v>
      </c>
      <c r="B114" s="389">
        <v>5708</v>
      </c>
    </row>
    <row r="115" spans="1:2" x14ac:dyDescent="0.25">
      <c r="A115" s="389" t="s">
        <v>55</v>
      </c>
      <c r="B115" s="389">
        <v>5907</v>
      </c>
    </row>
    <row r="116" spans="1:2" x14ac:dyDescent="0.25">
      <c r="A116" s="389" t="s">
        <v>305</v>
      </c>
      <c r="B116" s="389">
        <v>5475</v>
      </c>
    </row>
    <row r="117" spans="1:2" x14ac:dyDescent="0.25">
      <c r="A117" s="389" t="s">
        <v>220</v>
      </c>
      <c r="B117" s="389">
        <v>5627</v>
      </c>
    </row>
    <row r="118" spans="1:2" x14ac:dyDescent="0.25">
      <c r="A118" s="389" t="s">
        <v>85</v>
      </c>
      <c r="B118" s="389">
        <v>5665</v>
      </c>
    </row>
    <row r="119" spans="1:2" x14ac:dyDescent="0.25">
      <c r="A119" s="389" t="s">
        <v>232</v>
      </c>
      <c r="B119" s="389">
        <v>5749</v>
      </c>
    </row>
    <row r="120" spans="1:2" x14ac:dyDescent="0.25">
      <c r="A120" s="389" t="s">
        <v>56</v>
      </c>
      <c r="B120" s="389">
        <v>5908</v>
      </c>
    </row>
    <row r="121" spans="1:2" x14ac:dyDescent="0.25">
      <c r="A121" s="389" t="s">
        <v>57</v>
      </c>
      <c r="B121" s="389">
        <v>5909</v>
      </c>
    </row>
    <row r="122" spans="1:2" x14ac:dyDescent="0.25">
      <c r="A122" s="389" t="s">
        <v>317</v>
      </c>
      <c r="B122" s="389">
        <v>5582</v>
      </c>
    </row>
    <row r="123" spans="1:2" x14ac:dyDescent="0.25">
      <c r="A123" s="389" t="s">
        <v>200</v>
      </c>
      <c r="B123" s="389">
        <v>5709</v>
      </c>
    </row>
    <row r="124" spans="1:2" x14ac:dyDescent="0.25">
      <c r="A124" s="389" t="s">
        <v>100</v>
      </c>
      <c r="B124" s="389">
        <v>5403</v>
      </c>
    </row>
    <row r="125" spans="1:2" x14ac:dyDescent="0.25">
      <c r="A125" s="389" t="s">
        <v>306</v>
      </c>
      <c r="B125" s="389">
        <v>5476</v>
      </c>
    </row>
    <row r="126" spans="1:2" x14ac:dyDescent="0.25">
      <c r="A126" s="389" t="s">
        <v>315</v>
      </c>
      <c r="B126" s="389">
        <v>5813</v>
      </c>
    </row>
    <row r="127" spans="1:2" x14ac:dyDescent="0.25">
      <c r="A127" s="389" t="s">
        <v>253</v>
      </c>
      <c r="B127" s="389">
        <v>5601</v>
      </c>
    </row>
    <row r="128" spans="1:2" x14ac:dyDescent="0.25">
      <c r="A128" s="389" t="s">
        <v>221</v>
      </c>
      <c r="B128" s="389">
        <v>5628</v>
      </c>
    </row>
    <row r="129" spans="1:2" x14ac:dyDescent="0.25">
      <c r="A129" s="389" t="s">
        <v>134</v>
      </c>
      <c r="B129" s="389">
        <v>5629</v>
      </c>
    </row>
    <row r="130" spans="1:2" x14ac:dyDescent="0.25">
      <c r="A130" s="389" t="s">
        <v>201</v>
      </c>
      <c r="B130" s="389">
        <v>5710</v>
      </c>
    </row>
    <row r="131" spans="1:2" x14ac:dyDescent="0.25">
      <c r="A131" s="389" t="s">
        <v>202</v>
      </c>
      <c r="B131" s="389">
        <v>5711</v>
      </c>
    </row>
    <row r="132" spans="1:2" x14ac:dyDescent="0.25">
      <c r="A132" s="389" t="s">
        <v>35</v>
      </c>
      <c r="B132" s="389">
        <v>5554</v>
      </c>
    </row>
    <row r="133" spans="1:2" x14ac:dyDescent="0.25">
      <c r="A133" s="389" t="s">
        <v>203</v>
      </c>
      <c r="B133" s="389">
        <v>5712</v>
      </c>
    </row>
    <row r="134" spans="1:2" x14ac:dyDescent="0.25">
      <c r="A134" s="389" t="s">
        <v>101</v>
      </c>
      <c r="B134" s="389">
        <v>5404</v>
      </c>
    </row>
    <row r="135" spans="1:2" x14ac:dyDescent="0.25">
      <c r="A135" s="389" t="s">
        <v>239</v>
      </c>
      <c r="B135" s="389">
        <v>5785</v>
      </c>
    </row>
    <row r="136" spans="1:2" x14ac:dyDescent="0.25">
      <c r="A136" s="389" t="s">
        <v>36</v>
      </c>
      <c r="B136" s="389">
        <v>5555</v>
      </c>
    </row>
    <row r="137" spans="1:2" x14ac:dyDescent="0.25">
      <c r="A137" s="389" t="s">
        <v>5</v>
      </c>
      <c r="B137" s="389">
        <v>5816</v>
      </c>
    </row>
    <row r="138" spans="1:2" x14ac:dyDescent="0.25">
      <c r="A138" s="389" t="s">
        <v>187</v>
      </c>
      <c r="B138" s="389">
        <v>5883</v>
      </c>
    </row>
    <row r="139" spans="1:2" x14ac:dyDescent="0.25">
      <c r="A139" s="389" t="s">
        <v>45</v>
      </c>
      <c r="B139" s="389">
        <v>5884</v>
      </c>
    </row>
    <row r="140" spans="1:2" x14ac:dyDescent="0.25">
      <c r="A140" s="389" t="s">
        <v>307</v>
      </c>
      <c r="B140" s="389">
        <v>5477</v>
      </c>
    </row>
    <row r="141" spans="1:2" x14ac:dyDescent="0.25">
      <c r="A141" s="389" t="s">
        <v>546</v>
      </c>
      <c r="B141" s="389">
        <v>5713</v>
      </c>
    </row>
    <row r="142" spans="1:2" x14ac:dyDescent="0.25">
      <c r="A142" s="389" t="s">
        <v>204</v>
      </c>
      <c r="B142" s="389">
        <v>5714</v>
      </c>
    </row>
    <row r="143" spans="1:2" x14ac:dyDescent="0.25">
      <c r="A143" s="389" t="s">
        <v>318</v>
      </c>
      <c r="B143" s="389">
        <v>5583</v>
      </c>
    </row>
    <row r="144" spans="1:2" x14ac:dyDescent="0.25">
      <c r="A144" s="389" t="s">
        <v>58</v>
      </c>
      <c r="B144" s="389">
        <v>5910</v>
      </c>
    </row>
    <row r="145" spans="1:2" x14ac:dyDescent="0.25">
      <c r="A145" s="389" t="s">
        <v>280</v>
      </c>
      <c r="B145" s="389">
        <v>5752</v>
      </c>
    </row>
    <row r="146" spans="1:2" x14ac:dyDescent="0.25">
      <c r="A146" s="389" t="s">
        <v>214</v>
      </c>
      <c r="B146" s="389">
        <v>5479</v>
      </c>
    </row>
    <row r="147" spans="1:2" x14ac:dyDescent="0.25">
      <c r="A147" s="389" t="s">
        <v>59</v>
      </c>
      <c r="B147" s="389">
        <v>5911</v>
      </c>
    </row>
    <row r="148" spans="1:2" x14ac:dyDescent="0.25">
      <c r="A148" s="389" t="s">
        <v>295</v>
      </c>
      <c r="B148" s="389">
        <v>5456</v>
      </c>
    </row>
    <row r="149" spans="1:2" x14ac:dyDescent="0.25">
      <c r="A149" s="389" t="s">
        <v>161</v>
      </c>
      <c r="B149" s="389">
        <v>5516</v>
      </c>
    </row>
    <row r="150" spans="1:2" x14ac:dyDescent="0.25">
      <c r="A150" s="389" t="s">
        <v>86</v>
      </c>
      <c r="B150" s="389">
        <v>5669</v>
      </c>
    </row>
    <row r="151" spans="1:2" x14ac:dyDescent="0.25">
      <c r="A151" s="389" t="s">
        <v>215</v>
      </c>
      <c r="B151" s="389">
        <v>5480</v>
      </c>
    </row>
    <row r="152" spans="1:2" x14ac:dyDescent="0.25">
      <c r="A152" s="389" t="s">
        <v>60</v>
      </c>
      <c r="B152" s="389">
        <v>5912</v>
      </c>
    </row>
    <row r="153" spans="1:2" x14ac:dyDescent="0.25">
      <c r="A153" s="389" t="s">
        <v>135</v>
      </c>
      <c r="B153" s="389">
        <v>5631</v>
      </c>
    </row>
    <row r="154" spans="1:2" x14ac:dyDescent="0.25">
      <c r="A154" s="389" t="s">
        <v>136</v>
      </c>
      <c r="B154" s="389">
        <v>5632</v>
      </c>
    </row>
    <row r="155" spans="1:2" x14ac:dyDescent="0.25">
      <c r="A155" s="389" t="s">
        <v>216</v>
      </c>
      <c r="B155" s="389">
        <v>5481</v>
      </c>
    </row>
    <row r="156" spans="1:2" x14ac:dyDescent="0.25">
      <c r="A156" s="389" t="s">
        <v>87</v>
      </c>
      <c r="B156" s="389">
        <v>5671</v>
      </c>
    </row>
    <row r="157" spans="1:2" x14ac:dyDescent="0.25">
      <c r="A157" s="389" t="s">
        <v>61</v>
      </c>
      <c r="B157" s="389">
        <v>5913</v>
      </c>
    </row>
    <row r="158" spans="1:2" x14ac:dyDescent="0.25">
      <c r="A158" s="389" t="s">
        <v>205</v>
      </c>
      <c r="B158" s="389">
        <v>5715</v>
      </c>
    </row>
    <row r="159" spans="1:2" x14ac:dyDescent="0.25">
      <c r="A159" s="389" t="s">
        <v>19</v>
      </c>
      <c r="B159" s="389">
        <v>5855</v>
      </c>
    </row>
    <row r="160" spans="1:2" x14ac:dyDescent="0.25">
      <c r="A160" s="389" t="s">
        <v>162</v>
      </c>
      <c r="B160" s="389">
        <v>5518</v>
      </c>
    </row>
    <row r="161" spans="1:2" x14ac:dyDescent="0.25">
      <c r="A161" s="389" t="s">
        <v>137</v>
      </c>
      <c r="B161" s="389">
        <v>5633</v>
      </c>
    </row>
    <row r="162" spans="1:2" x14ac:dyDescent="0.25">
      <c r="A162" s="389" t="s">
        <v>138</v>
      </c>
      <c r="B162" s="389">
        <v>5634</v>
      </c>
    </row>
    <row r="163" spans="1:2" x14ac:dyDescent="0.25">
      <c r="A163" s="389" t="s">
        <v>217</v>
      </c>
      <c r="B163" s="389">
        <v>5482</v>
      </c>
    </row>
    <row r="164" spans="1:2" x14ac:dyDescent="0.25">
      <c r="A164" s="389" t="s">
        <v>139</v>
      </c>
      <c r="B164" s="389">
        <v>5635</v>
      </c>
    </row>
    <row r="165" spans="1:2" x14ac:dyDescent="0.25">
      <c r="A165" s="389" t="s">
        <v>319</v>
      </c>
      <c r="B165" s="389">
        <v>5584</v>
      </c>
    </row>
    <row r="166" spans="1:2" x14ac:dyDescent="0.25">
      <c r="A166" s="389" t="s">
        <v>62</v>
      </c>
      <c r="B166" s="389">
        <v>5914</v>
      </c>
    </row>
    <row r="167" spans="1:2" x14ac:dyDescent="0.25">
      <c r="A167" s="389" t="s">
        <v>20</v>
      </c>
      <c r="B167" s="389">
        <v>5856</v>
      </c>
    </row>
    <row r="168" spans="1:2" x14ac:dyDescent="0.25">
      <c r="A168" s="389" t="s">
        <v>163</v>
      </c>
      <c r="B168" s="389">
        <v>5520</v>
      </c>
    </row>
    <row r="169" spans="1:2" x14ac:dyDescent="0.25">
      <c r="A169" s="389" t="s">
        <v>164</v>
      </c>
      <c r="B169" s="389">
        <v>5521</v>
      </c>
    </row>
    <row r="170" spans="1:2" x14ac:dyDescent="0.25">
      <c r="A170" s="389" t="s">
        <v>140</v>
      </c>
      <c r="B170" s="389">
        <v>5636</v>
      </c>
    </row>
    <row r="171" spans="1:2" x14ac:dyDescent="0.25">
      <c r="A171" s="389" t="s">
        <v>206</v>
      </c>
      <c r="B171" s="389">
        <v>5716</v>
      </c>
    </row>
    <row r="172" spans="1:2" x14ac:dyDescent="0.25">
      <c r="A172" s="389" t="s">
        <v>296</v>
      </c>
      <c r="B172" s="389">
        <v>5458</v>
      </c>
    </row>
    <row r="173" spans="1:2" x14ac:dyDescent="0.25">
      <c r="A173" s="389" t="s">
        <v>289</v>
      </c>
      <c r="B173" s="389">
        <v>5427</v>
      </c>
    </row>
    <row r="174" spans="1:2" x14ac:dyDescent="0.25">
      <c r="A174" s="389" t="s">
        <v>125</v>
      </c>
      <c r="B174" s="389">
        <v>5483</v>
      </c>
    </row>
    <row r="175" spans="1:2" x14ac:dyDescent="0.25">
      <c r="A175" s="389" t="s">
        <v>165</v>
      </c>
      <c r="B175" s="389">
        <v>5522</v>
      </c>
    </row>
    <row r="176" spans="1:2" x14ac:dyDescent="0.25">
      <c r="A176" s="389" t="s">
        <v>37</v>
      </c>
      <c r="B176" s="389">
        <v>5556</v>
      </c>
    </row>
    <row r="177" spans="1:2" x14ac:dyDescent="0.25">
      <c r="A177" s="389" t="s">
        <v>38</v>
      </c>
      <c r="B177" s="389">
        <v>5557</v>
      </c>
    </row>
    <row r="178" spans="1:2" x14ac:dyDescent="0.25">
      <c r="A178" s="389" t="s">
        <v>128</v>
      </c>
      <c r="B178" s="389">
        <v>5604</v>
      </c>
    </row>
    <row r="179" spans="1:2" x14ac:dyDescent="0.25">
      <c r="A179" s="389" t="s">
        <v>207</v>
      </c>
      <c r="B179" s="389">
        <v>5717</v>
      </c>
    </row>
    <row r="180" spans="1:2" x14ac:dyDescent="0.25">
      <c r="A180" s="389" t="s">
        <v>166</v>
      </c>
      <c r="B180" s="389">
        <v>5523</v>
      </c>
    </row>
    <row r="181" spans="1:2" x14ac:dyDescent="0.25">
      <c r="A181" s="389" t="s">
        <v>208</v>
      </c>
      <c r="B181" s="389">
        <v>5718</v>
      </c>
    </row>
    <row r="182" spans="1:2" x14ac:dyDescent="0.25">
      <c r="A182" s="389" t="s">
        <v>39</v>
      </c>
      <c r="B182" s="389">
        <v>5559</v>
      </c>
    </row>
    <row r="183" spans="1:2" x14ac:dyDescent="0.25">
      <c r="A183" s="389" t="s">
        <v>21</v>
      </c>
      <c r="B183" s="389">
        <v>5857</v>
      </c>
    </row>
    <row r="184" spans="1:2" x14ac:dyDescent="0.25">
      <c r="A184" s="389" t="s">
        <v>290</v>
      </c>
      <c r="B184" s="389">
        <v>5428</v>
      </c>
    </row>
    <row r="185" spans="1:2" x14ac:dyDescent="0.25">
      <c r="A185" s="389" t="s">
        <v>209</v>
      </c>
      <c r="B185" s="389">
        <v>5719</v>
      </c>
    </row>
    <row r="186" spans="1:2" x14ac:dyDescent="0.25">
      <c r="A186" s="389" t="s">
        <v>210</v>
      </c>
      <c r="B186" s="389">
        <v>5720</v>
      </c>
    </row>
    <row r="187" spans="1:2" x14ac:dyDescent="0.25">
      <c r="A187" s="389" t="s">
        <v>211</v>
      </c>
      <c r="B187" s="389">
        <v>5721</v>
      </c>
    </row>
    <row r="188" spans="1:2" x14ac:dyDescent="0.25">
      <c r="A188" s="389" t="s">
        <v>126</v>
      </c>
      <c r="B188" s="389">
        <v>5484</v>
      </c>
    </row>
    <row r="189" spans="1:2" x14ac:dyDescent="0.25">
      <c r="A189" s="389" t="s">
        <v>344</v>
      </c>
      <c r="B189" s="389">
        <v>5541</v>
      </c>
    </row>
    <row r="190" spans="1:2" x14ac:dyDescent="0.25">
      <c r="A190" s="389" t="s">
        <v>127</v>
      </c>
      <c r="B190" s="389">
        <v>5485</v>
      </c>
    </row>
    <row r="191" spans="1:2" x14ac:dyDescent="0.25">
      <c r="A191" s="389" t="s">
        <v>6</v>
      </c>
      <c r="B191" s="389">
        <v>5817</v>
      </c>
    </row>
    <row r="192" spans="1:2" x14ac:dyDescent="0.25">
      <c r="A192" s="389" t="s">
        <v>40</v>
      </c>
      <c r="B192" s="389">
        <v>5560</v>
      </c>
    </row>
    <row r="193" spans="1:2" x14ac:dyDescent="0.25">
      <c r="A193" s="389" t="s">
        <v>41</v>
      </c>
      <c r="B193" s="389">
        <v>5561</v>
      </c>
    </row>
    <row r="194" spans="1:2" x14ac:dyDescent="0.25">
      <c r="A194" s="389" t="s">
        <v>212</v>
      </c>
      <c r="B194" s="389">
        <v>5722</v>
      </c>
    </row>
    <row r="195" spans="1:2" x14ac:dyDescent="0.25">
      <c r="A195" s="389" t="s">
        <v>102</v>
      </c>
      <c r="B195" s="389">
        <v>5405</v>
      </c>
    </row>
    <row r="196" spans="1:2" x14ac:dyDescent="0.25">
      <c r="A196" s="389" t="s">
        <v>393</v>
      </c>
      <c r="B196" s="389">
        <v>5656</v>
      </c>
    </row>
    <row r="197" spans="1:2" x14ac:dyDescent="0.25">
      <c r="A197" s="389" t="s">
        <v>7</v>
      </c>
      <c r="B197" s="389">
        <v>5819</v>
      </c>
    </row>
    <row r="198" spans="1:2" x14ac:dyDescent="0.25">
      <c r="A198" s="389" t="s">
        <v>88</v>
      </c>
      <c r="B198" s="389">
        <v>5673</v>
      </c>
    </row>
    <row r="199" spans="1:2" x14ac:dyDescent="0.25">
      <c r="A199" s="389" t="s">
        <v>46</v>
      </c>
      <c r="B199" s="389">
        <v>5885</v>
      </c>
    </row>
    <row r="200" spans="1:2" x14ac:dyDescent="0.25">
      <c r="A200" s="389" t="s">
        <v>346</v>
      </c>
      <c r="B200" s="389">
        <v>5804</v>
      </c>
    </row>
    <row r="201" spans="1:2" x14ac:dyDescent="0.25">
      <c r="A201" s="389" t="s">
        <v>371</v>
      </c>
      <c r="B201" s="389">
        <v>5806</v>
      </c>
    </row>
    <row r="202" spans="1:2" x14ac:dyDescent="0.25">
      <c r="A202" s="389" t="s">
        <v>320</v>
      </c>
      <c r="B202" s="389">
        <v>5585</v>
      </c>
    </row>
    <row r="203" spans="1:2" x14ac:dyDescent="0.25">
      <c r="A203" s="389" t="s">
        <v>281</v>
      </c>
      <c r="B203" s="389">
        <v>5754</v>
      </c>
    </row>
    <row r="204" spans="1:2" x14ac:dyDescent="0.25">
      <c r="A204" s="389" t="s">
        <v>189</v>
      </c>
      <c r="B204" s="389">
        <v>5474</v>
      </c>
    </row>
    <row r="205" spans="1:2" x14ac:dyDescent="0.25">
      <c r="A205" s="389" t="s">
        <v>192</v>
      </c>
      <c r="B205" s="389">
        <v>5758</v>
      </c>
    </row>
    <row r="206" spans="1:2" x14ac:dyDescent="0.25">
      <c r="A206" s="389" t="s">
        <v>268</v>
      </c>
      <c r="B206" s="389">
        <v>5726</v>
      </c>
    </row>
    <row r="207" spans="1:2" x14ac:dyDescent="0.25">
      <c r="A207" s="389" t="s">
        <v>153</v>
      </c>
      <c r="B207" s="389">
        <v>5498</v>
      </c>
    </row>
    <row r="208" spans="1:2" x14ac:dyDescent="0.25">
      <c r="A208" s="389" t="s">
        <v>48</v>
      </c>
      <c r="B208" s="389">
        <v>5889</v>
      </c>
    </row>
    <row r="209" spans="1:2" x14ac:dyDescent="0.25">
      <c r="A209" s="389" t="s">
        <v>28</v>
      </c>
      <c r="B209" s="389">
        <v>5871</v>
      </c>
    </row>
    <row r="210" spans="1:2" x14ac:dyDescent="0.25">
      <c r="A210" s="389" t="s">
        <v>275</v>
      </c>
      <c r="B210" s="389">
        <v>5741</v>
      </c>
    </row>
    <row r="211" spans="1:2" x14ac:dyDescent="0.25">
      <c r="A211" s="389" t="s">
        <v>108</v>
      </c>
      <c r="B211" s="389">
        <v>5586</v>
      </c>
    </row>
    <row r="212" spans="1:2" x14ac:dyDescent="0.25">
      <c r="A212" s="389" t="s">
        <v>103</v>
      </c>
      <c r="B212" s="389">
        <v>5406</v>
      </c>
    </row>
    <row r="213" spans="1:2" x14ac:dyDescent="0.25">
      <c r="A213" s="389" t="s">
        <v>141</v>
      </c>
      <c r="B213" s="389">
        <v>5637</v>
      </c>
    </row>
    <row r="214" spans="1:2" x14ac:dyDescent="0.25">
      <c r="A214" s="389" t="s">
        <v>184</v>
      </c>
      <c r="B214" s="389">
        <v>5872</v>
      </c>
    </row>
    <row r="215" spans="1:2" x14ac:dyDescent="0.25">
      <c r="A215" s="389" t="s">
        <v>185</v>
      </c>
      <c r="B215" s="389">
        <v>5873</v>
      </c>
    </row>
    <row r="216" spans="1:2" x14ac:dyDescent="0.25">
      <c r="A216" s="389" t="s">
        <v>109</v>
      </c>
      <c r="B216" s="389">
        <v>5587</v>
      </c>
    </row>
    <row r="217" spans="1:2" x14ac:dyDescent="0.25">
      <c r="A217" s="389" t="s">
        <v>273</v>
      </c>
      <c r="B217" s="389">
        <v>5731</v>
      </c>
    </row>
    <row r="218" spans="1:2" x14ac:dyDescent="0.25">
      <c r="A218" s="389" t="s">
        <v>233</v>
      </c>
      <c r="B218" s="389">
        <v>5750</v>
      </c>
    </row>
    <row r="219" spans="1:2" x14ac:dyDescent="0.25">
      <c r="A219" s="389" t="s">
        <v>104</v>
      </c>
      <c r="B219" s="389">
        <v>5407</v>
      </c>
    </row>
    <row r="220" spans="1:2" x14ac:dyDescent="0.25">
      <c r="A220" s="389" t="s">
        <v>282</v>
      </c>
      <c r="B220" s="389">
        <v>5755</v>
      </c>
    </row>
    <row r="221" spans="1:2" x14ac:dyDescent="0.25">
      <c r="A221" s="389" t="s">
        <v>0</v>
      </c>
      <c r="B221" s="389">
        <v>5486</v>
      </c>
    </row>
    <row r="222" spans="1:2" x14ac:dyDescent="0.25">
      <c r="A222" s="389" t="s">
        <v>142</v>
      </c>
      <c r="B222" s="389">
        <v>5638</v>
      </c>
    </row>
    <row r="223" spans="1:2" x14ac:dyDescent="0.25">
      <c r="A223" s="389" t="s">
        <v>301</v>
      </c>
      <c r="B223" s="389">
        <v>5429</v>
      </c>
    </row>
    <row r="224" spans="1:2" x14ac:dyDescent="0.25">
      <c r="A224" s="389" t="s">
        <v>89</v>
      </c>
      <c r="B224" s="389">
        <v>5674</v>
      </c>
    </row>
    <row r="225" spans="1:2" x14ac:dyDescent="0.25">
      <c r="A225" s="389" t="s">
        <v>90</v>
      </c>
      <c r="B225" s="389">
        <v>5675</v>
      </c>
    </row>
    <row r="226" spans="1:2" x14ac:dyDescent="0.25">
      <c r="A226" s="389" t="s">
        <v>22</v>
      </c>
      <c r="B226" s="389">
        <v>5858</v>
      </c>
    </row>
    <row r="227" spans="1:2" x14ac:dyDescent="0.25">
      <c r="A227" s="389" t="s">
        <v>143</v>
      </c>
      <c r="B227" s="389">
        <v>5639</v>
      </c>
    </row>
    <row r="228" spans="1:2" x14ac:dyDescent="0.25">
      <c r="A228" s="389" t="s">
        <v>1</v>
      </c>
      <c r="B228" s="389">
        <v>5487</v>
      </c>
    </row>
    <row r="229" spans="1:2" x14ac:dyDescent="0.25">
      <c r="A229" s="389" t="s">
        <v>144</v>
      </c>
      <c r="B229" s="389">
        <v>5640</v>
      </c>
    </row>
    <row r="230" spans="1:2" x14ac:dyDescent="0.25">
      <c r="A230" s="389" t="s">
        <v>129</v>
      </c>
      <c r="B230" s="389">
        <v>5606</v>
      </c>
    </row>
    <row r="231" spans="1:2" x14ac:dyDescent="0.25">
      <c r="A231" s="389" t="s">
        <v>240</v>
      </c>
      <c r="B231" s="389">
        <v>5790</v>
      </c>
    </row>
    <row r="232" spans="1:2" x14ac:dyDescent="0.25">
      <c r="A232" s="389" t="s">
        <v>302</v>
      </c>
      <c r="B232" s="389">
        <v>5430</v>
      </c>
    </row>
    <row r="233" spans="1:2" x14ac:dyDescent="0.25">
      <c r="A233" s="389" t="s">
        <v>321</v>
      </c>
      <c r="B233" s="389">
        <v>5919</v>
      </c>
    </row>
    <row r="234" spans="1:2" x14ac:dyDescent="0.25">
      <c r="A234" s="389" t="s">
        <v>42</v>
      </c>
      <c r="B234" s="389">
        <v>5562</v>
      </c>
    </row>
    <row r="235" spans="1:2" x14ac:dyDescent="0.25">
      <c r="A235" s="389" t="s">
        <v>2</v>
      </c>
      <c r="B235" s="389">
        <v>5488</v>
      </c>
    </row>
    <row r="236" spans="1:2" x14ac:dyDescent="0.25">
      <c r="A236" s="389" t="s">
        <v>3</v>
      </c>
      <c r="B236" s="389">
        <v>5489</v>
      </c>
    </row>
    <row r="237" spans="1:2" x14ac:dyDescent="0.25">
      <c r="A237" s="389" t="s">
        <v>213</v>
      </c>
      <c r="B237" s="389">
        <v>5723</v>
      </c>
    </row>
    <row r="238" spans="1:2" x14ac:dyDescent="0.25">
      <c r="A238" s="389" t="s">
        <v>8</v>
      </c>
      <c r="B238" s="389">
        <v>5821</v>
      </c>
    </row>
    <row r="239" spans="1:2" x14ac:dyDescent="0.25">
      <c r="A239" s="389" t="s">
        <v>4</v>
      </c>
      <c r="B239" s="389">
        <v>5490</v>
      </c>
    </row>
    <row r="240" spans="1:2" x14ac:dyDescent="0.25">
      <c r="A240" s="389" t="s">
        <v>303</v>
      </c>
      <c r="B240" s="389">
        <v>5431</v>
      </c>
    </row>
    <row r="241" spans="1:2" x14ac:dyDescent="0.25">
      <c r="A241" s="389" t="s">
        <v>322</v>
      </c>
      <c r="B241" s="389">
        <v>5921</v>
      </c>
    </row>
    <row r="242" spans="1:2" x14ac:dyDescent="0.25">
      <c r="A242" s="389" t="s">
        <v>234</v>
      </c>
      <c r="B242" s="389">
        <v>5922</v>
      </c>
    </row>
    <row r="243" spans="1:2" x14ac:dyDescent="0.25">
      <c r="A243" s="389" t="s">
        <v>352</v>
      </c>
      <c r="B243" s="389">
        <v>5693</v>
      </c>
    </row>
    <row r="244" spans="1:2" x14ac:dyDescent="0.25">
      <c r="A244" s="389" t="s">
        <v>283</v>
      </c>
      <c r="B244" s="389">
        <v>5756</v>
      </c>
    </row>
    <row r="245" spans="1:2" x14ac:dyDescent="0.25">
      <c r="A245" s="389" t="s">
        <v>345</v>
      </c>
      <c r="B245" s="389">
        <v>5540</v>
      </c>
    </row>
    <row r="246" spans="1:2" x14ac:dyDescent="0.25">
      <c r="A246" s="389" t="s">
        <v>147</v>
      </c>
      <c r="B246" s="389">
        <v>5491</v>
      </c>
    </row>
    <row r="247" spans="1:2" x14ac:dyDescent="0.25">
      <c r="A247" s="389" t="s">
        <v>241</v>
      </c>
      <c r="B247" s="389">
        <v>5792</v>
      </c>
    </row>
    <row r="248" spans="1:2" x14ac:dyDescent="0.25">
      <c r="A248" s="389" t="s">
        <v>47</v>
      </c>
      <c r="B248" s="389">
        <v>5886</v>
      </c>
    </row>
    <row r="249" spans="1:2" x14ac:dyDescent="0.25">
      <c r="A249" s="389" t="s">
        <v>148</v>
      </c>
      <c r="B249" s="389">
        <v>5492</v>
      </c>
    </row>
    <row r="250" spans="1:2" x14ac:dyDescent="0.25">
      <c r="A250" s="389" t="s">
        <v>23</v>
      </c>
      <c r="B250" s="389">
        <v>5859</v>
      </c>
    </row>
    <row r="251" spans="1:2" x14ac:dyDescent="0.25">
      <c r="A251" s="389" t="s">
        <v>145</v>
      </c>
      <c r="B251" s="389">
        <v>5642</v>
      </c>
    </row>
    <row r="252" spans="1:2" x14ac:dyDescent="0.25">
      <c r="A252" s="389" t="s">
        <v>167</v>
      </c>
      <c r="B252" s="389">
        <v>5527</v>
      </c>
    </row>
    <row r="253" spans="1:2" x14ac:dyDescent="0.25">
      <c r="A253" s="389" t="s">
        <v>91</v>
      </c>
      <c r="B253" s="389">
        <v>5678</v>
      </c>
    </row>
    <row r="254" spans="1:2" x14ac:dyDescent="0.25">
      <c r="A254" s="389" t="s">
        <v>244</v>
      </c>
      <c r="B254" s="389">
        <v>5563</v>
      </c>
    </row>
    <row r="255" spans="1:2" x14ac:dyDescent="0.25">
      <c r="A255" s="389" t="s">
        <v>245</v>
      </c>
      <c r="B255" s="389">
        <v>5564</v>
      </c>
    </row>
    <row r="256" spans="1:2" x14ac:dyDescent="0.25">
      <c r="A256" s="389" t="s">
        <v>105</v>
      </c>
      <c r="B256" s="389">
        <v>5408</v>
      </c>
    </row>
    <row r="257" spans="1:2" x14ac:dyDescent="0.25">
      <c r="A257" s="389" t="s">
        <v>63</v>
      </c>
      <c r="B257" s="389">
        <v>5724</v>
      </c>
    </row>
    <row r="258" spans="1:2" x14ac:dyDescent="0.25">
      <c r="A258" s="389" t="s">
        <v>92</v>
      </c>
      <c r="B258" s="389">
        <v>5680</v>
      </c>
    </row>
    <row r="259" spans="1:2" x14ac:dyDescent="0.25">
      <c r="A259" s="389" t="s">
        <v>106</v>
      </c>
      <c r="B259" s="389">
        <v>5409</v>
      </c>
    </row>
    <row r="260" spans="1:2" x14ac:dyDescent="0.25">
      <c r="A260" s="389" t="s">
        <v>246</v>
      </c>
      <c r="B260" s="389">
        <v>5565</v>
      </c>
    </row>
    <row r="261" spans="1:2" x14ac:dyDescent="0.25">
      <c r="A261" s="389" t="s">
        <v>235</v>
      </c>
      <c r="B261" s="389">
        <v>5923</v>
      </c>
    </row>
    <row r="262" spans="1:2" x14ac:dyDescent="0.25">
      <c r="A262" s="389" t="s">
        <v>284</v>
      </c>
      <c r="B262" s="389">
        <v>5757</v>
      </c>
    </row>
    <row r="263" spans="1:2" x14ac:dyDescent="0.25">
      <c r="A263" s="389" t="s">
        <v>236</v>
      </c>
      <c r="B263" s="389">
        <v>5924</v>
      </c>
    </row>
    <row r="264" spans="1:2" x14ac:dyDescent="0.25">
      <c r="A264" s="389" t="s">
        <v>116</v>
      </c>
      <c r="B264" s="389">
        <v>5410</v>
      </c>
    </row>
    <row r="265" spans="1:2" x14ac:dyDescent="0.25">
      <c r="A265" s="389" t="s">
        <v>117</v>
      </c>
      <c r="B265" s="389">
        <v>5411</v>
      </c>
    </row>
    <row r="266" spans="1:2" x14ac:dyDescent="0.25">
      <c r="A266" s="389" t="s">
        <v>149</v>
      </c>
      <c r="B266" s="389">
        <v>5493</v>
      </c>
    </row>
    <row r="267" spans="1:2" x14ac:dyDescent="0.25">
      <c r="A267" s="389" t="s">
        <v>348</v>
      </c>
      <c r="B267" s="389">
        <v>5805</v>
      </c>
    </row>
    <row r="268" spans="1:2" x14ac:dyDescent="0.25">
      <c r="A268" s="389" t="s">
        <v>326</v>
      </c>
      <c r="B268" s="389">
        <v>5925</v>
      </c>
    </row>
    <row r="269" spans="1:2" x14ac:dyDescent="0.25">
      <c r="A269" s="389" t="s">
        <v>168</v>
      </c>
      <c r="B269" s="389">
        <v>5529</v>
      </c>
    </row>
    <row r="270" spans="1:2" x14ac:dyDescent="0.25">
      <c r="A270" s="389" t="s">
        <v>169</v>
      </c>
      <c r="B270" s="389">
        <v>5530</v>
      </c>
    </row>
    <row r="271" spans="1:2" x14ac:dyDescent="0.25">
      <c r="A271" s="389" t="s">
        <v>110</v>
      </c>
      <c r="B271" s="389">
        <v>5588</v>
      </c>
    </row>
    <row r="272" spans="1:2" x14ac:dyDescent="0.25">
      <c r="A272" s="389" t="s">
        <v>9</v>
      </c>
      <c r="B272" s="389">
        <v>5822</v>
      </c>
    </row>
    <row r="273" spans="1:2" x14ac:dyDescent="0.25">
      <c r="A273" s="389" t="s">
        <v>150</v>
      </c>
      <c r="B273" s="389">
        <v>5495</v>
      </c>
    </row>
    <row r="274" spans="1:2" x14ac:dyDescent="0.25">
      <c r="A274" s="389" t="s">
        <v>151</v>
      </c>
      <c r="B274" s="389">
        <v>5496</v>
      </c>
    </row>
    <row r="275" spans="1:2" x14ac:dyDescent="0.25">
      <c r="A275" s="389" t="s">
        <v>170</v>
      </c>
      <c r="B275" s="389">
        <v>5531</v>
      </c>
    </row>
    <row r="276" spans="1:2" x14ac:dyDescent="0.25">
      <c r="A276" s="389" t="s">
        <v>24</v>
      </c>
      <c r="B276" s="389">
        <v>5860</v>
      </c>
    </row>
    <row r="277" spans="1:2" x14ac:dyDescent="0.25">
      <c r="A277" s="389" t="s">
        <v>171</v>
      </c>
      <c r="B277" s="389">
        <v>5533</v>
      </c>
    </row>
    <row r="278" spans="1:2" x14ac:dyDescent="0.25">
      <c r="A278" s="389" t="s">
        <v>152</v>
      </c>
      <c r="B278" s="389">
        <v>5497</v>
      </c>
    </row>
    <row r="279" spans="1:2" x14ac:dyDescent="0.25">
      <c r="A279" s="389" t="s">
        <v>327</v>
      </c>
      <c r="B279" s="389">
        <v>5926</v>
      </c>
    </row>
    <row r="280" spans="1:2" x14ac:dyDescent="0.25">
      <c r="A280" s="389" t="s">
        <v>64</v>
      </c>
      <c r="B280" s="389">
        <v>5725</v>
      </c>
    </row>
    <row r="281" spans="1:2" x14ac:dyDescent="0.25">
      <c r="A281" s="389" t="s">
        <v>193</v>
      </c>
      <c r="B281" s="389">
        <v>5759</v>
      </c>
    </row>
    <row r="282" spans="1:2" x14ac:dyDescent="0.25">
      <c r="A282" s="389" t="s">
        <v>146</v>
      </c>
      <c r="B282" s="389">
        <v>5643</v>
      </c>
    </row>
    <row r="283" spans="1:2" x14ac:dyDescent="0.25">
      <c r="A283" s="389" t="s">
        <v>93</v>
      </c>
      <c r="B283" s="389">
        <v>5683</v>
      </c>
    </row>
    <row r="284" spans="1:2" x14ac:dyDescent="0.25">
      <c r="A284" s="389" t="s">
        <v>111</v>
      </c>
      <c r="B284" s="389">
        <v>5589</v>
      </c>
    </row>
    <row r="285" spans="1:2" x14ac:dyDescent="0.25">
      <c r="A285" s="389" t="s">
        <v>247</v>
      </c>
      <c r="B285" s="389">
        <v>5566</v>
      </c>
    </row>
    <row r="286" spans="1:2" x14ac:dyDescent="0.25">
      <c r="A286" s="389" t="s">
        <v>255</v>
      </c>
      <c r="B286" s="389">
        <v>5607</v>
      </c>
    </row>
    <row r="287" spans="1:2" x14ac:dyDescent="0.25">
      <c r="A287" s="389" t="s">
        <v>112</v>
      </c>
      <c r="B287" s="389">
        <v>5590</v>
      </c>
    </row>
    <row r="288" spans="1:2" x14ac:dyDescent="0.25">
      <c r="A288" s="389" t="s">
        <v>194</v>
      </c>
      <c r="B288" s="389">
        <v>5760</v>
      </c>
    </row>
    <row r="289" spans="1:2" x14ac:dyDescent="0.25">
      <c r="A289" s="389" t="s">
        <v>323</v>
      </c>
      <c r="B289" s="389">
        <v>5591</v>
      </c>
    </row>
    <row r="290" spans="1:2" x14ac:dyDescent="0.25">
      <c r="A290" s="389" t="s">
        <v>118</v>
      </c>
      <c r="B290" s="389">
        <v>5412</v>
      </c>
    </row>
    <row r="291" spans="1:2" x14ac:dyDescent="0.25">
      <c r="A291" s="389" t="s">
        <v>114</v>
      </c>
      <c r="B291" s="389">
        <v>5609</v>
      </c>
    </row>
    <row r="292" spans="1:2" x14ac:dyDescent="0.25">
      <c r="A292" s="389" t="s">
        <v>119</v>
      </c>
      <c r="B292" s="389">
        <v>5413</v>
      </c>
    </row>
    <row r="293" spans="1:2" x14ac:dyDescent="0.25">
      <c r="A293" s="389" t="s">
        <v>25</v>
      </c>
      <c r="B293" s="389">
        <v>5861</v>
      </c>
    </row>
    <row r="294" spans="1:2" x14ac:dyDescent="0.25">
      <c r="A294" s="389" t="s">
        <v>121</v>
      </c>
      <c r="B294" s="389">
        <v>5761</v>
      </c>
    </row>
    <row r="295" spans="1:2" x14ac:dyDescent="0.25">
      <c r="A295" s="389" t="s">
        <v>191</v>
      </c>
      <c r="B295" s="389">
        <v>5592</v>
      </c>
    </row>
    <row r="296" spans="1:2" x14ac:dyDescent="0.25">
      <c r="A296" s="389" t="s">
        <v>262</v>
      </c>
      <c r="B296" s="389">
        <v>5645</v>
      </c>
    </row>
    <row r="297" spans="1:2" x14ac:dyDescent="0.25">
      <c r="A297" s="389" t="s">
        <v>242</v>
      </c>
      <c r="B297" s="389">
        <v>5798</v>
      </c>
    </row>
    <row r="298" spans="1:2" x14ac:dyDescent="0.25">
      <c r="A298" s="389" t="s">
        <v>94</v>
      </c>
      <c r="B298" s="389">
        <v>5684</v>
      </c>
    </row>
    <row r="299" spans="1:2" x14ac:dyDescent="0.25">
      <c r="A299" s="389" t="s">
        <v>13</v>
      </c>
      <c r="B299" s="389">
        <v>5842</v>
      </c>
    </row>
    <row r="300" spans="1:2" x14ac:dyDescent="0.25">
      <c r="A300" s="389" t="s">
        <v>14</v>
      </c>
      <c r="B300" s="389">
        <v>5843</v>
      </c>
    </row>
    <row r="301" spans="1:2" x14ac:dyDescent="0.25">
      <c r="A301" s="389" t="s">
        <v>328</v>
      </c>
      <c r="B301" s="389">
        <v>5928</v>
      </c>
    </row>
    <row r="302" spans="1:2" x14ac:dyDescent="0.25">
      <c r="A302" s="389" t="s">
        <v>172</v>
      </c>
      <c r="B302" s="389">
        <v>5534</v>
      </c>
    </row>
    <row r="303" spans="1:2" x14ac:dyDescent="0.25">
      <c r="A303" s="389" t="s">
        <v>29</v>
      </c>
      <c r="B303" s="389">
        <v>5535</v>
      </c>
    </row>
    <row r="304" spans="1:2" x14ac:dyDescent="0.25">
      <c r="A304" s="389" t="s">
        <v>269</v>
      </c>
      <c r="B304" s="389">
        <v>5727</v>
      </c>
    </row>
    <row r="305" spans="1:2" x14ac:dyDescent="0.25">
      <c r="A305" s="389" t="s">
        <v>107</v>
      </c>
      <c r="B305" s="389">
        <v>5568</v>
      </c>
    </row>
    <row r="306" spans="1:2" x14ac:dyDescent="0.25">
      <c r="A306" s="389" t="s">
        <v>304</v>
      </c>
      <c r="B306" s="389">
        <v>5434</v>
      </c>
    </row>
    <row r="307" spans="1:2" x14ac:dyDescent="0.25">
      <c r="A307" s="389" t="s">
        <v>291</v>
      </c>
      <c r="B307" s="389">
        <v>5435</v>
      </c>
    </row>
    <row r="308" spans="1:2" x14ac:dyDescent="0.25">
      <c r="A308" s="389" t="s">
        <v>292</v>
      </c>
      <c r="B308" s="389">
        <v>5436</v>
      </c>
    </row>
    <row r="309" spans="1:2" x14ac:dyDescent="0.25">
      <c r="A309" s="389" t="s">
        <v>263</v>
      </c>
      <c r="B309" s="389">
        <v>5646</v>
      </c>
    </row>
    <row r="310" spans="1:2" x14ac:dyDescent="0.25">
      <c r="A310" s="389" t="s">
        <v>264</v>
      </c>
      <c r="B310" s="389">
        <v>5648</v>
      </c>
    </row>
    <row r="311" spans="1:2" x14ac:dyDescent="0.25">
      <c r="A311" s="389" t="s">
        <v>293</v>
      </c>
      <c r="B311" s="389">
        <v>5437</v>
      </c>
    </row>
    <row r="312" spans="1:2" x14ac:dyDescent="0.25">
      <c r="A312" s="389" t="s">
        <v>252</v>
      </c>
      <c r="B312" s="389">
        <v>5611</v>
      </c>
    </row>
    <row r="313" spans="1:2" x14ac:dyDescent="0.25">
      <c r="A313" s="389" t="s">
        <v>154</v>
      </c>
      <c r="B313" s="389">
        <v>5499</v>
      </c>
    </row>
    <row r="314" spans="1:2" x14ac:dyDescent="0.25">
      <c r="A314" s="389" t="s">
        <v>122</v>
      </c>
      <c r="B314" s="389">
        <v>5762</v>
      </c>
    </row>
    <row r="315" spans="1:2" x14ac:dyDescent="0.25">
      <c r="A315" s="389" t="s">
        <v>243</v>
      </c>
      <c r="B315" s="389">
        <v>5799</v>
      </c>
    </row>
    <row r="316" spans="1:2" x14ac:dyDescent="0.25">
      <c r="A316" s="389" t="s">
        <v>270</v>
      </c>
      <c r="B316" s="389">
        <v>5728</v>
      </c>
    </row>
    <row r="317" spans="1:2" x14ac:dyDescent="0.25">
      <c r="A317" s="389" t="s">
        <v>115</v>
      </c>
      <c r="B317" s="389">
        <v>5610</v>
      </c>
    </row>
    <row r="318" spans="1:2" x14ac:dyDescent="0.25">
      <c r="A318" s="389" t="s">
        <v>329</v>
      </c>
      <c r="B318" s="389">
        <v>5929</v>
      </c>
    </row>
    <row r="319" spans="1:2" x14ac:dyDescent="0.25">
      <c r="A319" s="389" t="s">
        <v>155</v>
      </c>
      <c r="B319" s="389">
        <v>5501</v>
      </c>
    </row>
    <row r="320" spans="1:2" x14ac:dyDescent="0.25">
      <c r="A320" s="389" t="s">
        <v>330</v>
      </c>
      <c r="B320" s="389">
        <v>5930</v>
      </c>
    </row>
    <row r="321" spans="1:2" x14ac:dyDescent="0.25">
      <c r="A321" s="389" t="s">
        <v>95</v>
      </c>
      <c r="B321" s="389">
        <v>5688</v>
      </c>
    </row>
    <row r="322" spans="1:2" x14ac:dyDescent="0.25">
      <c r="A322" s="389" t="s">
        <v>271</v>
      </c>
      <c r="B322" s="389">
        <v>5729</v>
      </c>
    </row>
    <row r="323" spans="1:2" x14ac:dyDescent="0.25">
      <c r="A323" s="389" t="s">
        <v>26</v>
      </c>
      <c r="B323" s="389">
        <v>5862</v>
      </c>
    </row>
    <row r="324" spans="1:2" x14ac:dyDescent="0.25">
      <c r="A324" s="389" t="s">
        <v>342</v>
      </c>
      <c r="B324" s="389">
        <v>5571</v>
      </c>
    </row>
    <row r="325" spans="1:2" x14ac:dyDescent="0.25">
      <c r="A325" s="389" t="s">
        <v>265</v>
      </c>
      <c r="B325" s="389">
        <v>5649</v>
      </c>
    </row>
    <row r="326" spans="1:2" x14ac:dyDescent="0.25">
      <c r="A326" s="389" t="s">
        <v>272</v>
      </c>
      <c r="B326" s="389">
        <v>5730</v>
      </c>
    </row>
    <row r="327" spans="1:2" x14ac:dyDescent="0.25">
      <c r="A327" s="389" t="s">
        <v>10</v>
      </c>
      <c r="B327" s="389">
        <v>5827</v>
      </c>
    </row>
    <row r="328" spans="1:2" x14ac:dyDescent="0.25">
      <c r="A328" s="389" t="s">
        <v>331</v>
      </c>
      <c r="B328" s="389">
        <v>5931</v>
      </c>
    </row>
    <row r="329" spans="1:2" x14ac:dyDescent="0.25">
      <c r="A329" s="389" t="s">
        <v>370</v>
      </c>
      <c r="B329" s="389">
        <v>5828</v>
      </c>
    </row>
    <row r="330" spans="1:2" x14ac:dyDescent="0.25">
      <c r="A330" s="389" t="s">
        <v>237</v>
      </c>
      <c r="B330" s="389">
        <v>5932</v>
      </c>
    </row>
    <row r="331" spans="1:2" x14ac:dyDescent="0.25">
      <c r="A331" s="389" t="s">
        <v>347</v>
      </c>
      <c r="B331" s="389">
        <v>5831</v>
      </c>
    </row>
    <row r="332" spans="1:2" x14ac:dyDescent="0.25">
      <c r="A332" s="389" t="s">
        <v>324</v>
      </c>
      <c r="B332" s="389">
        <v>5933</v>
      </c>
    </row>
    <row r="333" spans="1:2" x14ac:dyDescent="0.25">
      <c r="A333" s="389" t="s">
        <v>123</v>
      </c>
      <c r="B333" s="389">
        <v>5763</v>
      </c>
    </row>
    <row r="334" spans="1:2" x14ac:dyDescent="0.25">
      <c r="A334" s="389" t="s">
        <v>325</v>
      </c>
      <c r="B334" s="389">
        <v>5934</v>
      </c>
    </row>
    <row r="335" spans="1:2" x14ac:dyDescent="0.25">
      <c r="A335" s="389" t="s">
        <v>285</v>
      </c>
      <c r="B335" s="389">
        <v>5764</v>
      </c>
    </row>
    <row r="336" spans="1:2" x14ac:dyDescent="0.25">
      <c r="A336" s="389" t="s">
        <v>286</v>
      </c>
      <c r="B336" s="389">
        <v>5765</v>
      </c>
    </row>
    <row r="337" spans="1:2" x14ac:dyDescent="0.25">
      <c r="A337" s="389" t="s">
        <v>266</v>
      </c>
      <c r="B337" s="389">
        <v>5650</v>
      </c>
    </row>
    <row r="338" spans="1:2" x14ac:dyDescent="0.25">
      <c r="A338" s="389" t="s">
        <v>49</v>
      </c>
      <c r="B338" s="389">
        <v>5890</v>
      </c>
    </row>
    <row r="339" spans="1:2" x14ac:dyDescent="0.25">
      <c r="A339" s="389" t="s">
        <v>50</v>
      </c>
      <c r="B339" s="389">
        <v>5891</v>
      </c>
    </row>
    <row r="340" spans="1:2" x14ac:dyDescent="0.25">
      <c r="A340" s="389" t="s">
        <v>274</v>
      </c>
      <c r="B340" s="389">
        <v>5732</v>
      </c>
    </row>
    <row r="341" spans="1:2" x14ac:dyDescent="0.25">
      <c r="A341" s="389" t="s">
        <v>254</v>
      </c>
      <c r="B341" s="389">
        <v>5935</v>
      </c>
    </row>
    <row r="342" spans="1:2" x14ac:dyDescent="0.25">
      <c r="A342" s="389" t="s">
        <v>96</v>
      </c>
      <c r="B342" s="389">
        <v>5690</v>
      </c>
    </row>
    <row r="343" spans="1:2" x14ac:dyDescent="0.25">
      <c r="A343" s="389" t="s">
        <v>30</v>
      </c>
      <c r="B343" s="389">
        <v>5537</v>
      </c>
    </row>
    <row r="344" spans="1:2" x14ac:dyDescent="0.25">
      <c r="A344" s="389" t="s">
        <v>267</v>
      </c>
      <c r="B344" s="389">
        <v>5651</v>
      </c>
    </row>
    <row r="345" spans="1:2" x14ac:dyDescent="0.25">
      <c r="A345" s="389" t="s">
        <v>178</v>
      </c>
      <c r="B345" s="389">
        <v>5652</v>
      </c>
    </row>
    <row r="346" spans="1:2" x14ac:dyDescent="0.25">
      <c r="A346" s="389" t="s">
        <v>11</v>
      </c>
      <c r="B346" s="389">
        <v>5830</v>
      </c>
    </row>
    <row r="347" spans="1:2" x14ac:dyDescent="0.25">
      <c r="A347" s="389" t="s">
        <v>120</v>
      </c>
      <c r="B347" s="389">
        <v>5414</v>
      </c>
    </row>
    <row r="348" spans="1:2" x14ac:dyDescent="0.25">
      <c r="A348" s="389" t="s">
        <v>27</v>
      </c>
      <c r="B348" s="389">
        <v>5863</v>
      </c>
    </row>
    <row r="349" spans="1:2" x14ac:dyDescent="0.25">
      <c r="A349" s="389" t="s">
        <v>31</v>
      </c>
      <c r="B349" s="389">
        <v>5539</v>
      </c>
    </row>
    <row r="350" spans="1:2" x14ac:dyDescent="0.25">
      <c r="A350" s="389" t="s">
        <v>97</v>
      </c>
      <c r="B350" s="389">
        <v>5692</v>
      </c>
    </row>
    <row r="351" spans="1:2" x14ac:dyDescent="0.25">
      <c r="A351" s="389" t="s">
        <v>156</v>
      </c>
      <c r="B351" s="389">
        <v>5503</v>
      </c>
    </row>
    <row r="352" spans="1:2" x14ac:dyDescent="0.25">
      <c r="A352" s="389" t="s">
        <v>179</v>
      </c>
      <c r="B352" s="389">
        <v>5653</v>
      </c>
    </row>
    <row r="353" spans="1:2" x14ac:dyDescent="0.25">
      <c r="A353" s="389" t="s">
        <v>238</v>
      </c>
      <c r="B353" s="389">
        <v>5937</v>
      </c>
    </row>
    <row r="354" spans="1:2" x14ac:dyDescent="0.25">
      <c r="A354" s="389" t="s">
        <v>287</v>
      </c>
      <c r="B354" s="389">
        <v>5766</v>
      </c>
    </row>
    <row r="355" spans="1:2" x14ac:dyDescent="0.25">
      <c r="A355" s="389" t="s">
        <v>313</v>
      </c>
      <c r="B355" s="389">
        <v>5803</v>
      </c>
    </row>
    <row r="356" spans="1:2" x14ac:dyDescent="0.25">
      <c r="A356" s="389" t="s">
        <v>180</v>
      </c>
      <c r="B356" s="389">
        <v>5654</v>
      </c>
    </row>
    <row r="357" spans="1:2" x14ac:dyDescent="0.25">
      <c r="A357" s="389" t="s">
        <v>343</v>
      </c>
      <c r="B357" s="389">
        <v>5464</v>
      </c>
    </row>
    <row r="358" spans="1:2" x14ac:dyDescent="0.25">
      <c r="A358" s="389" t="s">
        <v>181</v>
      </c>
      <c r="B358" s="389">
        <v>5655</v>
      </c>
    </row>
    <row r="359" spans="1:2" x14ac:dyDescent="0.25">
      <c r="A359" s="389" t="s">
        <v>133</v>
      </c>
      <c r="B359" s="389">
        <v>5938</v>
      </c>
    </row>
    <row r="360" spans="1:2" x14ac:dyDescent="0.25">
      <c r="A360" s="389" t="s">
        <v>132</v>
      </c>
      <c r="B360" s="389">
        <v>5939</v>
      </c>
    </row>
    <row r="361" spans="1:2" x14ac:dyDescent="0.25">
      <c r="A361" s="389" t="s">
        <v>66</v>
      </c>
      <c r="B361" s="389">
        <v>5415</v>
      </c>
    </row>
    <row r="371" spans="2:2" x14ac:dyDescent="0.25">
      <c r="B371" s="396"/>
    </row>
    <row r="372" spans="2:2" x14ac:dyDescent="0.25">
      <c r="B372" s="396"/>
    </row>
    <row r="373" spans="2:2" x14ac:dyDescent="0.25">
      <c r="B373" s="396"/>
    </row>
    <row r="374" spans="2:2" x14ac:dyDescent="0.25">
      <c r="B374" s="396"/>
    </row>
    <row r="375" spans="2:2" x14ac:dyDescent="0.25">
      <c r="B375" s="396"/>
    </row>
    <row r="376" spans="2:2" x14ac:dyDescent="0.25">
      <c r="B376" s="396"/>
    </row>
    <row r="377" spans="2:2" x14ac:dyDescent="0.25">
      <c r="B377" s="396"/>
    </row>
    <row r="378" spans="2:2" x14ac:dyDescent="0.25">
      <c r="B378" s="396"/>
    </row>
    <row r="379" spans="2:2" x14ac:dyDescent="0.25">
      <c r="B379" s="396"/>
    </row>
    <row r="380" spans="2:2" x14ac:dyDescent="0.25">
      <c r="B380" s="396"/>
    </row>
    <row r="381" spans="2:2" x14ac:dyDescent="0.25">
      <c r="B381" s="396"/>
    </row>
    <row r="382" spans="2:2" x14ac:dyDescent="0.25">
      <c r="B382" s="396"/>
    </row>
    <row r="383" spans="2:2" x14ac:dyDescent="0.25">
      <c r="B383" s="396"/>
    </row>
    <row r="384" spans="2:2" x14ac:dyDescent="0.25">
      <c r="B384" s="396"/>
    </row>
    <row r="385" spans="2:2" x14ac:dyDescent="0.25">
      <c r="B385" s="396"/>
    </row>
    <row r="386" spans="2:2" x14ac:dyDescent="0.25">
      <c r="B386" s="396"/>
    </row>
    <row r="387" spans="2:2" x14ac:dyDescent="0.25">
      <c r="B387" s="396"/>
    </row>
    <row r="388" spans="2:2" x14ac:dyDescent="0.25">
      <c r="B388" s="396"/>
    </row>
    <row r="389" spans="2:2" x14ac:dyDescent="0.25">
      <c r="B389" s="396"/>
    </row>
    <row r="390" spans="2:2" x14ac:dyDescent="0.25">
      <c r="B390" s="396"/>
    </row>
    <row r="391" spans="2:2" x14ac:dyDescent="0.25">
      <c r="B391" s="396"/>
    </row>
    <row r="392" spans="2:2" x14ac:dyDescent="0.25">
      <c r="B392" s="396"/>
    </row>
    <row r="393" spans="2:2" x14ac:dyDescent="0.25">
      <c r="B393" s="396"/>
    </row>
    <row r="394" spans="2:2" x14ac:dyDescent="0.25">
      <c r="B394" s="396"/>
    </row>
    <row r="395" spans="2:2" x14ac:dyDescent="0.25">
      <c r="B395" s="396"/>
    </row>
    <row r="396" spans="2:2" x14ac:dyDescent="0.25">
      <c r="B396" s="396"/>
    </row>
    <row r="397" spans="2:2" x14ac:dyDescent="0.25">
      <c r="B397" s="396"/>
    </row>
    <row r="398" spans="2:2" x14ac:dyDescent="0.25">
      <c r="B398" s="396"/>
    </row>
    <row r="399" spans="2:2" x14ac:dyDescent="0.25">
      <c r="B399" s="396"/>
    </row>
    <row r="400" spans="2:2" x14ac:dyDescent="0.25">
      <c r="B400" s="396"/>
    </row>
    <row r="401" spans="2:2" x14ac:dyDescent="0.25">
      <c r="B401" s="396"/>
    </row>
    <row r="402" spans="2:2" x14ac:dyDescent="0.25">
      <c r="B402" s="396"/>
    </row>
    <row r="403" spans="2:2" x14ac:dyDescent="0.25">
      <c r="B403" s="396"/>
    </row>
    <row r="404" spans="2:2" x14ac:dyDescent="0.25">
      <c r="B404" s="396"/>
    </row>
    <row r="405" spans="2:2" x14ac:dyDescent="0.25">
      <c r="B405" s="396"/>
    </row>
    <row r="406" spans="2:2" x14ac:dyDescent="0.25">
      <c r="B406" s="396"/>
    </row>
    <row r="407" spans="2:2" x14ac:dyDescent="0.25">
      <c r="B407" s="396"/>
    </row>
    <row r="408" spans="2:2" x14ac:dyDescent="0.25">
      <c r="B408" s="396"/>
    </row>
    <row r="409" spans="2:2" x14ac:dyDescent="0.25">
      <c r="B409" s="396"/>
    </row>
    <row r="410" spans="2:2" x14ac:dyDescent="0.25">
      <c r="B410" s="396"/>
    </row>
    <row r="411" spans="2:2" x14ac:dyDescent="0.25">
      <c r="B411" s="396"/>
    </row>
    <row r="412" spans="2:2" x14ac:dyDescent="0.25">
      <c r="B412" s="396"/>
    </row>
    <row r="413" spans="2:2" x14ac:dyDescent="0.25">
      <c r="B413" s="396"/>
    </row>
    <row r="414" spans="2:2" x14ac:dyDescent="0.25">
      <c r="B414" s="396"/>
    </row>
    <row r="415" spans="2:2" x14ac:dyDescent="0.25">
      <c r="B415" s="396"/>
    </row>
    <row r="416" spans="2:2" x14ac:dyDescent="0.25">
      <c r="B416" s="396"/>
    </row>
    <row r="417" spans="2:2" x14ac:dyDescent="0.25">
      <c r="B417" s="396"/>
    </row>
    <row r="418" spans="2:2" x14ac:dyDescent="0.25">
      <c r="B418" s="396"/>
    </row>
    <row r="419" spans="2:2" x14ac:dyDescent="0.25">
      <c r="B419" s="396"/>
    </row>
    <row r="420" spans="2:2" x14ac:dyDescent="0.25">
      <c r="B420" s="396"/>
    </row>
    <row r="421" spans="2:2" x14ac:dyDescent="0.25">
      <c r="B421" s="396"/>
    </row>
    <row r="422" spans="2:2" x14ac:dyDescent="0.25">
      <c r="B422" s="396"/>
    </row>
    <row r="423" spans="2:2" x14ac:dyDescent="0.25">
      <c r="B423" s="396"/>
    </row>
    <row r="424" spans="2:2" x14ac:dyDescent="0.25">
      <c r="B424" s="396"/>
    </row>
    <row r="425" spans="2:2" x14ac:dyDescent="0.25">
      <c r="B425" s="396"/>
    </row>
    <row r="426" spans="2:2" x14ac:dyDescent="0.25">
      <c r="B426" s="396"/>
    </row>
    <row r="427" spans="2:2" x14ac:dyDescent="0.25">
      <c r="B427" s="396"/>
    </row>
    <row r="428" spans="2:2" x14ac:dyDescent="0.25">
      <c r="B428" s="396"/>
    </row>
    <row r="429" spans="2:2" x14ac:dyDescent="0.25">
      <c r="B429" s="396"/>
    </row>
    <row r="430" spans="2:2" x14ac:dyDescent="0.25">
      <c r="B430" s="396"/>
    </row>
    <row r="431" spans="2:2" x14ac:dyDescent="0.25">
      <c r="B431" s="396"/>
    </row>
    <row r="432" spans="2:2" x14ac:dyDescent="0.25">
      <c r="B432" s="396"/>
    </row>
    <row r="433" spans="2:2" x14ac:dyDescent="0.25">
      <c r="B433" s="396"/>
    </row>
    <row r="434" spans="2:2" x14ac:dyDescent="0.25">
      <c r="B434" s="396"/>
    </row>
    <row r="435" spans="2:2" x14ac:dyDescent="0.25">
      <c r="B435" s="396"/>
    </row>
    <row r="436" spans="2:2" x14ac:dyDescent="0.25">
      <c r="B436" s="396"/>
    </row>
    <row r="437" spans="2:2" x14ac:dyDescent="0.25">
      <c r="B437" s="396"/>
    </row>
    <row r="438" spans="2:2" x14ac:dyDescent="0.25">
      <c r="B438" s="396"/>
    </row>
    <row r="439" spans="2:2" x14ac:dyDescent="0.25">
      <c r="B439" s="396"/>
    </row>
    <row r="440" spans="2:2" x14ac:dyDescent="0.25">
      <c r="B440" s="396"/>
    </row>
    <row r="441" spans="2:2" x14ac:dyDescent="0.25">
      <c r="B441" s="396"/>
    </row>
    <row r="442" spans="2:2" x14ac:dyDescent="0.25">
      <c r="B442" s="396"/>
    </row>
    <row r="443" spans="2:2" x14ac:dyDescent="0.25">
      <c r="B443" s="396"/>
    </row>
    <row r="444" spans="2:2" x14ac:dyDescent="0.25">
      <c r="B444" s="396"/>
    </row>
    <row r="445" spans="2:2" x14ac:dyDescent="0.25">
      <c r="B445" s="396"/>
    </row>
    <row r="446" spans="2:2" x14ac:dyDescent="0.25">
      <c r="B446" s="396"/>
    </row>
    <row r="447" spans="2:2" x14ac:dyDescent="0.25">
      <c r="B447" s="396"/>
    </row>
    <row r="448" spans="2:2" x14ac:dyDescent="0.25">
      <c r="B448" s="396"/>
    </row>
    <row r="449" spans="2:2" x14ac:dyDescent="0.25">
      <c r="B449" s="396"/>
    </row>
    <row r="450" spans="2:2" x14ac:dyDescent="0.25">
      <c r="B450" s="396"/>
    </row>
    <row r="451" spans="2:2" x14ac:dyDescent="0.25">
      <c r="B451" s="396"/>
    </row>
    <row r="452" spans="2:2" x14ac:dyDescent="0.25">
      <c r="B452" s="396"/>
    </row>
    <row r="453" spans="2:2" x14ac:dyDescent="0.25">
      <c r="B453" s="396"/>
    </row>
    <row r="454" spans="2:2" x14ac:dyDescent="0.25">
      <c r="B454" s="396"/>
    </row>
    <row r="455" spans="2:2" x14ac:dyDescent="0.25">
      <c r="B455" s="396"/>
    </row>
    <row r="456" spans="2:2" x14ac:dyDescent="0.25">
      <c r="B456" s="396"/>
    </row>
    <row r="457" spans="2:2" x14ac:dyDescent="0.25">
      <c r="B457" s="396"/>
    </row>
    <row r="458" spans="2:2" x14ac:dyDescent="0.25">
      <c r="B458" s="396"/>
    </row>
    <row r="459" spans="2:2" x14ac:dyDescent="0.25">
      <c r="B459" s="396"/>
    </row>
    <row r="460" spans="2:2" x14ac:dyDescent="0.25">
      <c r="B460" s="396"/>
    </row>
    <row r="461" spans="2:2" x14ac:dyDescent="0.25">
      <c r="B461" s="396"/>
    </row>
    <row r="462" spans="2:2" x14ac:dyDescent="0.25">
      <c r="B462" s="396"/>
    </row>
    <row r="463" spans="2:2" x14ac:dyDescent="0.25">
      <c r="B463" s="396"/>
    </row>
    <row r="464" spans="2:2" x14ac:dyDescent="0.25">
      <c r="B464" s="396"/>
    </row>
    <row r="465" spans="2:2" x14ac:dyDescent="0.25">
      <c r="B465" s="396"/>
    </row>
    <row r="466" spans="2:2" x14ac:dyDescent="0.25">
      <c r="B466" s="396"/>
    </row>
    <row r="467" spans="2:2" x14ac:dyDescent="0.25">
      <c r="B467" s="396"/>
    </row>
    <row r="468" spans="2:2" x14ac:dyDescent="0.25">
      <c r="B468" s="396"/>
    </row>
    <row r="469" spans="2:2" x14ac:dyDescent="0.25">
      <c r="B469" s="396"/>
    </row>
    <row r="470" spans="2:2" x14ac:dyDescent="0.25">
      <c r="B470" s="396"/>
    </row>
    <row r="471" spans="2:2" x14ac:dyDescent="0.25">
      <c r="B471" s="396"/>
    </row>
    <row r="472" spans="2:2" x14ac:dyDescent="0.25">
      <c r="B472" s="396"/>
    </row>
    <row r="473" spans="2:2" x14ac:dyDescent="0.25">
      <c r="B473" s="396"/>
    </row>
    <row r="474" spans="2:2" x14ac:dyDescent="0.25">
      <c r="B474" s="396"/>
    </row>
    <row r="475" spans="2:2" x14ac:dyDescent="0.25">
      <c r="B475" s="396"/>
    </row>
    <row r="476" spans="2:2" x14ac:dyDescent="0.25">
      <c r="B476" s="396"/>
    </row>
    <row r="477" spans="2:2" x14ac:dyDescent="0.25">
      <c r="B477" s="396"/>
    </row>
    <row r="478" spans="2:2" x14ac:dyDescent="0.25">
      <c r="B478" s="396"/>
    </row>
    <row r="479" spans="2:2" x14ac:dyDescent="0.25">
      <c r="B479" s="396"/>
    </row>
    <row r="480" spans="2:2" x14ac:dyDescent="0.25">
      <c r="B480" s="396"/>
    </row>
    <row r="481" spans="2:2" x14ac:dyDescent="0.25">
      <c r="B481" s="396"/>
    </row>
    <row r="482" spans="2:2" x14ac:dyDescent="0.25">
      <c r="B482" s="396"/>
    </row>
    <row r="483" spans="2:2" x14ac:dyDescent="0.25">
      <c r="B483" s="396"/>
    </row>
    <row r="484" spans="2:2" x14ac:dyDescent="0.25">
      <c r="B484" s="396"/>
    </row>
    <row r="485" spans="2:2" x14ac:dyDescent="0.25">
      <c r="B485" s="396"/>
    </row>
    <row r="486" spans="2:2" x14ac:dyDescent="0.25">
      <c r="B486" s="396"/>
    </row>
    <row r="487" spans="2:2" x14ac:dyDescent="0.25">
      <c r="B487" s="396"/>
    </row>
    <row r="488" spans="2:2" x14ac:dyDescent="0.25">
      <c r="B488" s="396"/>
    </row>
    <row r="489" spans="2:2" x14ac:dyDescent="0.25">
      <c r="B489" s="396"/>
    </row>
    <row r="490" spans="2:2" x14ac:dyDescent="0.25">
      <c r="B490" s="396"/>
    </row>
    <row r="491" spans="2:2" x14ac:dyDescent="0.25">
      <c r="B491" s="396"/>
    </row>
    <row r="492" spans="2:2" x14ac:dyDescent="0.25">
      <c r="B492" s="396"/>
    </row>
    <row r="493" spans="2:2" x14ac:dyDescent="0.25">
      <c r="B493" s="396"/>
    </row>
    <row r="494" spans="2:2" x14ac:dyDescent="0.25">
      <c r="B494" s="396"/>
    </row>
    <row r="495" spans="2:2" x14ac:dyDescent="0.25">
      <c r="B495" s="396"/>
    </row>
    <row r="496" spans="2:2" x14ac:dyDescent="0.25">
      <c r="B496" s="396"/>
    </row>
    <row r="497" spans="2:2" x14ac:dyDescent="0.25">
      <c r="B497" s="396"/>
    </row>
    <row r="498" spans="2:2" x14ac:dyDescent="0.25">
      <c r="B498" s="396"/>
    </row>
    <row r="499" spans="2:2" x14ac:dyDescent="0.25">
      <c r="B499" s="396"/>
    </row>
    <row r="500" spans="2:2" x14ac:dyDescent="0.25">
      <c r="B500" s="396"/>
    </row>
    <row r="501" spans="2:2" x14ac:dyDescent="0.25">
      <c r="B501" s="396"/>
    </row>
    <row r="502" spans="2:2" x14ac:dyDescent="0.25">
      <c r="B502" s="396"/>
    </row>
    <row r="503" spans="2:2" x14ac:dyDescent="0.25">
      <c r="B503" s="396"/>
    </row>
    <row r="504" spans="2:2" x14ac:dyDescent="0.25">
      <c r="B504" s="396"/>
    </row>
    <row r="505" spans="2:2" x14ac:dyDescent="0.25">
      <c r="B505" s="396"/>
    </row>
    <row r="506" spans="2:2" x14ac:dyDescent="0.25">
      <c r="B506" s="396"/>
    </row>
    <row r="507" spans="2:2" x14ac:dyDescent="0.25">
      <c r="B507" s="396"/>
    </row>
    <row r="508" spans="2:2" x14ac:dyDescent="0.25">
      <c r="B508" s="396"/>
    </row>
    <row r="509" spans="2:2" x14ac:dyDescent="0.25">
      <c r="B509" s="396"/>
    </row>
    <row r="510" spans="2:2" x14ac:dyDescent="0.25">
      <c r="B510" s="396"/>
    </row>
    <row r="511" spans="2:2" x14ac:dyDescent="0.25">
      <c r="B511" s="396"/>
    </row>
    <row r="512" spans="2:2" x14ac:dyDescent="0.25">
      <c r="B512" s="396"/>
    </row>
    <row r="513" spans="2:2" x14ac:dyDescent="0.25">
      <c r="B513" s="396"/>
    </row>
    <row r="514" spans="2:2" x14ac:dyDescent="0.25">
      <c r="B514" s="396"/>
    </row>
    <row r="515" spans="2:2" x14ac:dyDescent="0.25">
      <c r="B515" s="396"/>
    </row>
    <row r="516" spans="2:2" x14ac:dyDescent="0.25">
      <c r="B516" s="396"/>
    </row>
    <row r="517" spans="2:2" x14ac:dyDescent="0.25">
      <c r="B517" s="396"/>
    </row>
    <row r="518" spans="2:2" x14ac:dyDescent="0.25">
      <c r="B518" s="396"/>
    </row>
    <row r="519" spans="2:2" x14ac:dyDescent="0.25">
      <c r="B519" s="396"/>
    </row>
    <row r="520" spans="2:2" x14ac:dyDescent="0.25">
      <c r="B520" s="396"/>
    </row>
    <row r="521" spans="2:2" x14ac:dyDescent="0.25">
      <c r="B521" s="396"/>
    </row>
    <row r="522" spans="2:2" x14ac:dyDescent="0.25">
      <c r="B522" s="396"/>
    </row>
    <row r="523" spans="2:2" x14ac:dyDescent="0.25">
      <c r="B523" s="396"/>
    </row>
    <row r="524" spans="2:2" x14ac:dyDescent="0.25">
      <c r="B524" s="396"/>
    </row>
    <row r="525" spans="2:2" x14ac:dyDescent="0.25">
      <c r="B525" s="396"/>
    </row>
    <row r="526" spans="2:2" x14ac:dyDescent="0.25">
      <c r="B526" s="396"/>
    </row>
    <row r="527" spans="2:2" x14ac:dyDescent="0.25">
      <c r="B527" s="396"/>
    </row>
    <row r="528" spans="2:2" x14ac:dyDescent="0.25">
      <c r="B528" s="396"/>
    </row>
    <row r="529" spans="2:2" x14ac:dyDescent="0.25">
      <c r="B529" s="396"/>
    </row>
    <row r="530" spans="2:2" x14ac:dyDescent="0.25">
      <c r="B530" s="396"/>
    </row>
    <row r="531" spans="2:2" x14ac:dyDescent="0.25">
      <c r="B531" s="396"/>
    </row>
    <row r="532" spans="2:2" x14ac:dyDescent="0.25">
      <c r="B532" s="396"/>
    </row>
    <row r="533" spans="2:2" x14ac:dyDescent="0.25">
      <c r="B533" s="396"/>
    </row>
    <row r="534" spans="2:2" x14ac:dyDescent="0.25">
      <c r="B534" s="396"/>
    </row>
    <row r="535" spans="2:2" x14ac:dyDescent="0.25">
      <c r="B535" s="396"/>
    </row>
    <row r="536" spans="2:2" x14ac:dyDescent="0.25">
      <c r="B536" s="396"/>
    </row>
    <row r="537" spans="2:2" x14ac:dyDescent="0.25">
      <c r="B537" s="396"/>
    </row>
  </sheetData>
  <sheetProtection sheet="1" objects="1" scenarios="1"/>
  <sortState xmlns:xlrd2="http://schemas.microsoft.com/office/spreadsheetml/2017/richdata2" ref="A62:B361">
    <sortCondition ref="A62:A361"/>
  </sortState>
  <mergeCells count="10">
    <mergeCell ref="C12:C14"/>
    <mergeCell ref="D4:H20"/>
    <mergeCell ref="I39:J39"/>
    <mergeCell ref="I40:J40"/>
    <mergeCell ref="E46:G46"/>
    <mergeCell ref="E48:G48"/>
    <mergeCell ref="I46:J46"/>
    <mergeCell ref="I47:J47"/>
    <mergeCell ref="E47:G47"/>
    <mergeCell ref="I45:J45"/>
  </mergeCells>
  <phoneticPr fontId="21" type="noConversion"/>
  <conditionalFormatting sqref="C16">
    <cfRule type="cellIs" dxfId="14" priority="1" operator="between">
      <formula>0.0001</formula>
      <formula>-0.0001</formula>
    </cfRule>
  </conditionalFormatting>
  <conditionalFormatting sqref="C50">
    <cfRule type="cellIs" dxfId="13" priority="2" operator="between">
      <formula>0.0001</formula>
      <formula>-0.0001</formula>
    </cfRule>
  </conditionalFormatting>
  <hyperlinks>
    <hyperlink ref="B1" location="'Table des matières'!A1" display="← Précédent" xr:uid="{D2BA6053-0976-40F7-8227-05DFF461E239}"/>
    <hyperlink ref="C1" location="'Table des matières'!A1" display="Table des matières" xr:uid="{8B4C0576-AED6-4CBB-9B94-F0C9D36FE0A6}"/>
    <hyperlink ref="D1" location="Recherche!A1" display="Suivant →" xr:uid="{6A41D26C-1E16-43C0-9824-7CBF963FF2DC}"/>
  </hyperlinks>
  <printOptions horizontalCentered="1"/>
  <pageMargins left="0" right="0" top="0" bottom="0" header="0.51181102362204722" footer="0.51181102362204722"/>
  <pageSetup paperSize="9"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3" tint="0.59999389629810485"/>
    <pageSetUpPr fitToPage="1"/>
  </sheetPr>
  <dimension ref="A1:L68"/>
  <sheetViews>
    <sheetView workbookViewId="0">
      <selection activeCell="C3" sqref="C3:E3"/>
    </sheetView>
  </sheetViews>
  <sheetFormatPr baseColWidth="10" defaultColWidth="10.875" defaultRowHeight="15" x14ac:dyDescent="0.25"/>
  <cols>
    <col min="1" max="1" width="3.375" style="85" customWidth="1"/>
    <col min="2" max="2" width="17.125" style="85" customWidth="1"/>
    <col min="3" max="4" width="12.75" style="85" customWidth="1"/>
    <col min="5" max="6" width="12.75" style="87" customWidth="1"/>
    <col min="7" max="7" width="12.625" style="582" bestFit="1" customWidth="1"/>
    <col min="8" max="8" width="11.75" style="85" bestFit="1" customWidth="1"/>
    <col min="9" max="9" width="11.5" style="85" customWidth="1"/>
    <col min="10" max="16384" width="10.875" style="85"/>
  </cols>
  <sheetData>
    <row r="1" spans="1:9" ht="26.25" x14ac:dyDescent="0.4">
      <c r="A1" s="185" t="s">
        <v>517</v>
      </c>
      <c r="B1" s="185"/>
      <c r="E1" s="386" t="s">
        <v>402</v>
      </c>
      <c r="F1" s="387" t="s">
        <v>394</v>
      </c>
      <c r="G1" s="639" t="s">
        <v>403</v>
      </c>
    </row>
    <row r="3" spans="1:9" s="88" customFormat="1" ht="26.25" x14ac:dyDescent="0.4">
      <c r="B3" s="91"/>
      <c r="C3" s="701"/>
      <c r="D3" s="701"/>
      <c r="E3" s="701"/>
      <c r="F3" s="89"/>
      <c r="G3" s="581"/>
    </row>
    <row r="6" spans="1:9" ht="18.75" x14ac:dyDescent="0.3">
      <c r="B6" s="700" t="str">
        <f>Paramètres!B4</f>
        <v>Décompte 2024</v>
      </c>
      <c r="C6" s="700"/>
      <c r="D6" s="700"/>
      <c r="E6" s="700"/>
      <c r="F6" s="700"/>
    </row>
    <row r="7" spans="1:9" s="114" customFormat="1" ht="18.75" x14ac:dyDescent="0.3">
      <c r="B7" s="700" t="str">
        <f>IF(C3=0,"",C3)</f>
        <v/>
      </c>
      <c r="C7" s="700"/>
      <c r="D7" s="700"/>
      <c r="E7" s="700"/>
      <c r="F7" s="700"/>
      <c r="G7" s="154"/>
    </row>
    <row r="8" spans="1:9" s="114" customFormat="1" ht="18" customHeight="1" x14ac:dyDescent="0.2">
      <c r="B8" s="585" t="str">
        <f>IFERROR(CONCATENATE("Population : ",TEXT(VLOOKUP($B$7,Synthèse!B5:D304,3,FALSE),"#'##0")),"saisir commune")</f>
        <v>saisir commune</v>
      </c>
      <c r="C8" s="112"/>
      <c r="D8" s="112"/>
      <c r="E8" s="113"/>
      <c r="F8" s="586" t="str">
        <f>IFERROR(CONCATENATE("N° OFS : ",VLOOKUP($B$7,Paramètres!A62:B361,2,FALSE)),"")</f>
        <v/>
      </c>
      <c r="G8" s="154"/>
    </row>
    <row r="9" spans="1:9" s="114" customFormat="1" ht="15" customHeight="1" x14ac:dyDescent="0.2">
      <c r="B9" s="585" t="str">
        <f>IFERROR(CONCATENATE("Taux : ",VLOOKUP($B$7,Synthèse!B5:C304,2,FALSE)),"")</f>
        <v/>
      </c>
      <c r="C9" s="112"/>
      <c r="D9" s="112"/>
      <c r="E9" s="113"/>
      <c r="F9" s="134" t="str">
        <f>IFERROR(CONCATENATE("Valeur du point d'impôt péréquatif : ",TEXT(ROUND(VLOOKUP(B7,Ecrêtage!B6:M314,2,FALSE),0),"#'##0")),"")</f>
        <v/>
      </c>
      <c r="G9" s="154"/>
    </row>
    <row r="10" spans="1:9" s="114" customFormat="1" ht="15" customHeight="1" x14ac:dyDescent="0.2">
      <c r="B10" s="112"/>
      <c r="C10" s="112"/>
      <c r="D10" s="112"/>
      <c r="E10" s="113"/>
      <c r="F10" s="134"/>
      <c r="G10" s="154"/>
      <c r="H10" s="136"/>
      <c r="I10" s="136"/>
    </row>
    <row r="11" spans="1:9" ht="15" customHeight="1" x14ac:dyDescent="0.35">
      <c r="B11" s="109" t="s">
        <v>411</v>
      </c>
      <c r="C11" s="64"/>
      <c r="D11" s="64"/>
      <c r="E11" s="90"/>
      <c r="F11" s="90"/>
    </row>
    <row r="12" spans="1:9" s="114" customFormat="1" ht="6" customHeight="1" x14ac:dyDescent="0.2">
      <c r="B12" s="112"/>
      <c r="C12" s="112"/>
      <c r="D12" s="112"/>
      <c r="E12" s="485"/>
      <c r="F12" s="572"/>
      <c r="G12" s="154"/>
    </row>
    <row r="13" spans="1:9" s="114" customFormat="1" ht="12.75" x14ac:dyDescent="0.2">
      <c r="B13" s="116" t="s">
        <v>349</v>
      </c>
      <c r="C13" s="112"/>
      <c r="D13" s="112"/>
      <c r="E13" s="485"/>
      <c r="F13" s="572"/>
      <c r="G13" s="154"/>
    </row>
    <row r="14" spans="1:9" s="114" customFormat="1" ht="12.75" x14ac:dyDescent="0.2">
      <c r="B14" s="112" t="s">
        <v>521</v>
      </c>
      <c r="C14" s="112"/>
      <c r="D14" s="112"/>
      <c r="E14" s="486" t="str">
        <f>IFERROR(VLOOKUP(C3,PCS!B12:E311,4,FALSE)*PCS!$E$11,"")</f>
        <v/>
      </c>
      <c r="F14" s="572"/>
      <c r="G14" s="154"/>
    </row>
    <row r="15" spans="1:9" s="114" customFormat="1" ht="12.75" x14ac:dyDescent="0.2">
      <c r="B15" s="112" t="s">
        <v>417</v>
      </c>
      <c r="C15" s="112"/>
      <c r="D15" s="112"/>
      <c r="E15" s="486" t="str">
        <f>IFERROR(VLOOKUP(C3,PCS!B12:D311,3,FALSE)*PCS!$D$11,"")</f>
        <v/>
      </c>
      <c r="F15" s="572" t="str">
        <f>IFERROR(E14+E15,"saisir commune")</f>
        <v>saisir commune</v>
      </c>
      <c r="G15" s="154"/>
    </row>
    <row r="16" spans="1:9" s="114" customFormat="1" ht="6" customHeight="1" x14ac:dyDescent="0.2">
      <c r="B16" s="112"/>
      <c r="C16" s="112"/>
      <c r="D16" s="112"/>
      <c r="E16" s="485"/>
      <c r="F16" s="572"/>
      <c r="G16" s="154"/>
    </row>
    <row r="17" spans="2:8" s="114" customFormat="1" ht="12.75" x14ac:dyDescent="0.2">
      <c r="B17" s="116" t="s">
        <v>362</v>
      </c>
      <c r="C17" s="112"/>
      <c r="D17" s="112"/>
      <c r="E17" s="485"/>
      <c r="F17" s="572"/>
      <c r="G17" s="154"/>
    </row>
    <row r="18" spans="2:8" s="114" customFormat="1" ht="12.75" x14ac:dyDescent="0.2">
      <c r="B18" s="112" t="str">
        <f>IFERROR(CONCATENATE("Ecrêtage en points d'impôt: ",ROUND(VLOOKUP($C$3,Ecrêtage!B:L,11,FALSE),2)),"")</f>
        <v/>
      </c>
      <c r="C18" s="112"/>
      <c r="D18" s="115"/>
      <c r="E18" s="485"/>
      <c r="F18" s="572" t="str">
        <f>IFERROR(VLOOKUP($B$7,Ecrêtage!B:M,12,FALSE),"")</f>
        <v/>
      </c>
      <c r="G18" s="154"/>
    </row>
    <row r="19" spans="2:8" s="114" customFormat="1" ht="6" customHeight="1" x14ac:dyDescent="0.2">
      <c r="B19" s="112"/>
      <c r="C19" s="112"/>
      <c r="D19" s="112"/>
      <c r="E19" s="485"/>
      <c r="F19" s="572"/>
      <c r="G19" s="154"/>
    </row>
    <row r="20" spans="2:8" s="114" customFormat="1" ht="12.75" x14ac:dyDescent="0.2">
      <c r="B20" s="116" t="s">
        <v>512</v>
      </c>
      <c r="C20" s="112"/>
      <c r="D20" s="112"/>
      <c r="E20" s="485"/>
      <c r="F20" s="572"/>
      <c r="G20" s="154"/>
    </row>
    <row r="21" spans="2:8" s="114" customFormat="1" ht="12.75" x14ac:dyDescent="0.2">
      <c r="B21" s="112" t="str">
        <f>CONCATENATE("Solde en points d'impôt: ",ROUND(PCS!H11,2))</f>
        <v>Solde en points d'impôt: 11.04</v>
      </c>
      <c r="C21" s="112"/>
      <c r="D21" s="112"/>
      <c r="E21" s="485"/>
      <c r="F21" s="572"/>
      <c r="G21" s="154"/>
    </row>
    <row r="22" spans="2:8" s="114" customFormat="1" ht="12.75" x14ac:dyDescent="0.2">
      <c r="B22" s="112" t="s">
        <v>366</v>
      </c>
      <c r="C22" s="112"/>
      <c r="D22" s="112"/>
      <c r="E22" s="485"/>
      <c r="F22" s="572" t="str">
        <f>IFERROR(VLOOKUP($C$3,PCS!B:H,7,FALSE),"")</f>
        <v/>
      </c>
      <c r="G22" s="154"/>
    </row>
    <row r="23" spans="2:8" s="114" customFormat="1" ht="6" customHeight="1" x14ac:dyDescent="0.2">
      <c r="B23" s="112"/>
      <c r="C23" s="112"/>
      <c r="D23" s="112"/>
      <c r="E23" s="485"/>
      <c r="F23" s="573"/>
      <c r="G23" s="154"/>
    </row>
    <row r="24" spans="2:8" s="114" customFormat="1" ht="12.75" x14ac:dyDescent="0.2">
      <c r="B24" s="116" t="s">
        <v>379</v>
      </c>
      <c r="C24" s="112"/>
      <c r="D24" s="112"/>
      <c r="E24" s="485"/>
      <c r="F24" s="574" t="str">
        <f>IFERROR(F15+F18+F22,"saisir commune")</f>
        <v>saisir commune</v>
      </c>
      <c r="G24" s="154"/>
      <c r="H24" s="153"/>
    </row>
    <row r="25" spans="2:8" s="114" customFormat="1" ht="6" customHeight="1" x14ac:dyDescent="0.2">
      <c r="B25" s="112"/>
      <c r="C25" s="112"/>
      <c r="D25" s="112"/>
      <c r="E25" s="485"/>
      <c r="F25" s="572"/>
      <c r="G25" s="154"/>
    </row>
    <row r="26" spans="2:8" ht="18" x14ac:dyDescent="0.35">
      <c r="B26" s="109" t="s">
        <v>369</v>
      </c>
      <c r="C26" s="64"/>
      <c r="D26" s="64"/>
      <c r="E26" s="487"/>
      <c r="F26" s="575"/>
    </row>
    <row r="27" spans="2:8" s="114" customFormat="1" ht="6" customHeight="1" x14ac:dyDescent="0.2">
      <c r="B27" s="112"/>
      <c r="C27" s="112"/>
      <c r="D27" s="112"/>
      <c r="E27" s="485"/>
      <c r="F27" s="572"/>
      <c r="G27" s="154"/>
    </row>
    <row r="28" spans="2:8" s="114" customFormat="1" ht="12.75" x14ac:dyDescent="0.2">
      <c r="B28" s="116" t="s">
        <v>496</v>
      </c>
      <c r="C28" s="112"/>
      <c r="D28" s="112"/>
      <c r="E28" s="485"/>
      <c r="F28" s="572" t="str">
        <f>IFERROR(VLOOKUP($B$7,'Péréquation directe'!B:K,4,FALSE),"")</f>
        <v/>
      </c>
      <c r="G28" s="154"/>
      <c r="H28" s="378"/>
    </row>
    <row r="29" spans="2:8" s="114" customFormat="1" ht="6" customHeight="1" x14ac:dyDescent="0.2">
      <c r="B29" s="112"/>
      <c r="C29" s="112"/>
      <c r="D29" s="112"/>
      <c r="E29" s="485"/>
      <c r="F29" s="572"/>
      <c r="G29" s="154"/>
    </row>
    <row r="30" spans="2:8" s="114" customFormat="1" ht="12.75" x14ac:dyDescent="0.2">
      <c r="B30" s="116" t="s">
        <v>497</v>
      </c>
      <c r="C30" s="112"/>
      <c r="D30" s="112"/>
      <c r="E30" s="485"/>
      <c r="F30" s="572" t="str">
        <f>IFERROR(VLOOKUP(B7,'Péréquation directe'!B:K,5,FALSE),"")</f>
        <v/>
      </c>
      <c r="G30" s="154"/>
    </row>
    <row r="31" spans="2:8" s="114" customFormat="1" ht="6" customHeight="1" x14ac:dyDescent="0.2">
      <c r="B31" s="112"/>
      <c r="C31" s="112"/>
      <c r="D31" s="112"/>
      <c r="E31" s="485"/>
      <c r="F31" s="572"/>
      <c r="G31" s="154"/>
    </row>
    <row r="32" spans="2:8" s="114" customFormat="1" ht="12.75" x14ac:dyDescent="0.2">
      <c r="B32" s="116" t="s">
        <v>498</v>
      </c>
      <c r="C32" s="112"/>
      <c r="D32" s="112"/>
      <c r="E32" s="485"/>
      <c r="F32" s="572"/>
      <c r="G32" s="154"/>
    </row>
    <row r="33" spans="2:12" s="114" customFormat="1" ht="12.75" x14ac:dyDescent="0.2">
      <c r="B33" s="169" t="s">
        <v>383</v>
      </c>
      <c r="C33" s="168"/>
      <c r="D33" s="168"/>
      <c r="E33" s="488" t="str">
        <f>IFERROR(VLOOKUP(B7,DT!B6:O305,7,FALSE),"")</f>
        <v/>
      </c>
      <c r="F33" s="576"/>
      <c r="G33" s="154"/>
    </row>
    <row r="34" spans="2:12" s="114" customFormat="1" ht="12.75" x14ac:dyDescent="0.2">
      <c r="B34" s="169" t="s">
        <v>384</v>
      </c>
      <c r="C34" s="168"/>
      <c r="D34" s="168"/>
      <c r="E34" s="488" t="str">
        <f>IFERROR(VLOOKUP(B7,DT!B6:O305,12,FALSE),"")</f>
        <v/>
      </c>
      <c r="F34" s="596">
        <f>IFERROR(E33+E34,0)</f>
        <v>0</v>
      </c>
      <c r="G34" s="154"/>
    </row>
    <row r="35" spans="2:12" s="114" customFormat="1" ht="6" customHeight="1" x14ac:dyDescent="0.2">
      <c r="B35" s="168"/>
      <c r="C35" s="168"/>
      <c r="D35" s="168"/>
      <c r="E35" s="489"/>
      <c r="F35" s="576"/>
      <c r="G35" s="154"/>
    </row>
    <row r="36" spans="2:12" s="114" customFormat="1" ht="12.75" x14ac:dyDescent="0.2">
      <c r="B36" s="116" t="s">
        <v>428</v>
      </c>
      <c r="C36" s="112"/>
      <c r="D36" s="112"/>
      <c r="E36" s="485"/>
      <c r="F36" s="572"/>
      <c r="G36" s="154"/>
    </row>
    <row r="37" spans="2:12" s="114" customFormat="1" ht="12.75" customHeight="1" x14ac:dyDescent="0.2">
      <c r="B37" s="112" t="s">
        <v>372</v>
      </c>
      <c r="C37" s="112"/>
      <c r="D37" s="112"/>
      <c r="E37" s="486" t="str">
        <f>IFERROR(VLOOKUP(B7,Effort!B:K,10,FALSE),"")</f>
        <v/>
      </c>
      <c r="F37" s="572"/>
      <c r="G37" s="154"/>
      <c r="L37" s="165"/>
    </row>
    <row r="38" spans="2:12" s="114" customFormat="1" ht="12.75" customHeight="1" x14ac:dyDescent="0.2">
      <c r="B38" s="112" t="s">
        <v>364</v>
      </c>
      <c r="C38" s="112"/>
      <c r="D38" s="112"/>
      <c r="E38" s="486" t="str">
        <f>IFERROR(VLOOKUP(B7,Aide!B:I,8,FALSE),"")</f>
        <v/>
      </c>
      <c r="F38" s="572"/>
      <c r="G38" s="154"/>
      <c r="L38" s="165"/>
    </row>
    <row r="39" spans="2:12" s="114" customFormat="1" ht="12.75" customHeight="1" x14ac:dyDescent="0.2">
      <c r="B39" s="112" t="s">
        <v>365</v>
      </c>
      <c r="C39" s="112"/>
      <c r="D39" s="112"/>
      <c r="E39" s="486" t="str">
        <f>IFERROR(VLOOKUP(B7,Taux!B:J,9,FALSE),"")</f>
        <v/>
      </c>
      <c r="F39" s="572" t="str">
        <f>IFERROR(E37+E38+E39,"saisir commune")</f>
        <v>saisir commune</v>
      </c>
      <c r="G39" s="154"/>
      <c r="L39" s="165"/>
    </row>
    <row r="40" spans="2:12" s="114" customFormat="1" ht="6" customHeight="1" x14ac:dyDescent="0.2">
      <c r="B40" s="112"/>
      <c r="C40" s="112"/>
      <c r="D40" s="112"/>
      <c r="E40" s="485"/>
      <c r="F40" s="572"/>
      <c r="G40" s="154"/>
      <c r="L40" s="165"/>
    </row>
    <row r="41" spans="2:12" s="114" customFormat="1" ht="12.75" customHeight="1" x14ac:dyDescent="0.2">
      <c r="B41" s="116" t="s">
        <v>493</v>
      </c>
      <c r="C41" s="112"/>
      <c r="D41" s="112"/>
      <c r="E41" s="485"/>
      <c r="F41" s="572" t="str">
        <f>IFERROR(VLOOKUP(B7,'Péréquation directe'!B:J,9,FALSE),"saisir commune")</f>
        <v>saisir commune</v>
      </c>
      <c r="G41" s="154"/>
      <c r="L41" s="165"/>
    </row>
    <row r="42" spans="2:12" s="114" customFormat="1" ht="6" customHeight="1" x14ac:dyDescent="0.2">
      <c r="B42" s="112"/>
      <c r="C42" s="112"/>
      <c r="D42" s="112"/>
      <c r="E42" s="485"/>
      <c r="F42" s="573"/>
      <c r="G42" s="154"/>
      <c r="L42" s="165"/>
    </row>
    <row r="43" spans="2:12" s="114" customFormat="1" ht="12.75" x14ac:dyDescent="0.2">
      <c r="B43" s="116" t="s">
        <v>518</v>
      </c>
      <c r="C43" s="112"/>
      <c r="D43" s="112"/>
      <c r="E43" s="485"/>
      <c r="F43" s="574" t="str">
        <f>IFERROR(F34+F39+F30+F28+F41,"saisir commune")</f>
        <v>saisir commune</v>
      </c>
      <c r="G43" s="154"/>
      <c r="H43" s="154"/>
    </row>
    <row r="44" spans="2:12" s="114" customFormat="1" ht="6" customHeight="1" x14ac:dyDescent="0.2">
      <c r="B44" s="112"/>
      <c r="C44" s="112"/>
      <c r="D44" s="112"/>
      <c r="E44" s="485"/>
      <c r="F44" s="572"/>
      <c r="G44" s="154"/>
    </row>
    <row r="45" spans="2:12" ht="18" x14ac:dyDescent="0.35">
      <c r="B45" s="109" t="s">
        <v>514</v>
      </c>
      <c r="C45" s="64"/>
      <c r="D45" s="64"/>
      <c r="E45" s="487"/>
      <c r="F45" s="575"/>
      <c r="G45" s="154"/>
      <c r="H45" s="114"/>
      <c r="I45" s="114"/>
      <c r="J45" s="114"/>
      <c r="K45" s="114"/>
    </row>
    <row r="46" spans="2:12" s="114" customFormat="1" ht="6" customHeight="1" x14ac:dyDescent="0.2">
      <c r="B46" s="112"/>
      <c r="C46" s="112"/>
      <c r="D46" s="112"/>
      <c r="E46" s="485"/>
      <c r="F46" s="572"/>
      <c r="G46" s="154"/>
    </row>
    <row r="47" spans="2:12" s="114" customFormat="1" ht="12.75" x14ac:dyDescent="0.2">
      <c r="B47" s="112" t="s">
        <v>513</v>
      </c>
      <c r="C47" s="112"/>
      <c r="D47" s="112"/>
      <c r="E47" s="486" t="str">
        <f>IFERROR(VLOOKUP(B7,Police!B:I,8,FALSE),"")</f>
        <v/>
      </c>
      <c r="F47" s="572"/>
      <c r="G47" s="154"/>
    </row>
    <row r="48" spans="2:12" s="114" customFormat="1" ht="12.75" x14ac:dyDescent="0.2">
      <c r="B48" s="112" t="s">
        <v>515</v>
      </c>
      <c r="C48" s="112"/>
      <c r="D48" s="112"/>
      <c r="E48" s="486" t="str">
        <f>IFERROR(VLOOKUP(B7,Police!B:K,10,FALSE),"")</f>
        <v/>
      </c>
      <c r="F48" s="572" t="str">
        <f>IFERROR(E47+E48,"saisir commune")</f>
        <v>saisir commune</v>
      </c>
      <c r="G48" s="154"/>
    </row>
    <row r="49" spans="2:8" s="114" customFormat="1" ht="12.75" x14ac:dyDescent="0.2">
      <c r="B49" s="112"/>
      <c r="C49" s="112"/>
      <c r="D49" s="112"/>
      <c r="E49" s="485"/>
      <c r="F49" s="573"/>
      <c r="G49" s="154"/>
    </row>
    <row r="50" spans="2:8" s="114" customFormat="1" ht="12.75" x14ac:dyDescent="0.2">
      <c r="B50" s="116" t="s">
        <v>516</v>
      </c>
      <c r="C50" s="112"/>
      <c r="D50" s="112"/>
      <c r="E50" s="485"/>
      <c r="F50" s="574" t="str">
        <f>F48</f>
        <v>saisir commune</v>
      </c>
      <c r="G50" s="154"/>
    </row>
    <row r="51" spans="2:8" s="114" customFormat="1" ht="6" customHeight="1" x14ac:dyDescent="0.2">
      <c r="B51" s="112"/>
      <c r="C51" s="112"/>
      <c r="D51" s="112"/>
      <c r="E51" s="485"/>
      <c r="F51" s="572"/>
      <c r="G51" s="154"/>
    </row>
    <row r="52" spans="2:8" ht="18" x14ac:dyDescent="0.35">
      <c r="B52" s="109" t="s">
        <v>412</v>
      </c>
      <c r="C52" s="64"/>
      <c r="D52" s="64"/>
      <c r="E52" s="487"/>
      <c r="F52" s="575"/>
    </row>
    <row r="53" spans="2:8" ht="6" customHeight="1" x14ac:dyDescent="0.25">
      <c r="B53" s="112"/>
      <c r="C53" s="112"/>
      <c r="D53" s="112"/>
      <c r="E53" s="490"/>
      <c r="F53" s="577"/>
    </row>
    <row r="54" spans="2:8" x14ac:dyDescent="0.25">
      <c r="B54" s="116" t="s">
        <v>373</v>
      </c>
      <c r="C54" s="112"/>
      <c r="D54" s="112"/>
      <c r="E54" s="490"/>
      <c r="F54" s="574" t="str">
        <f>IFERROR(+F24+F43+F50,"saisir commune")</f>
        <v>saisir commune</v>
      </c>
      <c r="H54" s="569"/>
    </row>
    <row r="55" spans="2:8" ht="6" customHeight="1" x14ac:dyDescent="0.25">
      <c r="B55" s="112"/>
      <c r="C55" s="112"/>
      <c r="D55" s="112"/>
      <c r="E55" s="490"/>
      <c r="F55" s="490"/>
    </row>
    <row r="56" spans="2:8" ht="18" x14ac:dyDescent="0.35">
      <c r="B56" s="109" t="s">
        <v>374</v>
      </c>
      <c r="C56" s="64"/>
      <c r="D56" s="64"/>
      <c r="E56" s="482"/>
      <c r="F56" s="482"/>
      <c r="H56" s="583"/>
    </row>
    <row r="57" spans="2:8" ht="6" customHeight="1" x14ac:dyDescent="0.25">
      <c r="B57" s="112"/>
      <c r="C57" s="112"/>
      <c r="D57" s="112"/>
      <c r="E57" s="481"/>
      <c r="F57" s="481"/>
    </row>
    <row r="58" spans="2:8" ht="38.25" x14ac:dyDescent="0.25">
      <c r="B58" s="112"/>
      <c r="C58" s="170" t="s">
        <v>385</v>
      </c>
      <c r="D58" s="171" t="s">
        <v>391</v>
      </c>
      <c r="E58" s="483" t="s">
        <v>277</v>
      </c>
      <c r="F58" s="484" t="s">
        <v>519</v>
      </c>
    </row>
    <row r="59" spans="2:8" x14ac:dyDescent="0.25">
      <c r="B59" s="172" t="s">
        <v>386</v>
      </c>
      <c r="C59" s="491" t="str">
        <f>IFERROR(D59+E59+F59,"saisir commune")</f>
        <v>saisir commune</v>
      </c>
      <c r="D59" s="492" t="str">
        <f>IFERROR(VLOOKUP($C$3,'Décompte vs acomptes'!B:K,2,FALSE),"")</f>
        <v/>
      </c>
      <c r="E59" s="492" t="str">
        <f>IFERROR(VLOOKUP($C$3,'Décompte vs acomptes'!B:K,5,FALSE),"")</f>
        <v/>
      </c>
      <c r="F59" s="493" t="str">
        <f>IFERROR(VLOOKUP($C$3,'Décompte vs acomptes'!B:K,8,FALSE),"")</f>
        <v/>
      </c>
    </row>
    <row r="60" spans="2:8" x14ac:dyDescent="0.25">
      <c r="B60" s="172" t="s">
        <v>390</v>
      </c>
      <c r="C60" s="494" t="str">
        <f>IFERROR(D60+E60+F60,"saisir commune")</f>
        <v>saisir commune</v>
      </c>
      <c r="D60" s="495" t="str">
        <f>IFERROR(VLOOKUP($C$3,'Décompte vs acomptes'!B:K,3,FALSE),"")</f>
        <v/>
      </c>
      <c r="E60" s="495" t="str">
        <f>IFERROR(VLOOKUP($C$3,'Décompte vs acomptes'!B:K,6,FALSE),"")</f>
        <v/>
      </c>
      <c r="F60" s="496" t="str">
        <f>IFERROR(VLOOKUP($C$3,'Décompte vs acomptes'!B:K,9,FALSE),"")</f>
        <v/>
      </c>
    </row>
    <row r="61" spans="2:8" x14ac:dyDescent="0.25">
      <c r="B61" s="172" t="s">
        <v>520</v>
      </c>
      <c r="C61" s="491" t="str">
        <f>IFERROR(D61+E61+F61,"saisir commune")</f>
        <v>saisir commune</v>
      </c>
      <c r="D61" s="491" t="str">
        <f>IFERROR(VLOOKUP($C$3,'Décompte vs acomptes'!B:K,4,FALSE),"")</f>
        <v/>
      </c>
      <c r="E61" s="491" t="str">
        <f>IFERROR(VLOOKUP($C$3,'Décompte vs acomptes'!B:K,7,FALSE),"")</f>
        <v/>
      </c>
      <c r="F61" s="491" t="str">
        <f>IFERROR(VLOOKUP($C$3,'Décompte vs acomptes'!B:K,10,FALSE),"")</f>
        <v/>
      </c>
    </row>
    <row r="62" spans="2:8" x14ac:dyDescent="0.25">
      <c r="B62" s="146"/>
      <c r="C62" s="173" t="s">
        <v>387</v>
      </c>
      <c r="D62" s="146"/>
      <c r="E62" s="4"/>
      <c r="F62" s="4"/>
    </row>
    <row r="63" spans="2:8" x14ac:dyDescent="0.25">
      <c r="B63" s="702" t="s">
        <v>597</v>
      </c>
      <c r="C63" s="703"/>
      <c r="D63" s="703"/>
      <c r="E63" s="703"/>
      <c r="F63" s="703"/>
    </row>
    <row r="64" spans="2:8" x14ac:dyDescent="0.25">
      <c r="B64" s="703"/>
      <c r="C64" s="703"/>
      <c r="D64" s="703"/>
      <c r="E64" s="703"/>
      <c r="F64" s="703"/>
    </row>
    <row r="65" spans="2:6" x14ac:dyDescent="0.25">
      <c r="B65" s="703"/>
      <c r="C65" s="703"/>
      <c r="D65" s="703"/>
      <c r="E65" s="703"/>
      <c r="F65" s="703"/>
    </row>
    <row r="66" spans="2:6" ht="18.75" customHeight="1" x14ac:dyDescent="0.25">
      <c r="B66" s="703"/>
      <c r="C66" s="703"/>
      <c r="D66" s="703"/>
      <c r="E66" s="703"/>
      <c r="F66" s="703"/>
    </row>
    <row r="67" spans="2:6" ht="9.75" customHeight="1" x14ac:dyDescent="0.25">
      <c r="B67" s="703"/>
      <c r="C67" s="703"/>
      <c r="D67" s="703"/>
      <c r="E67" s="703"/>
      <c r="F67" s="703"/>
    </row>
    <row r="68" spans="2:6" hidden="1" x14ac:dyDescent="0.25">
      <c r="B68" s="703"/>
      <c r="C68" s="703"/>
      <c r="D68" s="703"/>
      <c r="E68" s="703"/>
      <c r="F68" s="703"/>
    </row>
  </sheetData>
  <sheetProtection sheet="1" objects="1" scenarios="1"/>
  <protectedRanges>
    <protectedRange sqref="C3:E3" name="Plage1"/>
  </protectedRanges>
  <mergeCells count="4">
    <mergeCell ref="B6:F6"/>
    <mergeCell ref="B7:F7"/>
    <mergeCell ref="C3:E3"/>
    <mergeCell ref="B63:F68"/>
  </mergeCells>
  <hyperlinks>
    <hyperlink ref="E1" location="Paramètres!A1" display="← Précédent" xr:uid="{FE03BD52-2E50-449D-8467-C07D988C1344}"/>
    <hyperlink ref="F1" location="'Table des matières'!A1" display="Table des matières" xr:uid="{C79CD07B-15C7-47C2-BE7A-8F6831A4869A}"/>
    <hyperlink ref="G1" location="Données!A1" display="Suivant →" xr:uid="{D5E23E80-B2A7-47E6-AB96-64B0DA80BDF9}"/>
  </hyperlinks>
  <printOptions horizontalCentered="1" verticalCentered="1"/>
  <pageMargins left="0.70866141732283472" right="0.70866141732283472" top="0.35433070866141736" bottom="0.35433070866141736" header="0.31496062992125984" footer="0.31496062992125984"/>
  <pageSetup paperSize="9" scale="98"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C311B9C-B1F5-4E57-8162-0ECA1A164850}">
          <x14:formula1>
            <xm:f>Paramètres!$A$62:$A$361</xm:f>
          </x14:formula1>
          <xm:sqref>C3:E3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tabColor theme="3" tint="0.59999389629810485"/>
  </sheetPr>
  <dimension ref="A1:DR331"/>
  <sheetViews>
    <sheetView zoomScaleNormal="100" workbookViewId="0">
      <pane xSplit="2" ySplit="5" topLeftCell="C6" activePane="bottomRight" state="frozen"/>
      <selection activeCell="B4" sqref="B4:C4"/>
      <selection pane="topRight" activeCell="B4" sqref="B4:C4"/>
      <selection pane="bottomLeft" activeCell="B4" sqref="B4:C4"/>
      <selection pane="bottomRight"/>
    </sheetView>
  </sheetViews>
  <sheetFormatPr baseColWidth="10" defaultColWidth="8.625" defaultRowHeight="15" x14ac:dyDescent="0.25"/>
  <cols>
    <col min="1" max="1" width="8.5" style="541" customWidth="1"/>
    <col min="2" max="2" width="21.875" style="456" bestFit="1" customWidth="1"/>
    <col min="3" max="3" width="14.375" style="537" bestFit="1" customWidth="1"/>
    <col min="4" max="4" width="13" style="456" bestFit="1" customWidth="1"/>
    <col min="5" max="5" width="11.25" style="456" bestFit="1" customWidth="1"/>
    <col min="6" max="6" width="10.125" style="456" bestFit="1" customWidth="1"/>
    <col min="7" max="7" width="13.125" style="456" bestFit="1" customWidth="1"/>
    <col min="8" max="11" width="12.25" style="456" bestFit="1" customWidth="1"/>
    <col min="12" max="12" width="13.125" style="456" bestFit="1" customWidth="1"/>
    <col min="13" max="13" width="15.625" style="456" bestFit="1" customWidth="1"/>
    <col min="14" max="14" width="12.375" style="502" bestFit="1" customWidth="1"/>
    <col min="15" max="16" width="13.125" style="502" bestFit="1" customWidth="1"/>
    <col min="17" max="17" width="12.75" style="502" bestFit="1" customWidth="1"/>
    <col min="18" max="18" width="12.375" style="502" bestFit="1" customWidth="1"/>
    <col min="19" max="19" width="13.875" style="502" bestFit="1" customWidth="1"/>
    <col min="20" max="20" width="15.625" style="456" bestFit="1" customWidth="1"/>
    <col min="21" max="21" width="13.25" style="456" bestFit="1" customWidth="1"/>
    <col min="22" max="22" width="12" style="456" customWidth="1"/>
    <col min="23" max="23" width="13.625" style="456" bestFit="1" customWidth="1"/>
    <col min="24" max="24" width="9" style="456" bestFit="1" customWidth="1"/>
    <col min="25" max="25" width="11.25" style="456" bestFit="1" customWidth="1"/>
    <col min="26" max="26" width="11.125" style="502" bestFit="1" customWidth="1"/>
    <col min="27" max="27" width="3.625" style="456" customWidth="1"/>
    <col min="28" max="28" width="12.25" style="456" bestFit="1" customWidth="1"/>
    <col min="29" max="29" width="6.5" style="456" bestFit="1" customWidth="1"/>
    <col min="30" max="30" width="13" style="456" bestFit="1" customWidth="1"/>
    <col min="31" max="31" width="6.5" style="456" bestFit="1" customWidth="1"/>
    <col min="32" max="32" width="13.125" style="456" customWidth="1"/>
    <col min="33" max="34" width="11.5" style="456" customWidth="1"/>
    <col min="35" max="35" width="3.625" style="456" customWidth="1"/>
    <col min="36" max="36" width="9.25" style="456" customWidth="1"/>
    <col min="37" max="37" width="5.5" style="456" bestFit="1" customWidth="1"/>
    <col min="38" max="38" width="12.125" style="456" bestFit="1" customWidth="1"/>
    <col min="39" max="39" width="6.375" style="456" bestFit="1" customWidth="1"/>
    <col min="40" max="40" width="12.25" style="456" bestFit="1" customWidth="1"/>
    <col min="41" max="41" width="3.75" style="456" customWidth="1"/>
    <col min="42" max="42" width="16" style="456" customWidth="1"/>
    <col min="43" max="43" width="3.75" style="456" customWidth="1"/>
    <col min="44" max="44" width="10.125" style="456" customWidth="1"/>
    <col min="45" max="16384" width="8.625" style="456"/>
  </cols>
  <sheetData>
    <row r="1" spans="1:44" ht="26.25" x14ac:dyDescent="0.4">
      <c r="A1" s="497" t="str">
        <f>CONCATENATE("Données (",Paramètres!B5,")")</f>
        <v>Données (2024)</v>
      </c>
      <c r="B1" s="498"/>
      <c r="C1" s="499" t="s">
        <v>402</v>
      </c>
      <c r="D1" s="500" t="s">
        <v>394</v>
      </c>
      <c r="E1" s="501" t="s">
        <v>403</v>
      </c>
      <c r="F1" s="498"/>
      <c r="G1" s="498"/>
      <c r="H1" s="498"/>
      <c r="I1" s="498"/>
      <c r="J1" s="498"/>
      <c r="S1" s="503"/>
      <c r="V1" s="470"/>
      <c r="X1" s="504"/>
    </row>
    <row r="2" spans="1:44" ht="15.75" x14ac:dyDescent="0.25">
      <c r="A2" s="505" t="str">
        <f>Paramètres!B4</f>
        <v>Décompte 2024</v>
      </c>
      <c r="C2" s="506"/>
      <c r="D2" s="506"/>
      <c r="E2" s="506"/>
      <c r="F2" s="506"/>
      <c r="G2" s="506"/>
      <c r="H2" s="506"/>
      <c r="I2" s="506"/>
      <c r="J2" s="506"/>
      <c r="K2" s="506"/>
      <c r="L2" s="506"/>
      <c r="M2" s="506"/>
      <c r="N2" s="507"/>
      <c r="O2" s="507"/>
      <c r="P2" s="507"/>
      <c r="Q2" s="507"/>
      <c r="R2" s="507"/>
      <c r="S2" s="507"/>
      <c r="T2" s="506"/>
      <c r="U2" s="506"/>
      <c r="V2" s="506"/>
      <c r="W2" s="506"/>
      <c r="X2" s="506"/>
      <c r="Y2" s="506"/>
      <c r="Z2" s="506"/>
      <c r="AA2" s="506"/>
      <c r="AB2" s="506"/>
      <c r="AC2" s="506"/>
      <c r="AD2" s="506"/>
      <c r="AE2" s="506"/>
      <c r="AF2" s="506"/>
      <c r="AG2" s="506"/>
      <c r="AH2" s="506"/>
    </row>
    <row r="3" spans="1:44" x14ac:dyDescent="0.25">
      <c r="A3" s="508"/>
      <c r="B3" s="498"/>
      <c r="C3" s="509"/>
      <c r="D3" s="498"/>
      <c r="E3" s="498"/>
      <c r="F3" s="498"/>
      <c r="G3" s="498"/>
      <c r="H3" s="498"/>
      <c r="I3" s="498"/>
      <c r="J3" s="498"/>
      <c r="L3" s="510"/>
      <c r="S3" s="503"/>
      <c r="X3" s="504"/>
      <c r="AB3" s="708" t="s">
        <v>530</v>
      </c>
      <c r="AC3" s="709"/>
      <c r="AD3" s="709"/>
      <c r="AE3" s="709"/>
      <c r="AF3" s="710"/>
      <c r="AJ3" s="708" t="s">
        <v>457</v>
      </c>
      <c r="AK3" s="709"/>
      <c r="AL3" s="709"/>
      <c r="AM3" s="709"/>
      <c r="AN3" s="710"/>
    </row>
    <row r="4" spans="1:44" s="516" customFormat="1" ht="74.25" customHeight="1" x14ac:dyDescent="0.2">
      <c r="A4" s="714" t="s">
        <v>44</v>
      </c>
      <c r="B4" s="716" t="s">
        <v>392</v>
      </c>
      <c r="C4" s="511" t="s">
        <v>441</v>
      </c>
      <c r="D4" s="511" t="s">
        <v>442</v>
      </c>
      <c r="E4" s="512" t="s">
        <v>222</v>
      </c>
      <c r="F4" s="512" t="s">
        <v>223</v>
      </c>
      <c r="G4" s="584" t="s">
        <v>443</v>
      </c>
      <c r="H4" s="512" t="s">
        <v>444</v>
      </c>
      <c r="I4" s="512" t="s">
        <v>523</v>
      </c>
      <c r="J4" s="512" t="s">
        <v>413</v>
      </c>
      <c r="K4" s="512" t="s">
        <v>445</v>
      </c>
      <c r="L4" s="512" t="s">
        <v>312</v>
      </c>
      <c r="M4" s="512" t="s">
        <v>173</v>
      </c>
      <c r="N4" s="513" t="s">
        <v>174</v>
      </c>
      <c r="O4" s="513" t="s">
        <v>175</v>
      </c>
      <c r="P4" s="513" t="s">
        <v>176</v>
      </c>
      <c r="Q4" s="718" t="s">
        <v>336</v>
      </c>
      <c r="R4" s="513" t="s">
        <v>177</v>
      </c>
      <c r="S4" s="718" t="s">
        <v>414</v>
      </c>
      <c r="T4" s="512" t="s">
        <v>124</v>
      </c>
      <c r="U4" s="720" t="s">
        <v>218</v>
      </c>
      <c r="V4" s="720" t="s">
        <v>522</v>
      </c>
      <c r="W4" s="720" t="s">
        <v>219</v>
      </c>
      <c r="X4" s="511" t="s">
        <v>71</v>
      </c>
      <c r="Y4" s="720" t="s">
        <v>368</v>
      </c>
      <c r="Z4" s="514" t="s">
        <v>355</v>
      </c>
      <c r="AA4" s="515"/>
      <c r="AB4" s="711" t="s">
        <v>381</v>
      </c>
      <c r="AC4" s="712"/>
      <c r="AD4" s="711" t="s">
        <v>380</v>
      </c>
      <c r="AE4" s="712"/>
      <c r="AF4" s="706" t="s">
        <v>434</v>
      </c>
      <c r="AG4" s="706" t="s">
        <v>278</v>
      </c>
      <c r="AH4" s="706" t="s">
        <v>279</v>
      </c>
      <c r="AJ4" s="711" t="s">
        <v>382</v>
      </c>
      <c r="AK4" s="712"/>
      <c r="AL4" s="711" t="s">
        <v>380</v>
      </c>
      <c r="AM4" s="712"/>
      <c r="AN4" s="706" t="s">
        <v>426</v>
      </c>
      <c r="AP4" s="517" t="s">
        <v>488</v>
      </c>
      <c r="AR4" s="704" t="s">
        <v>435</v>
      </c>
    </row>
    <row r="5" spans="1:44" s="498" customFormat="1" x14ac:dyDescent="0.25">
      <c r="A5" s="715"/>
      <c r="B5" s="717"/>
      <c r="C5" s="518" t="s">
        <v>337</v>
      </c>
      <c r="D5" s="519" t="s">
        <v>338</v>
      </c>
      <c r="E5" s="520" t="s">
        <v>72</v>
      </c>
      <c r="F5" s="520" t="s">
        <v>73</v>
      </c>
      <c r="G5" s="520" t="s">
        <v>339</v>
      </c>
      <c r="H5" s="520" t="s">
        <v>340</v>
      </c>
      <c r="I5" s="520" t="s">
        <v>74</v>
      </c>
      <c r="J5" s="520" t="s">
        <v>75</v>
      </c>
      <c r="K5" s="520" t="s">
        <v>76</v>
      </c>
      <c r="L5" s="520" t="s">
        <v>77</v>
      </c>
      <c r="M5" s="520" t="s">
        <v>78</v>
      </c>
      <c r="N5" s="521" t="s">
        <v>79</v>
      </c>
      <c r="O5" s="521" t="s">
        <v>80</v>
      </c>
      <c r="P5" s="521" t="s">
        <v>81</v>
      </c>
      <c r="Q5" s="719"/>
      <c r="R5" s="521" t="s">
        <v>82</v>
      </c>
      <c r="S5" s="719"/>
      <c r="T5" s="520" t="s">
        <v>83</v>
      </c>
      <c r="U5" s="722"/>
      <c r="V5" s="722"/>
      <c r="W5" s="721"/>
      <c r="X5" s="522">
        <f>+Paramètres!B5</f>
        <v>2024</v>
      </c>
      <c r="Y5" s="721"/>
      <c r="Z5" s="523">
        <f>+Paramètres!B6</f>
        <v>44195</v>
      </c>
      <c r="AA5" s="515"/>
      <c r="AB5" s="524" t="s">
        <v>356</v>
      </c>
      <c r="AC5" s="524" t="s">
        <v>357</v>
      </c>
      <c r="AD5" s="524" t="s">
        <v>356</v>
      </c>
      <c r="AE5" s="524" t="s">
        <v>357</v>
      </c>
      <c r="AF5" s="713"/>
      <c r="AG5" s="713"/>
      <c r="AH5" s="707"/>
      <c r="AJ5" s="524" t="s">
        <v>356</v>
      </c>
      <c r="AK5" s="524" t="s">
        <v>357</v>
      </c>
      <c r="AL5" s="524" t="s">
        <v>356</v>
      </c>
      <c r="AM5" s="524" t="s">
        <v>357</v>
      </c>
      <c r="AN5" s="707"/>
      <c r="AP5" s="517" t="str">
        <f>CONCATENATE(LEFT(Paramètres!B4,LENB(Paramètres!B4)-4), "T-1")</f>
        <v>Décompte T-1</v>
      </c>
      <c r="AR5" s="705"/>
    </row>
    <row r="6" spans="1:44" x14ac:dyDescent="0.25">
      <c r="A6" s="525">
        <v>5401</v>
      </c>
      <c r="B6" s="526" t="s">
        <v>224</v>
      </c>
      <c r="C6" s="454">
        <v>14031953.439999999</v>
      </c>
      <c r="D6" s="454">
        <v>1547066.5</v>
      </c>
      <c r="E6" s="454"/>
      <c r="F6" s="455"/>
      <c r="G6" s="454">
        <v>1605545</v>
      </c>
      <c r="H6" s="454">
        <v>230699.85</v>
      </c>
      <c r="I6" s="454">
        <v>18570.25</v>
      </c>
      <c r="J6" s="454">
        <v>802236.7</v>
      </c>
      <c r="K6" s="454">
        <v>279154.05</v>
      </c>
      <c r="L6" s="454">
        <v>2541756.7999999998</v>
      </c>
      <c r="M6" s="344">
        <f t="shared" ref="M6:M65" si="0">SUM(C6:L6)</f>
        <v>21056982.59</v>
      </c>
      <c r="N6" s="458">
        <v>1785549.45</v>
      </c>
      <c r="O6" s="458">
        <v>840998.5</v>
      </c>
      <c r="P6" s="458">
        <v>967369.9</v>
      </c>
      <c r="Q6" s="458">
        <v>175768.24</v>
      </c>
      <c r="R6" s="458">
        <v>464932.3</v>
      </c>
      <c r="S6" s="454">
        <v>178195.97</v>
      </c>
      <c r="T6" s="344">
        <f t="shared" ref="T6:T65" si="1">SUM(M6:S6)</f>
        <v>25469796.949999996</v>
      </c>
      <c r="U6" s="456">
        <v>-406738.7</v>
      </c>
      <c r="V6" s="459"/>
      <c r="W6" s="459">
        <v>-14057.03</v>
      </c>
      <c r="X6" s="460">
        <v>66</v>
      </c>
      <c r="Y6" s="568">
        <v>1.2</v>
      </c>
      <c r="Z6" s="461">
        <v>11780</v>
      </c>
      <c r="AA6" s="527"/>
      <c r="AB6" s="469">
        <v>1058227</v>
      </c>
      <c r="AC6" s="307">
        <f>AB6/VPI!R6</f>
        <v>3.3959544558488677</v>
      </c>
      <c r="AD6" s="309">
        <f>AF6-AB6</f>
        <v>3764483</v>
      </c>
      <c r="AE6" s="307">
        <f>AD6/VPI!R6</f>
        <v>12.080595957027473</v>
      </c>
      <c r="AF6" s="471">
        <v>4822710</v>
      </c>
      <c r="AG6" s="471">
        <v>3249684</v>
      </c>
      <c r="AH6" s="469">
        <v>34499</v>
      </c>
      <c r="AI6" s="528"/>
      <c r="AJ6" s="473"/>
      <c r="AK6" s="307">
        <f>AJ6/VPI!R6</f>
        <v>0</v>
      </c>
      <c r="AL6" s="309">
        <f>+AN6-AJ6</f>
        <v>622950</v>
      </c>
      <c r="AM6" s="307">
        <f>AL6/VPI!R6</f>
        <v>1.9991077795889276</v>
      </c>
      <c r="AN6" s="461">
        <v>622950</v>
      </c>
      <c r="AO6" s="528"/>
      <c r="AP6" s="476">
        <v>-7.7990998891929486</v>
      </c>
      <c r="AR6" s="529">
        <v>1</v>
      </c>
    </row>
    <row r="7" spans="1:44" x14ac:dyDescent="0.25">
      <c r="A7" s="525">
        <v>5402</v>
      </c>
      <c r="B7" s="526" t="s">
        <v>225</v>
      </c>
      <c r="C7" s="454">
        <v>9859037.25</v>
      </c>
      <c r="D7" s="454">
        <v>1478320.1</v>
      </c>
      <c r="E7" s="454"/>
      <c r="F7" s="455"/>
      <c r="G7" s="454">
        <v>725065.7</v>
      </c>
      <c r="H7" s="454">
        <v>103029.7</v>
      </c>
      <c r="I7" s="454">
        <v>27725.85</v>
      </c>
      <c r="J7" s="454">
        <v>517206.63</v>
      </c>
      <c r="K7" s="454">
        <v>163861.9</v>
      </c>
      <c r="L7" s="454">
        <v>1874662.9</v>
      </c>
      <c r="M7" s="344">
        <f t="shared" si="0"/>
        <v>14748910.029999999</v>
      </c>
      <c r="N7" s="458">
        <v>458534.25</v>
      </c>
      <c r="O7" s="458">
        <v>440537.8</v>
      </c>
      <c r="P7" s="458">
        <v>1044265.1</v>
      </c>
      <c r="Q7" s="458">
        <v>68748.11</v>
      </c>
      <c r="R7" s="458">
        <v>573170.30000000005</v>
      </c>
      <c r="S7" s="454">
        <v>80405.850000000006</v>
      </c>
      <c r="T7" s="344">
        <f t="shared" si="1"/>
        <v>17414571.440000001</v>
      </c>
      <c r="U7" s="456">
        <v>-348478.11</v>
      </c>
      <c r="V7" s="458"/>
      <c r="W7" s="458">
        <v>-3028.52</v>
      </c>
      <c r="X7" s="462">
        <v>71</v>
      </c>
      <c r="Y7" s="463">
        <v>1.25</v>
      </c>
      <c r="Z7" s="464">
        <v>8806</v>
      </c>
      <c r="AA7" s="527"/>
      <c r="AB7" s="469">
        <v>633634</v>
      </c>
      <c r="AC7" s="307">
        <f>AB7/VPI!R7</f>
        <v>3.174513487224857</v>
      </c>
      <c r="AD7" s="309">
        <f t="shared" ref="AD7:AD70" si="2">AF7-AB7</f>
        <v>2643237</v>
      </c>
      <c r="AE7" s="307">
        <f>AD7/VPI!R7</f>
        <v>13.242647185018116</v>
      </c>
      <c r="AF7" s="469">
        <v>3276871</v>
      </c>
      <c r="AG7" s="469">
        <v>1988659</v>
      </c>
      <c r="AH7" s="469">
        <v>106079</v>
      </c>
      <c r="AI7" s="528"/>
      <c r="AJ7" s="464">
        <v>39411</v>
      </c>
      <c r="AK7" s="307">
        <f>AJ7/VPI!R7</f>
        <v>0.19744955454571383</v>
      </c>
      <c r="AL7" s="309">
        <f t="shared" ref="AL7:AL70" si="3">+AN7-AJ7</f>
        <v>683562</v>
      </c>
      <c r="AM7" s="307">
        <f>AL7/VPI!R7</f>
        <v>3.4246533303995643</v>
      </c>
      <c r="AN7" s="464">
        <v>722973</v>
      </c>
      <c r="AO7" s="528"/>
      <c r="AP7" s="477">
        <v>-11.234596466190908</v>
      </c>
      <c r="AR7" s="530">
        <v>1</v>
      </c>
    </row>
    <row r="8" spans="1:44" x14ac:dyDescent="0.25">
      <c r="A8" s="525">
        <v>5403</v>
      </c>
      <c r="B8" s="526" t="s">
        <v>100</v>
      </c>
      <c r="C8" s="454">
        <v>613506.68999999994</v>
      </c>
      <c r="D8" s="454">
        <v>91009.42</v>
      </c>
      <c r="E8" s="454"/>
      <c r="F8" s="455"/>
      <c r="G8" s="454">
        <v>-15579.35</v>
      </c>
      <c r="H8" s="454">
        <v>1386.6</v>
      </c>
      <c r="I8" s="454"/>
      <c r="J8" s="454">
        <v>18979.48</v>
      </c>
      <c r="K8" s="454">
        <v>6825.1</v>
      </c>
      <c r="L8" s="454">
        <v>90678.9</v>
      </c>
      <c r="M8" s="344">
        <f t="shared" si="0"/>
        <v>806806.84</v>
      </c>
      <c r="N8" s="458">
        <v>9603.1</v>
      </c>
      <c r="O8" s="458"/>
      <c r="P8" s="458">
        <v>71632</v>
      </c>
      <c r="Q8" s="458">
        <v>9813.4699999999993</v>
      </c>
      <c r="R8" s="458">
        <v>98233.9</v>
      </c>
      <c r="S8" s="454">
        <v>-1378.08</v>
      </c>
      <c r="T8" s="344">
        <f t="shared" si="1"/>
        <v>994711.23</v>
      </c>
      <c r="U8" s="456">
        <v>-21964.68</v>
      </c>
      <c r="V8" s="458"/>
      <c r="W8" s="458">
        <v>-222.8</v>
      </c>
      <c r="X8" s="462">
        <v>65</v>
      </c>
      <c r="Y8" s="463">
        <v>1</v>
      </c>
      <c r="Z8" s="464">
        <v>528</v>
      </c>
      <c r="AA8" s="527"/>
      <c r="AB8" s="469">
        <v>11597</v>
      </c>
      <c r="AC8" s="307">
        <f>AB8/VPI!R8</f>
        <v>0.95050814587517451</v>
      </c>
      <c r="AD8" s="309">
        <f t="shared" si="2"/>
        <v>36977</v>
      </c>
      <c r="AE8" s="307">
        <f>AD8/VPI!R8</f>
        <v>3.0306923954493685</v>
      </c>
      <c r="AF8" s="469">
        <v>48574</v>
      </c>
      <c r="AG8" s="469">
        <v>45969</v>
      </c>
      <c r="AH8" s="469">
        <v>13446</v>
      </c>
      <c r="AI8" s="528"/>
      <c r="AJ8" s="464"/>
      <c r="AK8" s="307">
        <f>AJ8/VPI!R8</f>
        <v>0</v>
      </c>
      <c r="AL8" s="309">
        <f t="shared" si="3"/>
        <v>30348</v>
      </c>
      <c r="AM8" s="307">
        <f>AL8/VPI!R8</f>
        <v>2.4873692516185044</v>
      </c>
      <c r="AN8" s="464">
        <v>30348</v>
      </c>
      <c r="AO8" s="528"/>
      <c r="AP8" s="477">
        <v>9.6188587116936297</v>
      </c>
      <c r="AR8" s="530">
        <v>0</v>
      </c>
    </row>
    <row r="9" spans="1:44" x14ac:dyDescent="0.25">
      <c r="A9" s="525">
        <v>5404</v>
      </c>
      <c r="B9" s="526" t="s">
        <v>101</v>
      </c>
      <c r="C9" s="454">
        <v>629160.39</v>
      </c>
      <c r="D9" s="454">
        <v>153874.09</v>
      </c>
      <c r="E9" s="454"/>
      <c r="F9" s="455"/>
      <c r="G9" s="454">
        <v>2872.65</v>
      </c>
      <c r="H9" s="454">
        <v>6183.25</v>
      </c>
      <c r="I9" s="454"/>
      <c r="J9" s="454">
        <v>5301.11</v>
      </c>
      <c r="K9" s="454">
        <v>2184.0500000000002</v>
      </c>
      <c r="L9" s="454">
        <v>141700.4</v>
      </c>
      <c r="M9" s="344">
        <f t="shared" si="0"/>
        <v>941275.94000000006</v>
      </c>
      <c r="N9" s="458">
        <v>15612.4</v>
      </c>
      <c r="O9" s="458">
        <v>10659.8</v>
      </c>
      <c r="P9" s="458">
        <v>21071.25</v>
      </c>
      <c r="Q9" s="458">
        <v>13569.73</v>
      </c>
      <c r="R9" s="458">
        <v>25206</v>
      </c>
      <c r="S9" s="454">
        <v>879.31</v>
      </c>
      <c r="T9" s="344">
        <f t="shared" si="1"/>
        <v>1028274.4300000002</v>
      </c>
      <c r="U9" s="456">
        <v>-12288.1</v>
      </c>
      <c r="V9" s="458"/>
      <c r="W9" s="458">
        <v>-745.15</v>
      </c>
      <c r="X9" s="462">
        <v>74</v>
      </c>
      <c r="Y9" s="463">
        <v>1.5</v>
      </c>
      <c r="Z9" s="464">
        <v>452</v>
      </c>
      <c r="AA9" s="527"/>
      <c r="AB9" s="469">
        <v>13516</v>
      </c>
      <c r="AC9" s="307">
        <f>AB9/VPI!R9</f>
        <v>1.1169521137443372</v>
      </c>
      <c r="AD9" s="309">
        <f t="shared" si="2"/>
        <v>301628</v>
      </c>
      <c r="AE9" s="307">
        <f>AD9/VPI!R9</f>
        <v>24.92631193877456</v>
      </c>
      <c r="AF9" s="469">
        <v>315144</v>
      </c>
      <c r="AG9" s="469">
        <v>27398</v>
      </c>
      <c r="AH9" s="469">
        <v>33172</v>
      </c>
      <c r="AI9" s="528"/>
      <c r="AJ9" s="464"/>
      <c r="AK9" s="307">
        <f>AJ9/VPI!R9</f>
        <v>0</v>
      </c>
      <c r="AL9" s="309">
        <f t="shared" si="3"/>
        <v>31320</v>
      </c>
      <c r="AM9" s="307">
        <f>AL9/VPI!R9</f>
        <v>2.5882613348973544</v>
      </c>
      <c r="AN9" s="464">
        <v>31320</v>
      </c>
      <c r="AO9" s="528"/>
      <c r="AP9" s="477">
        <v>-0.16618169641273894</v>
      </c>
      <c r="AR9" s="530">
        <v>0</v>
      </c>
    </row>
    <row r="10" spans="1:44" x14ac:dyDescent="0.25">
      <c r="A10" s="525">
        <v>5405</v>
      </c>
      <c r="B10" s="526" t="s">
        <v>102</v>
      </c>
      <c r="C10" s="454">
        <v>3200070.43</v>
      </c>
      <c r="D10" s="454">
        <v>1440665.97</v>
      </c>
      <c r="E10" s="454"/>
      <c r="F10" s="455"/>
      <c r="G10" s="454">
        <v>92418.45</v>
      </c>
      <c r="H10" s="454">
        <v>15028.2</v>
      </c>
      <c r="I10" s="454">
        <v>142544.35</v>
      </c>
      <c r="J10" s="454">
        <v>134572.49</v>
      </c>
      <c r="K10" s="454">
        <v>18061.8</v>
      </c>
      <c r="L10" s="454">
        <v>1299900.6000000001</v>
      </c>
      <c r="M10" s="344">
        <f t="shared" si="0"/>
        <v>6343262.290000001</v>
      </c>
      <c r="N10" s="458">
        <v>3983.1</v>
      </c>
      <c r="O10" s="458">
        <v>89720.1</v>
      </c>
      <c r="P10" s="458">
        <v>480860.2</v>
      </c>
      <c r="Q10" s="458">
        <v>5297.42</v>
      </c>
      <c r="R10" s="458">
        <v>482318</v>
      </c>
      <c r="S10" s="454">
        <v>10432.67</v>
      </c>
      <c r="T10" s="344">
        <f t="shared" si="1"/>
        <v>7415873.7800000003</v>
      </c>
      <c r="U10" s="456">
        <v>-33026.68</v>
      </c>
      <c r="V10" s="458"/>
      <c r="W10" s="458">
        <v>-9004.6</v>
      </c>
      <c r="X10" s="462">
        <v>73.5</v>
      </c>
      <c r="Y10" s="463">
        <v>1.5</v>
      </c>
      <c r="Z10" s="464">
        <v>1525</v>
      </c>
      <c r="AA10" s="527"/>
      <c r="AB10" s="469">
        <v>206469</v>
      </c>
      <c r="AC10" s="307">
        <f>AB10/VPI!R10</f>
        <v>2.579256649546203</v>
      </c>
      <c r="AD10" s="309">
        <f t="shared" si="2"/>
        <v>1511030</v>
      </c>
      <c r="AE10" s="307">
        <f>AD10/VPI!R10</f>
        <v>18.876122687492064</v>
      </c>
      <c r="AF10" s="469">
        <v>1717499</v>
      </c>
      <c r="AG10" s="469">
        <v>179508</v>
      </c>
      <c r="AH10" s="469">
        <v>62748</v>
      </c>
      <c r="AI10" s="528"/>
      <c r="AJ10" s="464"/>
      <c r="AK10" s="307">
        <f>AJ10/VPI!R10</f>
        <v>0</v>
      </c>
      <c r="AL10" s="309">
        <f t="shared" si="3"/>
        <v>5817</v>
      </c>
      <c r="AM10" s="307">
        <f>AL10/VPI!R10</f>
        <v>7.2667257217355938E-2</v>
      </c>
      <c r="AN10" s="464">
        <v>5817</v>
      </c>
      <c r="AO10" s="528"/>
      <c r="AP10" s="477">
        <v>27.451174297582522</v>
      </c>
      <c r="AR10" s="530">
        <v>0</v>
      </c>
    </row>
    <row r="11" spans="1:44" x14ac:dyDescent="0.25">
      <c r="A11" s="525">
        <v>5406</v>
      </c>
      <c r="B11" s="526" t="s">
        <v>103</v>
      </c>
      <c r="C11" s="454">
        <v>1192310.6399999999</v>
      </c>
      <c r="D11" s="454">
        <v>167461.26999999999</v>
      </c>
      <c r="E11" s="454"/>
      <c r="F11" s="455"/>
      <c r="G11" s="454">
        <v>108359.8</v>
      </c>
      <c r="H11" s="454">
        <v>5954.55</v>
      </c>
      <c r="I11" s="454"/>
      <c r="J11" s="454">
        <v>58937.440000000002</v>
      </c>
      <c r="K11" s="454">
        <v>10214.5</v>
      </c>
      <c r="L11" s="454">
        <v>209636.85</v>
      </c>
      <c r="M11" s="344">
        <f t="shared" si="0"/>
        <v>1752875.05</v>
      </c>
      <c r="N11" s="458">
        <v>13009.3</v>
      </c>
      <c r="O11" s="458">
        <v>138625</v>
      </c>
      <c r="P11" s="458">
        <v>36217.5</v>
      </c>
      <c r="Q11" s="458">
        <v>22311.08</v>
      </c>
      <c r="R11" s="458">
        <v>7574.2</v>
      </c>
      <c r="S11" s="454">
        <v>11099.64</v>
      </c>
      <c r="T11" s="344">
        <f t="shared" si="1"/>
        <v>1981711.77</v>
      </c>
      <c r="U11" s="456">
        <v>-35338.68</v>
      </c>
      <c r="V11" s="458"/>
      <c r="W11" s="458">
        <v>-51.85</v>
      </c>
      <c r="X11" s="462">
        <v>71.5</v>
      </c>
      <c r="Y11" s="463">
        <v>1.3</v>
      </c>
      <c r="Z11" s="464">
        <v>1014</v>
      </c>
      <c r="AA11" s="527"/>
      <c r="AB11" s="469">
        <v>125239</v>
      </c>
      <c r="AC11" s="307">
        <f>AB11/VPI!R11</f>
        <v>5.2596161106590635</v>
      </c>
      <c r="AD11" s="309">
        <f t="shared" si="2"/>
        <v>326713</v>
      </c>
      <c r="AE11" s="307">
        <f>AD11/VPI!R11</f>
        <v>13.72084541046922</v>
      </c>
      <c r="AF11" s="469">
        <v>451952</v>
      </c>
      <c r="AG11" s="469">
        <v>60348</v>
      </c>
      <c r="AH11" s="469">
        <v>40902</v>
      </c>
      <c r="AI11" s="528"/>
      <c r="AJ11" s="464"/>
      <c r="AK11" s="307">
        <f>AJ11/VPI!R11</f>
        <v>0</v>
      </c>
      <c r="AL11" s="309">
        <f t="shared" si="3"/>
        <v>22238</v>
      </c>
      <c r="AM11" s="307">
        <f>AL11/VPI!R11</f>
        <v>0.93392108743152091</v>
      </c>
      <c r="AN11" s="464">
        <v>22238</v>
      </c>
      <c r="AO11" s="528"/>
      <c r="AP11" s="477">
        <v>2.7369708124704069</v>
      </c>
      <c r="AR11" s="530">
        <v>0</v>
      </c>
    </row>
    <row r="12" spans="1:44" x14ac:dyDescent="0.25">
      <c r="A12" s="525">
        <v>5407</v>
      </c>
      <c r="B12" s="526" t="s">
        <v>104</v>
      </c>
      <c r="C12" s="454">
        <v>4385610.2300000004</v>
      </c>
      <c r="D12" s="454">
        <v>1117294.8600000001</v>
      </c>
      <c r="E12" s="454"/>
      <c r="F12" s="455"/>
      <c r="G12" s="454">
        <v>194419.75</v>
      </c>
      <c r="H12" s="454">
        <v>144470.15</v>
      </c>
      <c r="I12" s="454">
        <v>175347.8</v>
      </c>
      <c r="J12" s="454">
        <v>503978.57</v>
      </c>
      <c r="K12" s="454">
        <v>61928.85</v>
      </c>
      <c r="L12" s="454">
        <v>1345574.6</v>
      </c>
      <c r="M12" s="344">
        <f t="shared" si="0"/>
        <v>7928624.8100000005</v>
      </c>
      <c r="N12" s="458">
        <v>134794.54999999999</v>
      </c>
      <c r="O12" s="458">
        <v>8004.9</v>
      </c>
      <c r="P12" s="458">
        <v>545165.85</v>
      </c>
      <c r="Q12" s="458">
        <v>44529.74</v>
      </c>
      <c r="R12" s="458">
        <v>360795.5</v>
      </c>
      <c r="S12" s="454">
        <v>32905.360000000001</v>
      </c>
      <c r="T12" s="344">
        <f t="shared" si="1"/>
        <v>9054820.7100000009</v>
      </c>
      <c r="U12" s="456">
        <v>-193690.05</v>
      </c>
      <c r="V12" s="458"/>
      <c r="W12" s="458">
        <v>-7220.17</v>
      </c>
      <c r="X12" s="462">
        <v>78</v>
      </c>
      <c r="Y12" s="463">
        <v>1.5</v>
      </c>
      <c r="Z12" s="464">
        <v>3685</v>
      </c>
      <c r="AA12" s="527"/>
      <c r="AB12" s="469">
        <v>322525</v>
      </c>
      <c r="AC12" s="307">
        <f>AB12/VPI!R12</f>
        <v>3.4196320465070587</v>
      </c>
      <c r="AD12" s="309">
        <f t="shared" si="2"/>
        <v>1658815</v>
      </c>
      <c r="AE12" s="307">
        <f>AD12/VPI!R12</f>
        <v>17.587898405477425</v>
      </c>
      <c r="AF12" s="469">
        <v>1981340</v>
      </c>
      <c r="AG12" s="469">
        <v>550481</v>
      </c>
      <c r="AH12" s="469">
        <v>233050</v>
      </c>
      <c r="AI12" s="528"/>
      <c r="AJ12" s="464"/>
      <c r="AK12" s="307">
        <f>AJ12/VPI!R12</f>
        <v>0</v>
      </c>
      <c r="AL12" s="309">
        <f t="shared" si="3"/>
        <v>104345</v>
      </c>
      <c r="AM12" s="307">
        <f>AL12/VPI!R12</f>
        <v>1.1063375114883467</v>
      </c>
      <c r="AN12" s="464">
        <v>104345</v>
      </c>
      <c r="AO12" s="528"/>
      <c r="AP12" s="477">
        <v>-3.6385621401331463</v>
      </c>
      <c r="AR12" s="530">
        <v>0</v>
      </c>
    </row>
    <row r="13" spans="1:44" x14ac:dyDescent="0.25">
      <c r="A13" s="525">
        <v>5408</v>
      </c>
      <c r="B13" s="526" t="s">
        <v>105</v>
      </c>
      <c r="C13" s="454">
        <v>2268110.56</v>
      </c>
      <c r="D13" s="454">
        <v>353475.68</v>
      </c>
      <c r="E13" s="454"/>
      <c r="F13" s="455"/>
      <c r="G13" s="454">
        <v>38330</v>
      </c>
      <c r="H13" s="454">
        <v>23571.3</v>
      </c>
      <c r="I13" s="454"/>
      <c r="J13" s="454">
        <v>64627.26</v>
      </c>
      <c r="K13" s="454">
        <v>26194.75</v>
      </c>
      <c r="L13" s="454">
        <v>548316.1</v>
      </c>
      <c r="M13" s="344">
        <f t="shared" si="0"/>
        <v>3322625.65</v>
      </c>
      <c r="N13" s="458">
        <v>256359.85</v>
      </c>
      <c r="O13" s="458">
        <v>7543.6</v>
      </c>
      <c r="P13" s="458">
        <v>115042.6</v>
      </c>
      <c r="Q13" s="458">
        <v>361.86</v>
      </c>
      <c r="R13" s="458">
        <v>52371.45</v>
      </c>
      <c r="S13" s="454">
        <v>6010.46</v>
      </c>
      <c r="T13" s="344">
        <f t="shared" si="1"/>
        <v>3760315.47</v>
      </c>
      <c r="U13" s="456">
        <v>-13148.58</v>
      </c>
      <c r="V13" s="458"/>
      <c r="W13" s="458">
        <v>-2443.9</v>
      </c>
      <c r="X13" s="462">
        <v>75</v>
      </c>
      <c r="Y13" s="463">
        <v>1.5</v>
      </c>
      <c r="Z13" s="464">
        <v>1208</v>
      </c>
      <c r="AA13" s="527"/>
      <c r="AB13" s="469">
        <v>83245</v>
      </c>
      <c r="AC13" s="307">
        <f>AB13/VPI!R13</f>
        <v>1.9942848903964687</v>
      </c>
      <c r="AD13" s="309">
        <f t="shared" si="2"/>
        <v>-85365</v>
      </c>
      <c r="AE13" s="307">
        <f>AD13/VPI!R13</f>
        <v>-2.045073333758118</v>
      </c>
      <c r="AF13" s="469">
        <v>-2120</v>
      </c>
      <c r="AG13" s="469">
        <v>104516</v>
      </c>
      <c r="AH13" s="469">
        <v>35745</v>
      </c>
      <c r="AI13" s="528"/>
      <c r="AJ13" s="464"/>
      <c r="AK13" s="307">
        <f>AJ13/VPI!R13</f>
        <v>0</v>
      </c>
      <c r="AL13" s="309">
        <f t="shared" si="3"/>
        <v>100766</v>
      </c>
      <c r="AM13" s="307">
        <f>AL13/VPI!R13</f>
        <v>2.4140322093301769</v>
      </c>
      <c r="AN13" s="464">
        <v>100766</v>
      </c>
      <c r="AO13" s="528"/>
      <c r="AP13" s="477">
        <v>15.693561614340737</v>
      </c>
      <c r="AR13" s="530">
        <v>0</v>
      </c>
    </row>
    <row r="14" spans="1:44" x14ac:dyDescent="0.25">
      <c r="A14" s="525">
        <v>5409</v>
      </c>
      <c r="B14" s="526" t="s">
        <v>106</v>
      </c>
      <c r="C14" s="454">
        <v>15760493.369999999</v>
      </c>
      <c r="D14" s="454">
        <v>6318412.8099999996</v>
      </c>
      <c r="E14" s="454"/>
      <c r="F14" s="455"/>
      <c r="G14" s="454">
        <v>686772.95</v>
      </c>
      <c r="H14" s="454">
        <v>74937.45</v>
      </c>
      <c r="I14" s="454">
        <v>2261670.7999999998</v>
      </c>
      <c r="J14" s="454">
        <v>834783.01</v>
      </c>
      <c r="K14" s="454">
        <v>83948.25</v>
      </c>
      <c r="L14" s="454">
        <v>4480093.7</v>
      </c>
      <c r="M14" s="344">
        <f t="shared" si="0"/>
        <v>30501112.34</v>
      </c>
      <c r="N14" s="458">
        <v>123954.6</v>
      </c>
      <c r="O14" s="458">
        <v>766158.5</v>
      </c>
      <c r="P14" s="458">
        <v>2284060</v>
      </c>
      <c r="Q14" s="458">
        <v>55137.14</v>
      </c>
      <c r="R14" s="458">
        <v>1816352.8</v>
      </c>
      <c r="S14" s="454">
        <v>73889.289999999994</v>
      </c>
      <c r="T14" s="344">
        <f t="shared" si="1"/>
        <v>35620664.669999994</v>
      </c>
      <c r="U14" s="456">
        <v>-233403.12</v>
      </c>
      <c r="V14" s="458"/>
      <c r="W14" s="458">
        <v>-142654.78</v>
      </c>
      <c r="X14" s="462">
        <v>68</v>
      </c>
      <c r="Y14" s="463">
        <v>1.3</v>
      </c>
      <c r="Z14" s="464">
        <v>8222</v>
      </c>
      <c r="AA14" s="527"/>
      <c r="AB14" s="469">
        <v>806409</v>
      </c>
      <c r="AC14" s="307">
        <f>AB14/VPI!R14</f>
        <v>1.8766397022953989</v>
      </c>
      <c r="AD14" s="309">
        <f t="shared" si="2"/>
        <v>4233182</v>
      </c>
      <c r="AE14" s="307">
        <f>AD14/VPI!R14</f>
        <v>9.851275727629826</v>
      </c>
      <c r="AF14" s="469">
        <v>5039591</v>
      </c>
      <c r="AG14" s="469">
        <v>2056006</v>
      </c>
      <c r="AH14" s="469">
        <v>331853</v>
      </c>
      <c r="AI14" s="528"/>
      <c r="AJ14" s="464">
        <v>46546</v>
      </c>
      <c r="AK14" s="307">
        <f>AJ14/VPI!R14</f>
        <v>0.10831981238185788</v>
      </c>
      <c r="AL14" s="309">
        <f t="shared" si="3"/>
        <v>1440812</v>
      </c>
      <c r="AM14" s="307">
        <f>AL14/VPI!R14</f>
        <v>3.352994575635488</v>
      </c>
      <c r="AN14" s="464">
        <v>1487358</v>
      </c>
      <c r="AO14" s="528"/>
      <c r="AP14" s="477">
        <v>22.169824797496087</v>
      </c>
      <c r="AR14" s="530">
        <v>1</v>
      </c>
    </row>
    <row r="15" spans="1:44" x14ac:dyDescent="0.25">
      <c r="A15" s="525">
        <v>5410</v>
      </c>
      <c r="B15" s="526" t="s">
        <v>116</v>
      </c>
      <c r="C15" s="454">
        <v>1943729.38</v>
      </c>
      <c r="D15" s="454">
        <v>561014.43000000005</v>
      </c>
      <c r="E15" s="454"/>
      <c r="F15" s="455"/>
      <c r="G15" s="454">
        <v>51912.85</v>
      </c>
      <c r="H15" s="454">
        <v>11137.35</v>
      </c>
      <c r="I15" s="454"/>
      <c r="J15" s="454">
        <v>75632.97</v>
      </c>
      <c r="K15" s="454">
        <v>12130.5</v>
      </c>
      <c r="L15" s="454">
        <v>618969.75</v>
      </c>
      <c r="M15" s="344">
        <f t="shared" si="0"/>
        <v>3274527.2300000004</v>
      </c>
      <c r="N15" s="458">
        <v>22144.5</v>
      </c>
      <c r="O15" s="458">
        <v>86264.5</v>
      </c>
      <c r="P15" s="458">
        <v>191094.6</v>
      </c>
      <c r="Q15" s="458">
        <v>813.34</v>
      </c>
      <c r="R15" s="458">
        <v>188240.35</v>
      </c>
      <c r="S15" s="454">
        <v>6122.02</v>
      </c>
      <c r="T15" s="344">
        <f t="shared" si="1"/>
        <v>3769206.5400000005</v>
      </c>
      <c r="U15" s="456">
        <v>-36367.56</v>
      </c>
      <c r="V15" s="458"/>
      <c r="W15" s="458">
        <v>-249.1</v>
      </c>
      <c r="X15" s="462">
        <v>77</v>
      </c>
      <c r="Y15" s="463">
        <v>1.5</v>
      </c>
      <c r="Z15" s="464">
        <v>1244</v>
      </c>
      <c r="AA15" s="527"/>
      <c r="AB15" s="469">
        <v>270947</v>
      </c>
      <c r="AC15" s="307">
        <f>AB15/VPI!R15</f>
        <v>6.8661389751416957</v>
      </c>
      <c r="AD15" s="309">
        <f t="shared" si="2"/>
        <v>2288485</v>
      </c>
      <c r="AE15" s="307">
        <f>AD15/VPI!R15</f>
        <v>57.993098475078682</v>
      </c>
      <c r="AF15" s="469">
        <v>2559432</v>
      </c>
      <c r="AG15" s="469">
        <v>143016</v>
      </c>
      <c r="AH15" s="469">
        <v>70645</v>
      </c>
      <c r="AI15" s="528"/>
      <c r="AJ15" s="464"/>
      <c r="AK15" s="307">
        <f>AJ15/VPI!R15</f>
        <v>0</v>
      </c>
      <c r="AL15" s="309">
        <f t="shared" si="3"/>
        <v>100943</v>
      </c>
      <c r="AM15" s="307">
        <f>AL15/VPI!R15</f>
        <v>2.5580230324296935</v>
      </c>
      <c r="AN15" s="464">
        <v>100943</v>
      </c>
      <c r="AO15" s="528"/>
      <c r="AP15" s="477">
        <v>10.188620381379245</v>
      </c>
      <c r="AR15" s="530">
        <v>0</v>
      </c>
    </row>
    <row r="16" spans="1:44" x14ac:dyDescent="0.25">
      <c r="A16" s="525">
        <v>5411</v>
      </c>
      <c r="B16" s="526" t="s">
        <v>117</v>
      </c>
      <c r="C16" s="454">
        <v>3514374.64</v>
      </c>
      <c r="D16" s="454">
        <v>1403606.1</v>
      </c>
      <c r="E16" s="454"/>
      <c r="F16" s="455"/>
      <c r="G16" s="454">
        <v>86121.25</v>
      </c>
      <c r="H16" s="454">
        <v>12474.45</v>
      </c>
      <c r="I16" s="454">
        <v>214890.85</v>
      </c>
      <c r="J16" s="454">
        <v>198326.04</v>
      </c>
      <c r="K16" s="454">
        <v>2009.4</v>
      </c>
      <c r="L16" s="454">
        <v>1344570.05</v>
      </c>
      <c r="M16" s="344">
        <f t="shared" si="0"/>
        <v>6776372.7800000003</v>
      </c>
      <c r="N16" s="458">
        <v>10064.65</v>
      </c>
      <c r="O16" s="458">
        <v>157714.20000000001</v>
      </c>
      <c r="P16" s="458">
        <v>412198.40000000002</v>
      </c>
      <c r="Q16" s="458"/>
      <c r="R16" s="458">
        <v>424402.3</v>
      </c>
      <c r="S16" s="454">
        <v>9573.4</v>
      </c>
      <c r="T16" s="344">
        <f t="shared" si="1"/>
        <v>7790325.7300000014</v>
      </c>
      <c r="U16" s="456">
        <v>-34725.78</v>
      </c>
      <c r="V16" s="458"/>
      <c r="W16" s="458">
        <v>-12238.14</v>
      </c>
      <c r="X16" s="462">
        <v>76</v>
      </c>
      <c r="Y16" s="463">
        <v>1.5</v>
      </c>
      <c r="Z16" s="464">
        <v>1435</v>
      </c>
      <c r="AA16" s="527"/>
      <c r="AB16" s="469">
        <v>281212</v>
      </c>
      <c r="AC16" s="307">
        <f>AB16/VPI!R16</f>
        <v>3.3973641432283981</v>
      </c>
      <c r="AD16" s="309">
        <f t="shared" si="2"/>
        <v>845732</v>
      </c>
      <c r="AE16" s="307">
        <f>AD16/VPI!R16</f>
        <v>10.217414518515708</v>
      </c>
      <c r="AF16" s="469">
        <v>1126944</v>
      </c>
      <c r="AG16" s="469">
        <v>168525</v>
      </c>
      <c r="AH16" s="469">
        <v>80998</v>
      </c>
      <c r="AI16" s="528"/>
      <c r="AJ16" s="464"/>
      <c r="AK16" s="307">
        <f>AJ16/VPI!R16</f>
        <v>0</v>
      </c>
      <c r="AL16" s="309">
        <f t="shared" si="3"/>
        <v>127750</v>
      </c>
      <c r="AM16" s="307">
        <f>AL16/VPI!R16</f>
        <v>1.5433668168407744</v>
      </c>
      <c r="AN16" s="464">
        <v>127750</v>
      </c>
      <c r="AO16" s="528"/>
      <c r="AP16" s="477">
        <v>28.790140244637172</v>
      </c>
      <c r="AR16" s="530">
        <v>0</v>
      </c>
    </row>
    <row r="17" spans="1:44" x14ac:dyDescent="0.25">
      <c r="A17" s="525">
        <v>5412</v>
      </c>
      <c r="B17" s="526" t="s">
        <v>118</v>
      </c>
      <c r="C17" s="454">
        <v>1219560.77</v>
      </c>
      <c r="D17" s="454">
        <v>138483.26</v>
      </c>
      <c r="E17" s="454"/>
      <c r="F17" s="455"/>
      <c r="G17" s="454">
        <v>243174.5</v>
      </c>
      <c r="H17" s="454">
        <v>10071.200000000001</v>
      </c>
      <c r="I17" s="454"/>
      <c r="J17" s="454">
        <v>99549.21</v>
      </c>
      <c r="K17" s="454">
        <v>43857.45</v>
      </c>
      <c r="L17" s="454">
        <v>296277.2</v>
      </c>
      <c r="M17" s="344">
        <f t="shared" si="0"/>
        <v>2050973.5899999999</v>
      </c>
      <c r="N17" s="458">
        <v>1405262.2</v>
      </c>
      <c r="O17" s="458">
        <v>6065.2</v>
      </c>
      <c r="P17" s="458">
        <v>213499</v>
      </c>
      <c r="Q17" s="458">
        <v>7120.72</v>
      </c>
      <c r="R17" s="458">
        <v>94919.8</v>
      </c>
      <c r="S17" s="454">
        <v>24589.52</v>
      </c>
      <c r="T17" s="344">
        <f t="shared" si="1"/>
        <v>3802430.0300000003</v>
      </c>
      <c r="U17" s="456">
        <v>-19022.009999999998</v>
      </c>
      <c r="V17" s="458"/>
      <c r="W17" s="458">
        <v>-512.45000000000005</v>
      </c>
      <c r="X17" s="462">
        <v>66</v>
      </c>
      <c r="Y17" s="463">
        <v>1</v>
      </c>
      <c r="Z17" s="464">
        <v>949</v>
      </c>
      <c r="AA17" s="527"/>
      <c r="AB17" s="469">
        <v>85431</v>
      </c>
      <c r="AC17" s="307">
        <f>AB17/VPI!R17</f>
        <v>2.732931547268437</v>
      </c>
      <c r="AD17" s="309">
        <f t="shared" si="2"/>
        <v>197856</v>
      </c>
      <c r="AE17" s="307">
        <f>AD17/VPI!R17</f>
        <v>6.3293992135915982</v>
      </c>
      <c r="AF17" s="469">
        <v>283287</v>
      </c>
      <c r="AG17" s="469">
        <v>82196</v>
      </c>
      <c r="AH17" s="469">
        <v>27724</v>
      </c>
      <c r="AI17" s="528"/>
      <c r="AJ17" s="464"/>
      <c r="AK17" s="307">
        <f>AJ17/VPI!R17</f>
        <v>0</v>
      </c>
      <c r="AL17" s="309">
        <f t="shared" si="3"/>
        <v>47770</v>
      </c>
      <c r="AM17" s="307">
        <f>AL17/VPI!R17</f>
        <v>1.5281588652013114</v>
      </c>
      <c r="AN17" s="464">
        <v>47770</v>
      </c>
      <c r="AO17" s="528"/>
      <c r="AP17" s="477">
        <v>15.524100006984156</v>
      </c>
      <c r="AR17" s="530">
        <v>0</v>
      </c>
    </row>
    <row r="18" spans="1:44" x14ac:dyDescent="0.25">
      <c r="A18" s="525">
        <v>5413</v>
      </c>
      <c r="B18" s="526" t="s">
        <v>119</v>
      </c>
      <c r="C18" s="454">
        <v>1941409.73</v>
      </c>
      <c r="D18" s="454">
        <v>262468.46999999997</v>
      </c>
      <c r="E18" s="454"/>
      <c r="F18" s="455"/>
      <c r="G18" s="454">
        <v>189728.95</v>
      </c>
      <c r="H18" s="454">
        <v>5903.4</v>
      </c>
      <c r="I18" s="454"/>
      <c r="J18" s="454">
        <v>117947</v>
      </c>
      <c r="K18" s="454">
        <v>37395.75</v>
      </c>
      <c r="L18" s="454">
        <v>394211.85</v>
      </c>
      <c r="M18" s="344">
        <f t="shared" si="0"/>
        <v>2949065.1500000004</v>
      </c>
      <c r="N18" s="458">
        <v>430564.5</v>
      </c>
      <c r="O18" s="458">
        <v>26970.7</v>
      </c>
      <c r="P18" s="458">
        <v>229331.25</v>
      </c>
      <c r="Q18" s="458">
        <v>15520.37</v>
      </c>
      <c r="R18" s="458">
        <v>407845.9</v>
      </c>
      <c r="S18" s="454">
        <v>18974.37</v>
      </c>
      <c r="T18" s="344">
        <f t="shared" si="1"/>
        <v>4078272.2400000007</v>
      </c>
      <c r="U18" s="456">
        <v>-77214.77</v>
      </c>
      <c r="V18" s="458"/>
      <c r="W18" s="458">
        <v>-407.93</v>
      </c>
      <c r="X18" s="462">
        <v>68</v>
      </c>
      <c r="Y18" s="463">
        <v>1.2</v>
      </c>
      <c r="Z18" s="464">
        <v>1996</v>
      </c>
      <c r="AA18" s="527"/>
      <c r="AB18" s="469">
        <v>43118</v>
      </c>
      <c r="AC18" s="307">
        <f>AB18/VPI!R18</f>
        <v>1.0323173181274705</v>
      </c>
      <c r="AD18" s="309">
        <f t="shared" si="2"/>
        <v>123506</v>
      </c>
      <c r="AE18" s="307">
        <f>AD18/VPI!R18</f>
        <v>2.9569410151827862</v>
      </c>
      <c r="AF18" s="469">
        <v>166624</v>
      </c>
      <c r="AG18" s="469">
        <v>289043</v>
      </c>
      <c r="AH18" s="469">
        <v>63883</v>
      </c>
      <c r="AI18" s="528"/>
      <c r="AJ18" s="464"/>
      <c r="AK18" s="307">
        <f>AJ18/VPI!R18</f>
        <v>0</v>
      </c>
      <c r="AL18" s="309">
        <f t="shared" si="3"/>
        <v>16546</v>
      </c>
      <c r="AM18" s="307">
        <f>AL18/VPI!R18</f>
        <v>0.3961390218873122</v>
      </c>
      <c r="AN18" s="464">
        <v>16546</v>
      </c>
      <c r="AO18" s="528"/>
      <c r="AP18" s="477">
        <v>-5.865753482322603</v>
      </c>
      <c r="AR18" s="530">
        <v>0</v>
      </c>
    </row>
    <row r="19" spans="1:44" x14ac:dyDescent="0.25">
      <c r="A19" s="525">
        <v>5414</v>
      </c>
      <c r="B19" s="526" t="s">
        <v>120</v>
      </c>
      <c r="C19" s="454">
        <v>7547327.6699999999</v>
      </c>
      <c r="D19" s="454">
        <v>1263837.3500000001</v>
      </c>
      <c r="E19" s="454"/>
      <c r="F19" s="455"/>
      <c r="G19" s="454">
        <v>763275.45</v>
      </c>
      <c r="H19" s="454">
        <v>212099.55</v>
      </c>
      <c r="I19" s="454">
        <v>-20362.099999999999</v>
      </c>
      <c r="J19" s="454">
        <v>383750.22</v>
      </c>
      <c r="K19" s="454">
        <v>232925.45</v>
      </c>
      <c r="L19" s="454">
        <v>1350465.4</v>
      </c>
      <c r="M19" s="344">
        <f t="shared" si="0"/>
        <v>11733318.99</v>
      </c>
      <c r="N19" s="458">
        <v>1288832.95</v>
      </c>
      <c r="O19" s="458">
        <v>174479.9</v>
      </c>
      <c r="P19" s="458">
        <v>749547.2</v>
      </c>
      <c r="Q19" s="458">
        <v>68913.53</v>
      </c>
      <c r="R19" s="458">
        <v>385691.05</v>
      </c>
      <c r="S19" s="454">
        <v>94705.86</v>
      </c>
      <c r="T19" s="344">
        <f t="shared" si="1"/>
        <v>14495489.479999999</v>
      </c>
      <c r="U19" s="456">
        <v>-189093.93</v>
      </c>
      <c r="V19" s="458"/>
      <c r="W19" s="458">
        <v>-4172.68</v>
      </c>
      <c r="X19" s="462">
        <v>66.5</v>
      </c>
      <c r="Y19" s="463">
        <v>1</v>
      </c>
      <c r="Z19" s="464">
        <v>6039</v>
      </c>
      <c r="AA19" s="527"/>
      <c r="AB19" s="469">
        <v>583405</v>
      </c>
      <c r="AC19" s="307">
        <f>AB19/VPI!R19</f>
        <v>3.3148941001102599</v>
      </c>
      <c r="AD19" s="309">
        <f t="shared" si="2"/>
        <v>2081666</v>
      </c>
      <c r="AE19" s="307">
        <f>AD19/VPI!R19</f>
        <v>11.827979434184014</v>
      </c>
      <c r="AF19" s="469">
        <v>2665071</v>
      </c>
      <c r="AG19" s="469">
        <v>1591082</v>
      </c>
      <c r="AH19" s="469">
        <v>175098</v>
      </c>
      <c r="AI19" s="528"/>
      <c r="AJ19" s="464">
        <v>44297</v>
      </c>
      <c r="AK19" s="307">
        <f>AJ19/VPI!R19</f>
        <v>0.25169455858723216</v>
      </c>
      <c r="AL19" s="309">
        <f t="shared" si="3"/>
        <v>321492</v>
      </c>
      <c r="AM19" s="307">
        <f>AL19/VPI!R19</f>
        <v>1.8267103196452683</v>
      </c>
      <c r="AN19" s="464">
        <v>365789</v>
      </c>
      <c r="AO19" s="528"/>
      <c r="AP19" s="477">
        <v>6.714347029517624</v>
      </c>
      <c r="AR19" s="530">
        <v>0</v>
      </c>
    </row>
    <row r="20" spans="1:44" x14ac:dyDescent="0.25">
      <c r="A20" s="525">
        <v>5415</v>
      </c>
      <c r="B20" s="526" t="s">
        <v>66</v>
      </c>
      <c r="C20" s="454">
        <v>1856488.52</v>
      </c>
      <c r="D20" s="454">
        <v>380684.05</v>
      </c>
      <c r="E20" s="454"/>
      <c r="F20" s="455"/>
      <c r="G20" s="454">
        <v>64924.5</v>
      </c>
      <c r="H20" s="454">
        <v>10938.75</v>
      </c>
      <c r="I20" s="454">
        <v>468.65</v>
      </c>
      <c r="J20" s="454">
        <v>48385.09</v>
      </c>
      <c r="K20" s="454">
        <v>25126.7</v>
      </c>
      <c r="L20" s="454">
        <v>406272.4</v>
      </c>
      <c r="M20" s="344">
        <f t="shared" si="0"/>
        <v>2793288.6599999997</v>
      </c>
      <c r="N20" s="458">
        <v>52264.4</v>
      </c>
      <c r="O20" s="458">
        <v>9274.9</v>
      </c>
      <c r="P20" s="458">
        <v>55399.1</v>
      </c>
      <c r="Q20" s="458">
        <v>27307.75</v>
      </c>
      <c r="R20" s="458">
        <v>64721.7</v>
      </c>
      <c r="S20" s="454">
        <v>7366.13</v>
      </c>
      <c r="T20" s="344">
        <f t="shared" si="1"/>
        <v>3009622.6399999997</v>
      </c>
      <c r="U20" s="456">
        <v>-53381.33</v>
      </c>
      <c r="V20" s="458"/>
      <c r="W20" s="458">
        <v>-1883.1</v>
      </c>
      <c r="X20" s="462">
        <v>71.5</v>
      </c>
      <c r="Y20" s="463">
        <v>1.5</v>
      </c>
      <c r="Z20" s="464">
        <v>1110</v>
      </c>
      <c r="AA20" s="527"/>
      <c r="AB20" s="469">
        <v>29853</v>
      </c>
      <c r="AC20" s="307">
        <f>AB20/VPI!R20</f>
        <v>0.80935447696558571</v>
      </c>
      <c r="AD20" s="309">
        <f t="shared" si="2"/>
        <v>286768</v>
      </c>
      <c r="AE20" s="307">
        <f>AD20/VPI!R20</f>
        <v>7.7746613288603186</v>
      </c>
      <c r="AF20" s="469">
        <v>316621</v>
      </c>
      <c r="AG20" s="469">
        <v>174024</v>
      </c>
      <c r="AH20" s="469">
        <v>205378</v>
      </c>
      <c r="AI20" s="528"/>
      <c r="AJ20" s="464"/>
      <c r="AK20" s="307">
        <f>AJ20/VPI!R20</f>
        <v>0</v>
      </c>
      <c r="AL20" s="309">
        <f t="shared" si="3"/>
        <v>47670</v>
      </c>
      <c r="AM20" s="307">
        <f>AL20/VPI!R20</f>
        <v>1.2923970092436095</v>
      </c>
      <c r="AN20" s="464">
        <v>47670</v>
      </c>
      <c r="AO20" s="528"/>
      <c r="AP20" s="477">
        <v>16.124622382405779</v>
      </c>
      <c r="AR20" s="530">
        <v>0</v>
      </c>
    </row>
    <row r="21" spans="1:44" x14ac:dyDescent="0.25">
      <c r="A21" s="525">
        <v>5422</v>
      </c>
      <c r="B21" s="526" t="s">
        <v>67</v>
      </c>
      <c r="C21" s="454">
        <v>11561440.810000001</v>
      </c>
      <c r="D21" s="454">
        <v>1559577.77</v>
      </c>
      <c r="E21" s="454"/>
      <c r="F21" s="455"/>
      <c r="G21" s="454">
        <v>8605845.4499999993</v>
      </c>
      <c r="H21" s="454">
        <v>681079.25</v>
      </c>
      <c r="I21" s="454">
        <v>101327.18</v>
      </c>
      <c r="J21" s="454">
        <v>340515.75</v>
      </c>
      <c r="K21" s="454">
        <v>143845.1</v>
      </c>
      <c r="L21" s="454">
        <v>1205312.6499999999</v>
      </c>
      <c r="M21" s="344">
        <f t="shared" si="0"/>
        <v>24198943.960000001</v>
      </c>
      <c r="N21" s="458">
        <v>886986.7</v>
      </c>
      <c r="O21" s="458">
        <v>319074.5</v>
      </c>
      <c r="P21" s="458">
        <v>421318.35</v>
      </c>
      <c r="Q21" s="458">
        <v>5179.3599999999997</v>
      </c>
      <c r="R21" s="458">
        <v>226371.95</v>
      </c>
      <c r="S21" s="454">
        <v>901703.17</v>
      </c>
      <c r="T21" s="344">
        <f t="shared" si="1"/>
        <v>26959577.990000002</v>
      </c>
      <c r="U21" s="456">
        <v>-90375.5</v>
      </c>
      <c r="V21" s="458"/>
      <c r="W21" s="458">
        <v>-7643.3</v>
      </c>
      <c r="X21" s="462">
        <v>68</v>
      </c>
      <c r="Y21" s="463">
        <v>1</v>
      </c>
      <c r="Z21" s="464">
        <v>3862</v>
      </c>
      <c r="AA21" s="527"/>
      <c r="AB21" s="469">
        <v>181015</v>
      </c>
      <c r="AC21" s="307">
        <f>AB21/VPI!R21</f>
        <v>0.49220707998814595</v>
      </c>
      <c r="AD21" s="309">
        <f t="shared" si="2"/>
        <v>1560557</v>
      </c>
      <c r="AE21" s="307">
        <f>AD21/VPI!R21</f>
        <v>4.2433897971165981</v>
      </c>
      <c r="AF21" s="469">
        <v>1741572</v>
      </c>
      <c r="AG21" s="469">
        <v>198128</v>
      </c>
      <c r="AH21" s="469">
        <v>432888</v>
      </c>
      <c r="AI21" s="528"/>
      <c r="AJ21" s="464"/>
      <c r="AK21" s="307">
        <f>AJ21/VPI!R21</f>
        <v>0</v>
      </c>
      <c r="AL21" s="309">
        <f t="shared" si="3"/>
        <v>75777</v>
      </c>
      <c r="AM21" s="307">
        <f>AL21/VPI!R21</f>
        <v>0.20604908930343749</v>
      </c>
      <c r="AN21" s="464">
        <v>75777</v>
      </c>
      <c r="AO21" s="528"/>
      <c r="AP21" s="477">
        <v>40.962663879480942</v>
      </c>
      <c r="AR21" s="530">
        <v>0</v>
      </c>
    </row>
    <row r="22" spans="1:44" x14ac:dyDescent="0.25">
      <c r="A22" s="525">
        <v>5423</v>
      </c>
      <c r="B22" s="526" t="s">
        <v>68</v>
      </c>
      <c r="C22" s="454">
        <v>924461.11</v>
      </c>
      <c r="D22" s="454">
        <v>146217.79</v>
      </c>
      <c r="E22" s="454"/>
      <c r="F22" s="455"/>
      <c r="G22" s="454">
        <v>21216.45</v>
      </c>
      <c r="H22" s="454">
        <v>618.4</v>
      </c>
      <c r="I22" s="454"/>
      <c r="J22" s="454">
        <v>45017.66</v>
      </c>
      <c r="K22" s="454">
        <v>2926.85</v>
      </c>
      <c r="L22" s="454">
        <v>43873.8</v>
      </c>
      <c r="M22" s="344">
        <f t="shared" si="0"/>
        <v>1184332.0599999998</v>
      </c>
      <c r="N22" s="458">
        <v>22588.9</v>
      </c>
      <c r="O22" s="458">
        <v>7.4</v>
      </c>
      <c r="P22" s="458">
        <v>52125.3</v>
      </c>
      <c r="Q22" s="458">
        <v>203.36</v>
      </c>
      <c r="R22" s="458">
        <v>3043.5</v>
      </c>
      <c r="S22" s="454">
        <v>2120.11</v>
      </c>
      <c r="T22" s="344">
        <f t="shared" si="1"/>
        <v>1264420.6299999999</v>
      </c>
      <c r="U22" s="456">
        <v>-23866.16</v>
      </c>
      <c r="V22" s="458"/>
      <c r="W22" s="458">
        <v>-244.8</v>
      </c>
      <c r="X22" s="462">
        <v>73</v>
      </c>
      <c r="Y22" s="463">
        <v>0.5</v>
      </c>
      <c r="Z22" s="464">
        <v>579</v>
      </c>
      <c r="AA22" s="527"/>
      <c r="AB22" s="469">
        <v>34797</v>
      </c>
      <c r="AC22" s="307">
        <f>AB22/VPI!R22</f>
        <v>2.1055556373863902</v>
      </c>
      <c r="AD22" s="309">
        <f t="shared" si="2"/>
        <v>171689</v>
      </c>
      <c r="AE22" s="307">
        <f>AD22/VPI!R22</f>
        <v>10.388847941697041</v>
      </c>
      <c r="AF22" s="469">
        <v>206486</v>
      </c>
      <c r="AG22" s="469">
        <v>64257</v>
      </c>
      <c r="AH22" s="469">
        <v>82212</v>
      </c>
      <c r="AI22" s="528"/>
      <c r="AJ22" s="464"/>
      <c r="AK22" s="307">
        <f>AJ22/VPI!R22</f>
        <v>0</v>
      </c>
      <c r="AL22" s="309">
        <f t="shared" si="3"/>
        <v>42678</v>
      </c>
      <c r="AM22" s="307">
        <f>AL22/VPI!R22</f>
        <v>2.5824324939614436</v>
      </c>
      <c r="AN22" s="464">
        <v>42678</v>
      </c>
      <c r="AO22" s="528"/>
      <c r="AP22" s="477">
        <v>13.274161888132589</v>
      </c>
      <c r="AR22" s="530">
        <v>0</v>
      </c>
    </row>
    <row r="23" spans="1:44" x14ac:dyDescent="0.25">
      <c r="A23" s="525">
        <v>5424</v>
      </c>
      <c r="B23" s="526" t="s">
        <v>69</v>
      </c>
      <c r="C23" s="454">
        <v>531310.99</v>
      </c>
      <c r="D23" s="454">
        <v>115549.24</v>
      </c>
      <c r="E23" s="454"/>
      <c r="F23" s="455"/>
      <c r="G23" s="454">
        <v>2245.65</v>
      </c>
      <c r="H23" s="454">
        <v>437.85</v>
      </c>
      <c r="I23" s="454">
        <v>43727.75</v>
      </c>
      <c r="J23" s="454">
        <v>4493.2700000000004</v>
      </c>
      <c r="K23" s="454">
        <v>766</v>
      </c>
      <c r="L23" s="454">
        <v>55166.35</v>
      </c>
      <c r="M23" s="344">
        <f t="shared" si="0"/>
        <v>753697.1</v>
      </c>
      <c r="N23" s="458">
        <v>0</v>
      </c>
      <c r="O23" s="458"/>
      <c r="P23" s="458">
        <v>41085</v>
      </c>
      <c r="Q23" s="458">
        <v>1746.24</v>
      </c>
      <c r="R23" s="458">
        <v>22123</v>
      </c>
      <c r="S23" s="454">
        <v>260.56</v>
      </c>
      <c r="T23" s="344">
        <f t="shared" si="1"/>
        <v>818911.9</v>
      </c>
      <c r="U23" s="456">
        <v>-19471.919999999998</v>
      </c>
      <c r="V23" s="458"/>
      <c r="W23" s="458">
        <v>-1160.55</v>
      </c>
      <c r="X23" s="462">
        <v>75.5</v>
      </c>
      <c r="Y23" s="463">
        <v>1</v>
      </c>
      <c r="Z23" s="464">
        <v>303</v>
      </c>
      <c r="AA23" s="527"/>
      <c r="AB23" s="469">
        <v>23653</v>
      </c>
      <c r="AC23" s="307">
        <f>AB23/VPI!R23</f>
        <v>2.4294258042378281</v>
      </c>
      <c r="AD23" s="309">
        <f t="shared" si="2"/>
        <v>44511</v>
      </c>
      <c r="AE23" s="307">
        <f>AD23/VPI!R23</f>
        <v>4.5717740655489774</v>
      </c>
      <c r="AF23" s="469">
        <v>68164</v>
      </c>
      <c r="AG23" s="469">
        <v>13566</v>
      </c>
      <c r="AH23" s="469">
        <v>48346</v>
      </c>
      <c r="AI23" s="528"/>
      <c r="AJ23" s="464">
        <v>49350</v>
      </c>
      <c r="AK23" s="307">
        <f>AJ23/VPI!R23</f>
        <v>5.0687931103511943</v>
      </c>
      <c r="AL23" s="309">
        <f t="shared" si="3"/>
        <v>39656</v>
      </c>
      <c r="AM23" s="307">
        <f>AL23/VPI!R23</f>
        <v>4.0731116430412762</v>
      </c>
      <c r="AN23" s="464">
        <v>89006</v>
      </c>
      <c r="AO23" s="528"/>
      <c r="AP23" s="477">
        <v>15.667545927026868</v>
      </c>
      <c r="AR23" s="530">
        <v>0</v>
      </c>
    </row>
    <row r="24" spans="1:44" x14ac:dyDescent="0.25">
      <c r="A24" s="525">
        <v>5425</v>
      </c>
      <c r="B24" s="526" t="s">
        <v>70</v>
      </c>
      <c r="C24" s="454">
        <v>2260553.27</v>
      </c>
      <c r="D24" s="454">
        <v>299564.74</v>
      </c>
      <c r="E24" s="454"/>
      <c r="F24" s="455"/>
      <c r="G24" s="454">
        <v>174781.45</v>
      </c>
      <c r="H24" s="454">
        <v>5609.7</v>
      </c>
      <c r="I24" s="454"/>
      <c r="J24" s="454">
        <v>140620.87</v>
      </c>
      <c r="K24" s="454">
        <v>19366.849999999999</v>
      </c>
      <c r="L24" s="454">
        <v>139594.15</v>
      </c>
      <c r="M24" s="344">
        <f t="shared" si="0"/>
        <v>3040091.0300000003</v>
      </c>
      <c r="N24" s="458">
        <v>98968.25</v>
      </c>
      <c r="O24" s="458">
        <v>44470.2</v>
      </c>
      <c r="P24" s="458">
        <v>84247.7</v>
      </c>
      <c r="Q24" s="458">
        <v>5975.36</v>
      </c>
      <c r="R24" s="458">
        <v>123095</v>
      </c>
      <c r="S24" s="454">
        <v>17515.53</v>
      </c>
      <c r="T24" s="344">
        <f t="shared" si="1"/>
        <v>3414363.0700000003</v>
      </c>
      <c r="U24" s="456">
        <v>-69246.740000000005</v>
      </c>
      <c r="V24" s="458"/>
      <c r="W24" s="458">
        <v>-154.55000000000001</v>
      </c>
      <c r="X24" s="462">
        <v>69</v>
      </c>
      <c r="Y24" s="463">
        <v>0.57999999999999996</v>
      </c>
      <c r="Z24" s="464">
        <v>1680</v>
      </c>
      <c r="AA24" s="527"/>
      <c r="AB24" s="469">
        <v>155424</v>
      </c>
      <c r="AC24" s="307">
        <f>AB24/VPI!R24</f>
        <v>3.4647283400999411</v>
      </c>
      <c r="AD24" s="309">
        <f t="shared" si="2"/>
        <v>544851</v>
      </c>
      <c r="AE24" s="307">
        <f>AD24/VPI!R24</f>
        <v>12.145876446570627</v>
      </c>
      <c r="AF24" s="469">
        <v>700275</v>
      </c>
      <c r="AG24" s="469">
        <v>191543</v>
      </c>
      <c r="AH24" s="469">
        <v>257870</v>
      </c>
      <c r="AI24" s="528"/>
      <c r="AJ24" s="464"/>
      <c r="AK24" s="307">
        <f>AJ24/VPI!R24</f>
        <v>0</v>
      </c>
      <c r="AL24" s="309">
        <f t="shared" si="3"/>
        <v>314158</v>
      </c>
      <c r="AM24" s="307">
        <f>AL24/VPI!R24</f>
        <v>7.0032435522771088</v>
      </c>
      <c r="AN24" s="464">
        <v>314158</v>
      </c>
      <c r="AO24" s="528"/>
      <c r="AP24" s="477">
        <v>4.957649839352964</v>
      </c>
      <c r="AR24" s="530">
        <v>0</v>
      </c>
    </row>
    <row r="25" spans="1:44" x14ac:dyDescent="0.25">
      <c r="A25" s="525">
        <v>5426</v>
      </c>
      <c r="B25" s="526" t="s">
        <v>65</v>
      </c>
      <c r="C25" s="454">
        <v>2319778.11</v>
      </c>
      <c r="D25" s="454">
        <v>830653.68</v>
      </c>
      <c r="E25" s="454"/>
      <c r="F25" s="455"/>
      <c r="G25" s="454">
        <v>38608.65</v>
      </c>
      <c r="H25" s="454">
        <v>1764.7</v>
      </c>
      <c r="I25" s="454">
        <v>932066.36</v>
      </c>
      <c r="J25" s="454">
        <v>16728.36</v>
      </c>
      <c r="K25" s="454">
        <v>5671.8</v>
      </c>
      <c r="L25" s="454">
        <v>347773.75</v>
      </c>
      <c r="M25" s="344">
        <f t="shared" si="0"/>
        <v>4493045.41</v>
      </c>
      <c r="N25" s="458">
        <v>7161</v>
      </c>
      <c r="O25" s="458">
        <v>991276.8</v>
      </c>
      <c r="P25" s="458">
        <v>32890</v>
      </c>
      <c r="Q25" s="458">
        <v>6101.49</v>
      </c>
      <c r="R25" s="458">
        <v>101702.3</v>
      </c>
      <c r="S25" s="454">
        <v>3920.15</v>
      </c>
      <c r="T25" s="344">
        <f t="shared" si="1"/>
        <v>5636097.1500000004</v>
      </c>
      <c r="U25" s="456">
        <v>-10920</v>
      </c>
      <c r="V25" s="458"/>
      <c r="W25" s="458">
        <v>-2725.51</v>
      </c>
      <c r="X25" s="462">
        <v>64.5</v>
      </c>
      <c r="Y25" s="463">
        <v>1.2</v>
      </c>
      <c r="Z25" s="464">
        <v>511</v>
      </c>
      <c r="AA25" s="527"/>
      <c r="AB25" s="469"/>
      <c r="AC25" s="307">
        <f>AB25/VPI!R25</f>
        <v>0</v>
      </c>
      <c r="AD25" s="309">
        <f t="shared" si="2"/>
        <v>0</v>
      </c>
      <c r="AE25" s="307">
        <f>AD25/VPI!R25</f>
        <v>0</v>
      </c>
      <c r="AF25" s="469"/>
      <c r="AG25" s="469"/>
      <c r="AH25" s="469"/>
      <c r="AI25" s="528"/>
      <c r="AJ25" s="464"/>
      <c r="AK25" s="307">
        <f>AJ25/VPI!R25</f>
        <v>0</v>
      </c>
      <c r="AL25" s="309">
        <f t="shared" si="3"/>
        <v>0</v>
      </c>
      <c r="AM25" s="307">
        <f>AL25/VPI!R25</f>
        <v>0</v>
      </c>
      <c r="AN25" s="464"/>
      <c r="AO25" s="528"/>
      <c r="AP25" s="477">
        <v>46.43787644043362</v>
      </c>
      <c r="AR25" s="530">
        <v>0</v>
      </c>
    </row>
    <row r="26" spans="1:44" x14ac:dyDescent="0.25">
      <c r="A26" s="525">
        <v>5427</v>
      </c>
      <c r="B26" s="526" t="s">
        <v>289</v>
      </c>
      <c r="C26" s="454">
        <v>4325128.13</v>
      </c>
      <c r="D26" s="454">
        <v>1133203</v>
      </c>
      <c r="E26" s="454"/>
      <c r="F26" s="455"/>
      <c r="G26" s="454">
        <v>-11502.7</v>
      </c>
      <c r="H26" s="454">
        <v>16952.95</v>
      </c>
      <c r="I26" s="454">
        <v>764913.25</v>
      </c>
      <c r="J26" s="454">
        <v>-1910.87</v>
      </c>
      <c r="K26" s="454">
        <v>14541.95</v>
      </c>
      <c r="L26" s="454">
        <v>498553.25</v>
      </c>
      <c r="M26" s="344">
        <f t="shared" si="0"/>
        <v>6739878.96</v>
      </c>
      <c r="N26" s="458">
        <v>16404.099999999999</v>
      </c>
      <c r="O26" s="458">
        <v>71250.7</v>
      </c>
      <c r="P26" s="458">
        <v>281228.2</v>
      </c>
      <c r="Q26" s="458">
        <v>1055.6099999999999</v>
      </c>
      <c r="R26" s="458">
        <v>290362.2</v>
      </c>
      <c r="S26" s="454">
        <v>529.21</v>
      </c>
      <c r="T26" s="344">
        <f t="shared" si="1"/>
        <v>7400708.9800000004</v>
      </c>
      <c r="U26" s="456">
        <v>-15833.94</v>
      </c>
      <c r="V26" s="458"/>
      <c r="W26" s="458">
        <v>-17413.25</v>
      </c>
      <c r="X26" s="462">
        <v>64</v>
      </c>
      <c r="Y26" s="463">
        <v>1.3</v>
      </c>
      <c r="Z26" s="464">
        <v>919</v>
      </c>
      <c r="AA26" s="527"/>
      <c r="AB26" s="469">
        <v>2693</v>
      </c>
      <c r="AC26" s="307">
        <f>AB26/VPI!R26</f>
        <v>2.6141007853065015E-2</v>
      </c>
      <c r="AD26" s="309">
        <f t="shared" si="2"/>
        <v>163142</v>
      </c>
      <c r="AE26" s="307">
        <f>AD26/VPI!R26</f>
        <v>1.5836228381599453</v>
      </c>
      <c r="AF26" s="469">
        <v>165835</v>
      </c>
      <c r="AG26" s="469">
        <v>46218</v>
      </c>
      <c r="AH26" s="469">
        <v>100402</v>
      </c>
      <c r="AI26" s="528"/>
      <c r="AJ26" s="464"/>
      <c r="AK26" s="307">
        <f>AJ26/VPI!R26</f>
        <v>0</v>
      </c>
      <c r="AL26" s="309">
        <f t="shared" si="3"/>
        <v>60569</v>
      </c>
      <c r="AM26" s="307">
        <f>AL26/VPI!R26</f>
        <v>0.58794456169784437</v>
      </c>
      <c r="AN26" s="464">
        <v>60569</v>
      </c>
      <c r="AO26" s="528"/>
      <c r="AP26" s="477">
        <v>39.641615369972996</v>
      </c>
      <c r="AR26" s="530">
        <v>0</v>
      </c>
    </row>
    <row r="27" spans="1:44" x14ac:dyDescent="0.25">
      <c r="A27" s="525">
        <v>5428</v>
      </c>
      <c r="B27" s="526" t="s">
        <v>290</v>
      </c>
      <c r="C27" s="454">
        <v>4206014.88</v>
      </c>
      <c r="D27" s="454">
        <v>569126.15</v>
      </c>
      <c r="E27" s="454"/>
      <c r="F27" s="455"/>
      <c r="G27" s="454">
        <v>100229.4</v>
      </c>
      <c r="H27" s="454">
        <v>28044.1</v>
      </c>
      <c r="I27" s="454"/>
      <c r="J27" s="454">
        <v>169031.06</v>
      </c>
      <c r="K27" s="454">
        <v>26188.9</v>
      </c>
      <c r="L27" s="454">
        <v>538304.44999999995</v>
      </c>
      <c r="M27" s="344">
        <f t="shared" si="0"/>
        <v>5636938.9400000004</v>
      </c>
      <c r="N27" s="458">
        <v>202723.35</v>
      </c>
      <c r="O27" s="458">
        <v>51201.9</v>
      </c>
      <c r="P27" s="458">
        <v>149743.65</v>
      </c>
      <c r="Q27" s="458">
        <v>6750.57</v>
      </c>
      <c r="R27" s="458">
        <v>158504.85</v>
      </c>
      <c r="S27" s="454">
        <v>12455.04</v>
      </c>
      <c r="T27" s="344">
        <f t="shared" si="1"/>
        <v>6218318.3000000007</v>
      </c>
      <c r="U27" s="456">
        <v>-69458.84</v>
      </c>
      <c r="V27" s="458"/>
      <c r="W27" s="458">
        <v>-11028.05</v>
      </c>
      <c r="X27" s="462">
        <v>73</v>
      </c>
      <c r="Y27" s="463">
        <v>1.2</v>
      </c>
      <c r="Z27" s="464">
        <v>2458</v>
      </c>
      <c r="AA27" s="527"/>
      <c r="AB27" s="469">
        <v>246189</v>
      </c>
      <c r="AC27" s="307">
        <f>AB27/VPI!R27</f>
        <v>3.2759738851585265</v>
      </c>
      <c r="AD27" s="309">
        <f t="shared" si="2"/>
        <v>759244</v>
      </c>
      <c r="AE27" s="307">
        <f>AD27/VPI!R27</f>
        <v>10.103065191634476</v>
      </c>
      <c r="AF27" s="469">
        <v>1005433</v>
      </c>
      <c r="AG27" s="469">
        <v>127150</v>
      </c>
      <c r="AH27" s="469">
        <v>304403</v>
      </c>
      <c r="AI27" s="528"/>
      <c r="AJ27" s="464"/>
      <c r="AK27" s="307">
        <f>AJ27/VPI!R27</f>
        <v>0</v>
      </c>
      <c r="AL27" s="309">
        <f t="shared" si="3"/>
        <v>143316</v>
      </c>
      <c r="AM27" s="307">
        <f>AL27/VPI!R27</f>
        <v>1.9070692570560803</v>
      </c>
      <c r="AN27" s="464">
        <v>143316</v>
      </c>
      <c r="AO27" s="528"/>
      <c r="AP27" s="477">
        <v>6.7682096596807124</v>
      </c>
      <c r="AR27" s="530">
        <v>0</v>
      </c>
    </row>
    <row r="28" spans="1:44" x14ac:dyDescent="0.25">
      <c r="A28" s="525">
        <v>5429</v>
      </c>
      <c r="B28" s="526" t="s">
        <v>301</v>
      </c>
      <c r="C28" s="454">
        <v>1109567.6599999999</v>
      </c>
      <c r="D28" s="454">
        <v>148513.25</v>
      </c>
      <c r="E28" s="454"/>
      <c r="F28" s="455"/>
      <c r="G28" s="454">
        <v>1592.5</v>
      </c>
      <c r="H28" s="454">
        <v>3741.5</v>
      </c>
      <c r="I28" s="454"/>
      <c r="J28" s="454">
        <v>17752.919999999998</v>
      </c>
      <c r="K28" s="454">
        <v>2231.4499999999998</v>
      </c>
      <c r="L28" s="454">
        <v>117900.9</v>
      </c>
      <c r="M28" s="344">
        <f t="shared" si="0"/>
        <v>1401300.1799999997</v>
      </c>
      <c r="N28" s="458">
        <v>9146.9500000000007</v>
      </c>
      <c r="O28" s="458"/>
      <c r="P28" s="458">
        <v>26292.3</v>
      </c>
      <c r="Q28" s="458">
        <v>535.34</v>
      </c>
      <c r="R28" s="458">
        <v>34537.4</v>
      </c>
      <c r="S28" s="454">
        <v>517.91999999999996</v>
      </c>
      <c r="T28" s="344">
        <f t="shared" si="1"/>
        <v>1472330.0899999996</v>
      </c>
      <c r="U28" s="456">
        <v>-11269.5</v>
      </c>
      <c r="V28" s="458"/>
      <c r="W28" s="458">
        <v>-154.38999999999999</v>
      </c>
      <c r="X28" s="462">
        <v>77.5</v>
      </c>
      <c r="Y28" s="463">
        <v>1</v>
      </c>
      <c r="Z28" s="464">
        <v>555</v>
      </c>
      <c r="AA28" s="527"/>
      <c r="AB28" s="469">
        <v>21374</v>
      </c>
      <c r="AC28" s="307">
        <f>AB28/VPI!R28</f>
        <v>1.1909194106919363</v>
      </c>
      <c r="AD28" s="309">
        <f t="shared" si="2"/>
        <v>165021</v>
      </c>
      <c r="AE28" s="307">
        <f>AD28/VPI!R28</f>
        <v>9.1946623033495847</v>
      </c>
      <c r="AF28" s="469">
        <v>186395</v>
      </c>
      <c r="AG28" s="469">
        <v>28628</v>
      </c>
      <c r="AH28" s="469">
        <v>53904</v>
      </c>
      <c r="AI28" s="528"/>
      <c r="AJ28" s="464"/>
      <c r="AK28" s="307">
        <f>AJ28/VPI!R28</f>
        <v>0</v>
      </c>
      <c r="AL28" s="309">
        <f t="shared" si="3"/>
        <v>50967</v>
      </c>
      <c r="AM28" s="307">
        <f>AL28/VPI!R28</f>
        <v>2.8397861703347957</v>
      </c>
      <c r="AN28" s="464">
        <v>50967</v>
      </c>
      <c r="AO28" s="528"/>
      <c r="AP28" s="477">
        <v>16.837247893111542</v>
      </c>
      <c r="AR28" s="530">
        <v>0</v>
      </c>
    </row>
    <row r="29" spans="1:44" x14ac:dyDescent="0.25">
      <c r="A29" s="525">
        <v>5430</v>
      </c>
      <c r="B29" s="526" t="s">
        <v>302</v>
      </c>
      <c r="C29" s="454">
        <v>1020719.01</v>
      </c>
      <c r="D29" s="454">
        <v>114769.34</v>
      </c>
      <c r="E29" s="454"/>
      <c r="F29" s="455"/>
      <c r="G29" s="454">
        <v>3907.55</v>
      </c>
      <c r="H29" s="454">
        <v>386.7</v>
      </c>
      <c r="I29" s="454"/>
      <c r="J29" s="454">
        <v>10661.05</v>
      </c>
      <c r="K29" s="454">
        <v>1015.5</v>
      </c>
      <c r="L29" s="454">
        <v>96803.5</v>
      </c>
      <c r="M29" s="344">
        <f t="shared" si="0"/>
        <v>1248262.6500000001</v>
      </c>
      <c r="N29" s="458">
        <v>14843</v>
      </c>
      <c r="O29" s="458">
        <v>3167.7</v>
      </c>
      <c r="P29" s="458">
        <v>22761.05</v>
      </c>
      <c r="Q29" s="567">
        <v>7962.89</v>
      </c>
      <c r="R29" s="458">
        <v>4658.8500000000004</v>
      </c>
      <c r="S29" s="454">
        <v>416.96</v>
      </c>
      <c r="T29" s="344">
        <f t="shared" si="1"/>
        <v>1302073.1000000001</v>
      </c>
      <c r="U29" s="456">
        <v>1168.1300000000001</v>
      </c>
      <c r="V29" s="458"/>
      <c r="W29" s="458">
        <v>-76.400000000000006</v>
      </c>
      <c r="X29" s="462">
        <v>77.5</v>
      </c>
      <c r="Y29" s="463">
        <v>1</v>
      </c>
      <c r="Z29" s="464">
        <v>510</v>
      </c>
      <c r="AA29" s="527"/>
      <c r="AB29" s="469">
        <v>49680</v>
      </c>
      <c r="AC29" s="307">
        <f>AB29/VPI!R29</f>
        <v>3.0612190621543314</v>
      </c>
      <c r="AD29" s="309">
        <f t="shared" si="2"/>
        <v>81119</v>
      </c>
      <c r="AE29" s="307">
        <f>AD29/VPI!R29</f>
        <v>4.998450666322408</v>
      </c>
      <c r="AF29" s="469">
        <v>130799</v>
      </c>
      <c r="AG29" s="469">
        <v>26204</v>
      </c>
      <c r="AH29" s="469">
        <v>53467</v>
      </c>
      <c r="AI29" s="528"/>
      <c r="AJ29" s="464"/>
      <c r="AK29" s="307">
        <f>AJ29/VPI!R29</f>
        <v>0</v>
      </c>
      <c r="AL29" s="309">
        <f t="shared" si="3"/>
        <v>42943</v>
      </c>
      <c r="AM29" s="307">
        <f>AL29/VPI!R29</f>
        <v>2.6460936027796591</v>
      </c>
      <c r="AN29" s="464">
        <v>42943</v>
      </c>
      <c r="AO29" s="528"/>
      <c r="AP29" s="477">
        <v>13.394679852902417</v>
      </c>
      <c r="AR29" s="530">
        <v>0</v>
      </c>
    </row>
    <row r="30" spans="1:44" x14ac:dyDescent="0.25">
      <c r="A30" s="525">
        <v>5431</v>
      </c>
      <c r="B30" s="526" t="s">
        <v>303</v>
      </c>
      <c r="C30" s="454">
        <v>652944.82999999996</v>
      </c>
      <c r="D30" s="454">
        <v>75394.09</v>
      </c>
      <c r="E30" s="454"/>
      <c r="F30" s="455"/>
      <c r="G30" s="454">
        <v>4258.2</v>
      </c>
      <c r="H30" s="454">
        <v>277.60000000000002</v>
      </c>
      <c r="I30" s="454"/>
      <c r="J30" s="454">
        <v>13475.98</v>
      </c>
      <c r="K30" s="454">
        <v>1133.5</v>
      </c>
      <c r="L30" s="454">
        <v>52006.3</v>
      </c>
      <c r="M30" s="344">
        <f t="shared" si="0"/>
        <v>799490.49999999988</v>
      </c>
      <c r="N30" s="458">
        <v>0</v>
      </c>
      <c r="O30" s="458"/>
      <c r="P30" s="458">
        <v>50150.95</v>
      </c>
      <c r="Q30" s="458">
        <v>86.25</v>
      </c>
      <c r="R30" s="458">
        <v>65761.5</v>
      </c>
      <c r="S30" s="454">
        <v>440.41</v>
      </c>
      <c r="T30" s="344">
        <f t="shared" si="1"/>
        <v>915929.60999999987</v>
      </c>
      <c r="U30" s="456">
        <v>-7385.76</v>
      </c>
      <c r="V30" s="458"/>
      <c r="W30" s="458">
        <v>-732.48</v>
      </c>
      <c r="X30" s="462">
        <v>74</v>
      </c>
      <c r="Y30" s="463">
        <v>1</v>
      </c>
      <c r="Z30" s="464">
        <v>324</v>
      </c>
      <c r="AA30" s="527"/>
      <c r="AB30" s="469"/>
      <c r="AC30" s="307">
        <f>AB30/VPI!R30</f>
        <v>0</v>
      </c>
      <c r="AD30" s="309">
        <f t="shared" si="2"/>
        <v>85570</v>
      </c>
      <c r="AE30" s="307">
        <f>AD30/VPI!R30</f>
        <v>7.9961972924524254</v>
      </c>
      <c r="AF30" s="469">
        <v>85570</v>
      </c>
      <c r="AG30" s="469">
        <v>14369</v>
      </c>
      <c r="AH30" s="469">
        <v>38910</v>
      </c>
      <c r="AI30" s="528"/>
      <c r="AJ30" s="464"/>
      <c r="AK30" s="307">
        <f>AJ30/VPI!R30</f>
        <v>0</v>
      </c>
      <c r="AL30" s="309">
        <f t="shared" si="3"/>
        <v>80508</v>
      </c>
      <c r="AM30" s="307">
        <f>AL30/VPI!R30</f>
        <v>7.5231722755727466</v>
      </c>
      <c r="AN30" s="464">
        <v>80508</v>
      </c>
      <c r="AO30" s="528"/>
      <c r="AP30" s="477">
        <v>10.901769077518958</v>
      </c>
      <c r="AR30" s="530">
        <v>0</v>
      </c>
    </row>
    <row r="31" spans="1:44" x14ac:dyDescent="0.25">
      <c r="A31" s="525">
        <v>5434</v>
      </c>
      <c r="B31" s="526" t="s">
        <v>304</v>
      </c>
      <c r="C31" s="454">
        <v>2933694.43</v>
      </c>
      <c r="D31" s="454">
        <v>303036.45</v>
      </c>
      <c r="E31" s="454"/>
      <c r="F31" s="455"/>
      <c r="G31" s="454">
        <v>10627.35</v>
      </c>
      <c r="H31" s="454">
        <v>2605.35</v>
      </c>
      <c r="I31" s="454"/>
      <c r="J31" s="454">
        <v>44624.43</v>
      </c>
      <c r="K31" s="454">
        <v>4799.2</v>
      </c>
      <c r="L31" s="454">
        <v>303342.2</v>
      </c>
      <c r="M31" s="344">
        <f t="shared" si="0"/>
        <v>3602729.4100000011</v>
      </c>
      <c r="N31" s="458">
        <v>33647.599999999999</v>
      </c>
      <c r="O31" s="458">
        <v>767</v>
      </c>
      <c r="P31" s="458">
        <v>117020.75</v>
      </c>
      <c r="Q31" s="458">
        <v>0.55000000000000004</v>
      </c>
      <c r="R31" s="458">
        <v>20629.599999999999</v>
      </c>
      <c r="S31" s="454">
        <v>1284.8599999999999</v>
      </c>
      <c r="T31" s="344">
        <f t="shared" si="1"/>
        <v>3776079.7700000009</v>
      </c>
      <c r="U31" s="456">
        <v>-13073.19</v>
      </c>
      <c r="V31" s="458"/>
      <c r="W31" s="458">
        <v>-4140.55</v>
      </c>
      <c r="X31" s="462">
        <v>69.5</v>
      </c>
      <c r="Y31" s="463">
        <v>1.2</v>
      </c>
      <c r="Z31" s="464">
        <v>1083</v>
      </c>
      <c r="AA31" s="527"/>
      <c r="AB31" s="469">
        <v>7281</v>
      </c>
      <c r="AC31" s="307">
        <f>AB31/VPI!R31</f>
        <v>0.14309801397247829</v>
      </c>
      <c r="AD31" s="309">
        <f t="shared" si="2"/>
        <v>257708</v>
      </c>
      <c r="AE31" s="307">
        <f>AD31/VPI!R31</f>
        <v>5.0648953419611917</v>
      </c>
      <c r="AF31" s="469">
        <v>264989</v>
      </c>
      <c r="AG31" s="469">
        <v>54728</v>
      </c>
      <c r="AH31" s="469">
        <v>129870</v>
      </c>
      <c r="AI31" s="528"/>
      <c r="AJ31" s="464"/>
      <c r="AK31" s="307">
        <f>AJ31/VPI!R31</f>
        <v>0</v>
      </c>
      <c r="AL31" s="309">
        <f t="shared" si="3"/>
        <v>89840</v>
      </c>
      <c r="AM31" s="307">
        <f>AL31/VPI!R31</f>
        <v>1.7656813041185895</v>
      </c>
      <c r="AN31" s="464">
        <v>89840</v>
      </c>
      <c r="AO31" s="528"/>
      <c r="AP31" s="477">
        <v>24.82780709975988</v>
      </c>
      <c r="AR31" s="530">
        <v>0</v>
      </c>
    </row>
    <row r="32" spans="1:44" x14ac:dyDescent="0.25">
      <c r="A32" s="525">
        <v>5435</v>
      </c>
      <c r="B32" s="526" t="s">
        <v>291</v>
      </c>
      <c r="C32" s="454">
        <v>1484375.2</v>
      </c>
      <c r="D32" s="454">
        <v>223844.79</v>
      </c>
      <c r="E32" s="454"/>
      <c r="F32" s="455"/>
      <c r="G32" s="454">
        <v>15318</v>
      </c>
      <c r="H32" s="454">
        <v>718.75</v>
      </c>
      <c r="I32" s="454"/>
      <c r="J32" s="454">
        <v>13301.02</v>
      </c>
      <c r="K32" s="454"/>
      <c r="L32" s="454">
        <v>142961.79999999999</v>
      </c>
      <c r="M32" s="344">
        <f t="shared" si="0"/>
        <v>1880519.56</v>
      </c>
      <c r="N32" s="458">
        <v>4996.1499999999996</v>
      </c>
      <c r="O32" s="458"/>
      <c r="P32" s="458">
        <v>59081.7</v>
      </c>
      <c r="Q32" s="458">
        <v>2285.16</v>
      </c>
      <c r="R32" s="458">
        <v>43047.95</v>
      </c>
      <c r="S32" s="454">
        <v>1557.13</v>
      </c>
      <c r="T32" s="344">
        <f t="shared" si="1"/>
        <v>1991487.6499999997</v>
      </c>
      <c r="U32" s="456">
        <v>-19224.900000000001</v>
      </c>
      <c r="V32" s="458"/>
      <c r="W32" s="458">
        <v>-1210.8699999999999</v>
      </c>
      <c r="X32" s="462">
        <v>69</v>
      </c>
      <c r="Y32" s="463">
        <v>1</v>
      </c>
      <c r="Z32" s="464">
        <v>715</v>
      </c>
      <c r="AA32" s="527"/>
      <c r="AB32" s="469">
        <v>6000</v>
      </c>
      <c r="AC32" s="307">
        <f>AB32/VPI!R32</f>
        <v>0.22211181250277909</v>
      </c>
      <c r="AD32" s="309">
        <f t="shared" si="2"/>
        <v>145367</v>
      </c>
      <c r="AE32" s="307">
        <f>AD32/VPI!R32</f>
        <v>5.3812879746819151</v>
      </c>
      <c r="AF32" s="469">
        <v>151367</v>
      </c>
      <c r="AG32" s="469">
        <v>46653</v>
      </c>
      <c r="AH32" s="469">
        <v>80289</v>
      </c>
      <c r="AI32" s="528"/>
      <c r="AJ32" s="464"/>
      <c r="AK32" s="307">
        <f>AJ32/VPI!R32</f>
        <v>0</v>
      </c>
      <c r="AL32" s="309">
        <f t="shared" si="3"/>
        <v>53517</v>
      </c>
      <c r="AM32" s="307">
        <f>AL32/VPI!R32</f>
        <v>1.9811263116185382</v>
      </c>
      <c r="AN32" s="464">
        <v>53517</v>
      </c>
      <c r="AO32" s="528"/>
      <c r="AP32" s="477">
        <v>21.494244214638009</v>
      </c>
      <c r="AR32" s="530">
        <v>0</v>
      </c>
    </row>
    <row r="33" spans="1:44" x14ac:dyDescent="0.25">
      <c r="A33" s="525">
        <v>5436</v>
      </c>
      <c r="B33" s="526" t="s">
        <v>292</v>
      </c>
      <c r="C33" s="454">
        <v>1155575.57</v>
      </c>
      <c r="D33" s="454">
        <v>118224.83</v>
      </c>
      <c r="E33" s="454"/>
      <c r="F33" s="455"/>
      <c r="G33" s="454">
        <v>14333.15</v>
      </c>
      <c r="H33" s="454">
        <v>-3.9</v>
      </c>
      <c r="I33" s="454"/>
      <c r="J33" s="454">
        <v>11084.6</v>
      </c>
      <c r="K33" s="454"/>
      <c r="L33" s="454">
        <v>74950.899999999994</v>
      </c>
      <c r="M33" s="344">
        <f t="shared" si="0"/>
        <v>1374165.1500000001</v>
      </c>
      <c r="N33" s="458">
        <v>2310.6</v>
      </c>
      <c r="O33" s="458"/>
      <c r="P33" s="458">
        <v>88048.5</v>
      </c>
      <c r="Q33" s="458"/>
      <c r="R33" s="458">
        <v>105928.65</v>
      </c>
      <c r="S33" s="454">
        <v>1391.33</v>
      </c>
      <c r="T33" s="344">
        <f t="shared" si="1"/>
        <v>1571844.2300000002</v>
      </c>
      <c r="U33" s="456">
        <v>-3750.9</v>
      </c>
      <c r="V33" s="458"/>
      <c r="W33" s="458">
        <v>-1094.7</v>
      </c>
      <c r="X33" s="462">
        <v>79</v>
      </c>
      <c r="Y33" s="463">
        <v>0.8</v>
      </c>
      <c r="Z33" s="464">
        <v>457</v>
      </c>
      <c r="AA33" s="527"/>
      <c r="AB33" s="469"/>
      <c r="AC33" s="307">
        <f>AB33/VPI!R33</f>
        <v>0</v>
      </c>
      <c r="AD33" s="309">
        <f t="shared" si="2"/>
        <v>0</v>
      </c>
      <c r="AE33" s="307">
        <f>AD33/VPI!R33</f>
        <v>0</v>
      </c>
      <c r="AF33" s="469"/>
      <c r="AG33" s="469"/>
      <c r="AH33" s="469"/>
      <c r="AI33" s="528"/>
      <c r="AJ33" s="464"/>
      <c r="AK33" s="307">
        <f>AJ33/VPI!R33</f>
        <v>0</v>
      </c>
      <c r="AL33" s="309">
        <f t="shared" si="3"/>
        <v>0</v>
      </c>
      <c r="AM33" s="307">
        <f>AL33/VPI!R33</f>
        <v>0</v>
      </c>
      <c r="AN33" s="464"/>
      <c r="AO33" s="528"/>
      <c r="AP33" s="477">
        <v>17.136667614433076</v>
      </c>
      <c r="AR33" s="530">
        <v>0</v>
      </c>
    </row>
    <row r="34" spans="1:44" x14ac:dyDescent="0.25">
      <c r="A34" s="525">
        <v>5437</v>
      </c>
      <c r="B34" s="526" t="s">
        <v>293</v>
      </c>
      <c r="C34" s="454">
        <v>863253.74</v>
      </c>
      <c r="D34" s="454">
        <v>78488.350000000006</v>
      </c>
      <c r="E34" s="454"/>
      <c r="F34" s="455"/>
      <c r="G34" s="454">
        <v>2226.25</v>
      </c>
      <c r="H34" s="454">
        <v>1843.95</v>
      </c>
      <c r="I34" s="454"/>
      <c r="J34" s="454">
        <v>28181.37</v>
      </c>
      <c r="K34" s="454">
        <v>1421.35</v>
      </c>
      <c r="L34" s="454">
        <v>85026.55</v>
      </c>
      <c r="M34" s="344">
        <f t="shared" si="0"/>
        <v>1060441.5599999998</v>
      </c>
      <c r="N34" s="458">
        <v>1461.3</v>
      </c>
      <c r="O34" s="458">
        <v>5054</v>
      </c>
      <c r="P34" s="458">
        <v>66757.75</v>
      </c>
      <c r="Q34" s="458">
        <v>1647.18</v>
      </c>
      <c r="R34" s="458">
        <v>27476.799999999999</v>
      </c>
      <c r="S34" s="454">
        <v>395.21</v>
      </c>
      <c r="T34" s="344">
        <f t="shared" si="1"/>
        <v>1163233.7999999998</v>
      </c>
      <c r="U34" s="456">
        <v>-5555.99</v>
      </c>
      <c r="V34" s="458"/>
      <c r="W34" s="458">
        <v>-46.3</v>
      </c>
      <c r="X34" s="462">
        <v>80</v>
      </c>
      <c r="Y34" s="463">
        <v>1</v>
      </c>
      <c r="Z34" s="464">
        <v>446</v>
      </c>
      <c r="AA34" s="527"/>
      <c r="AB34" s="469"/>
      <c r="AC34" s="307">
        <f>AB34/VPI!R34</f>
        <v>0</v>
      </c>
      <c r="AD34" s="309">
        <f t="shared" si="2"/>
        <v>470281</v>
      </c>
      <c r="AE34" s="307">
        <f>AD34/VPI!R34</f>
        <v>35.597627836592416</v>
      </c>
      <c r="AF34" s="469">
        <v>470281</v>
      </c>
      <c r="AG34" s="469">
        <v>15440</v>
      </c>
      <c r="AH34" s="469">
        <v>55437</v>
      </c>
      <c r="AI34" s="528"/>
      <c r="AJ34" s="464"/>
      <c r="AK34" s="307">
        <f>AJ34/VPI!R34</f>
        <v>0</v>
      </c>
      <c r="AL34" s="309">
        <f t="shared" si="3"/>
        <v>2869</v>
      </c>
      <c r="AM34" s="307">
        <f>AL34/VPI!R34</f>
        <v>0.21716717082591822</v>
      </c>
      <c r="AN34" s="464">
        <v>2869</v>
      </c>
      <c r="AO34" s="528"/>
      <c r="AP34" s="477">
        <v>18.927033457184102</v>
      </c>
      <c r="AR34" s="530">
        <v>0</v>
      </c>
    </row>
    <row r="35" spans="1:44" x14ac:dyDescent="0.25">
      <c r="A35" s="525">
        <v>5451</v>
      </c>
      <c r="B35" s="526" t="s">
        <v>294</v>
      </c>
      <c r="C35" s="454">
        <v>5219366.24</v>
      </c>
      <c r="D35" s="454">
        <v>607647.5</v>
      </c>
      <c r="E35" s="454"/>
      <c r="F35" s="455"/>
      <c r="G35" s="454">
        <v>1598449.15</v>
      </c>
      <c r="H35" s="454">
        <v>67039.7</v>
      </c>
      <c r="I35" s="454"/>
      <c r="J35" s="454">
        <v>505417.57</v>
      </c>
      <c r="K35" s="454">
        <v>168312.55</v>
      </c>
      <c r="L35" s="454">
        <v>1566282.95</v>
      </c>
      <c r="M35" s="344">
        <f t="shared" si="0"/>
        <v>9732515.6600000001</v>
      </c>
      <c r="N35" s="458">
        <v>613940.9</v>
      </c>
      <c r="O35" s="458">
        <v>111982.8</v>
      </c>
      <c r="P35" s="458">
        <v>217083.1</v>
      </c>
      <c r="Q35" s="458">
        <v>33247.120000000003</v>
      </c>
      <c r="R35" s="458">
        <v>350331.85</v>
      </c>
      <c r="S35" s="454">
        <v>161692.43</v>
      </c>
      <c r="T35" s="344">
        <f t="shared" si="1"/>
        <v>11220793.859999999</v>
      </c>
      <c r="U35" s="456">
        <v>-173312.51</v>
      </c>
      <c r="V35" s="458"/>
      <c r="W35" s="458">
        <v>-1405.22</v>
      </c>
      <c r="X35" s="462">
        <v>65</v>
      </c>
      <c r="Y35" s="463">
        <v>1.5</v>
      </c>
      <c r="Z35" s="464">
        <v>4895</v>
      </c>
      <c r="AA35" s="527"/>
      <c r="AB35" s="469">
        <v>497794</v>
      </c>
      <c r="AC35" s="307">
        <f>AB35/VPI!R35</f>
        <v>3.5053472902656879</v>
      </c>
      <c r="AD35" s="309">
        <f t="shared" si="2"/>
        <v>1337167</v>
      </c>
      <c r="AE35" s="307">
        <f>AD35/VPI!R35</f>
        <v>9.4160128890318067</v>
      </c>
      <c r="AF35" s="469">
        <v>1834961</v>
      </c>
      <c r="AG35" s="469">
        <v>724538</v>
      </c>
      <c r="AH35" s="469">
        <v>492533</v>
      </c>
      <c r="AI35" s="528"/>
      <c r="AJ35" s="464"/>
      <c r="AK35" s="307">
        <f>AJ35/VPI!R35</f>
        <v>0</v>
      </c>
      <c r="AL35" s="309">
        <f t="shared" si="3"/>
        <v>72080</v>
      </c>
      <c r="AM35" s="307">
        <f>AL35/VPI!R35</f>
        <v>0.50757026537553851</v>
      </c>
      <c r="AN35" s="464">
        <v>72080</v>
      </c>
      <c r="AO35" s="528"/>
      <c r="AP35" s="477">
        <v>6.529206993360658</v>
      </c>
      <c r="AR35" s="530">
        <v>0</v>
      </c>
    </row>
    <row r="36" spans="1:44" x14ac:dyDescent="0.25">
      <c r="A36" s="525">
        <v>5456</v>
      </c>
      <c r="B36" s="526" t="s">
        <v>295</v>
      </c>
      <c r="C36" s="454">
        <v>3232494.66</v>
      </c>
      <c r="D36" s="454">
        <v>359506.79</v>
      </c>
      <c r="E36" s="454"/>
      <c r="F36" s="455"/>
      <c r="G36" s="454">
        <v>50631.8</v>
      </c>
      <c r="H36" s="454">
        <v>5455.25</v>
      </c>
      <c r="I36" s="454"/>
      <c r="J36" s="454">
        <v>103250.65</v>
      </c>
      <c r="K36" s="454">
        <v>9680.35</v>
      </c>
      <c r="L36" s="454">
        <v>592462.25</v>
      </c>
      <c r="M36" s="344">
        <f t="shared" si="0"/>
        <v>4353481.75</v>
      </c>
      <c r="N36" s="458">
        <v>0</v>
      </c>
      <c r="O36" s="458">
        <v>16662.5</v>
      </c>
      <c r="P36" s="458">
        <v>207193.60000000001</v>
      </c>
      <c r="Q36" s="458">
        <v>3988.02</v>
      </c>
      <c r="R36" s="458">
        <v>92460.95</v>
      </c>
      <c r="S36" s="454">
        <v>5445.91</v>
      </c>
      <c r="T36" s="344">
        <f t="shared" si="1"/>
        <v>4679232.7299999995</v>
      </c>
      <c r="U36" s="456">
        <v>-78155.7</v>
      </c>
      <c r="V36" s="458"/>
      <c r="W36" s="458">
        <v>-331</v>
      </c>
      <c r="X36" s="462">
        <v>59</v>
      </c>
      <c r="Y36" s="463">
        <v>1.5</v>
      </c>
      <c r="Z36" s="464">
        <v>1885</v>
      </c>
      <c r="AA36" s="527"/>
      <c r="AB36" s="469">
        <v>160644</v>
      </c>
      <c r="AC36" s="307">
        <f>AB36/VPI!R36</f>
        <v>2.3190926156207849</v>
      </c>
      <c r="AD36" s="309">
        <f t="shared" si="2"/>
        <v>439884</v>
      </c>
      <c r="AE36" s="307">
        <f>AD36/VPI!R36</f>
        <v>6.3502635400620839</v>
      </c>
      <c r="AF36" s="469">
        <v>600528</v>
      </c>
      <c r="AG36" s="469">
        <v>103827</v>
      </c>
      <c r="AH36" s="469">
        <v>176485</v>
      </c>
      <c r="AI36" s="528"/>
      <c r="AJ36" s="464"/>
      <c r="AK36" s="307">
        <f>AJ36/VPI!R36</f>
        <v>0</v>
      </c>
      <c r="AL36" s="309">
        <f t="shared" si="3"/>
        <v>17073</v>
      </c>
      <c r="AM36" s="307">
        <f>AL36/VPI!R36</f>
        <v>0.24646963613016148</v>
      </c>
      <c r="AN36" s="464">
        <v>17073</v>
      </c>
      <c r="AO36" s="528"/>
      <c r="AP36" s="477">
        <v>20.019803267799062</v>
      </c>
      <c r="AR36" s="530">
        <v>0</v>
      </c>
    </row>
    <row r="37" spans="1:44" x14ac:dyDescent="0.25">
      <c r="A37" s="525">
        <v>5458</v>
      </c>
      <c r="B37" s="526" t="s">
        <v>296</v>
      </c>
      <c r="C37" s="454">
        <v>1633208.95</v>
      </c>
      <c r="D37" s="454">
        <v>261871.87</v>
      </c>
      <c r="E37" s="454"/>
      <c r="F37" s="455"/>
      <c r="G37" s="454">
        <v>36582.699999999997</v>
      </c>
      <c r="H37" s="454">
        <v>4266.6499999999996</v>
      </c>
      <c r="I37" s="454"/>
      <c r="J37" s="454">
        <v>37990.71</v>
      </c>
      <c r="K37" s="454">
        <v>13446.75</v>
      </c>
      <c r="L37" s="454">
        <v>301586.65000000002</v>
      </c>
      <c r="M37" s="344">
        <f t="shared" si="0"/>
        <v>2288954.2799999998</v>
      </c>
      <c r="N37" s="458">
        <v>8395.4</v>
      </c>
      <c r="O37" s="458">
        <v>8735.1</v>
      </c>
      <c r="P37" s="458">
        <v>67553.75</v>
      </c>
      <c r="Q37" s="458">
        <v>38080.620000000003</v>
      </c>
      <c r="R37" s="458">
        <v>81141.7</v>
      </c>
      <c r="S37" s="454">
        <v>3966.37</v>
      </c>
      <c r="T37" s="344">
        <f t="shared" si="1"/>
        <v>2496827.2200000002</v>
      </c>
      <c r="U37" s="456">
        <v>-65761.320000000007</v>
      </c>
      <c r="V37" s="458"/>
      <c r="W37" s="458">
        <v>-169.9</v>
      </c>
      <c r="X37" s="462">
        <v>65</v>
      </c>
      <c r="Y37" s="463">
        <v>1.5</v>
      </c>
      <c r="Z37" s="464">
        <v>900</v>
      </c>
      <c r="AA37" s="527"/>
      <c r="AB37" s="469">
        <v>17931</v>
      </c>
      <c r="AC37" s="307">
        <f>AB37/VPI!R37</f>
        <v>0.53845822752119832</v>
      </c>
      <c r="AD37" s="309">
        <f t="shared" si="2"/>
        <v>235318</v>
      </c>
      <c r="AE37" s="307">
        <f>AD37/VPI!R37</f>
        <v>7.0664722092372623</v>
      </c>
      <c r="AF37" s="469">
        <v>253249</v>
      </c>
      <c r="AG37" s="469">
        <v>83482</v>
      </c>
      <c r="AH37" s="469">
        <v>76332</v>
      </c>
      <c r="AI37" s="528"/>
      <c r="AJ37" s="464"/>
      <c r="AK37" s="307">
        <f>AJ37/VPI!R37</f>
        <v>0</v>
      </c>
      <c r="AL37" s="309">
        <f t="shared" si="3"/>
        <v>16139</v>
      </c>
      <c r="AM37" s="307">
        <f>AL37/VPI!R37</f>
        <v>0.4846454371738676</v>
      </c>
      <c r="AN37" s="464">
        <v>16139</v>
      </c>
      <c r="AO37" s="528"/>
      <c r="AP37" s="477">
        <v>18.729981291594378</v>
      </c>
      <c r="AR37" s="530">
        <v>0</v>
      </c>
    </row>
    <row r="38" spans="1:44" x14ac:dyDescent="0.25">
      <c r="A38" s="525">
        <v>5464</v>
      </c>
      <c r="B38" s="526" t="s">
        <v>343</v>
      </c>
      <c r="C38" s="454">
        <v>6221410.2599999998</v>
      </c>
      <c r="D38" s="454">
        <v>1198273.56</v>
      </c>
      <c r="E38" s="454"/>
      <c r="F38" s="455"/>
      <c r="G38" s="454">
        <v>68275.95</v>
      </c>
      <c r="H38" s="454">
        <v>6437.2</v>
      </c>
      <c r="I38" s="454">
        <v>36844.300000000003</v>
      </c>
      <c r="J38" s="454">
        <v>95060.71</v>
      </c>
      <c r="K38" s="454">
        <v>-8866.7000000000007</v>
      </c>
      <c r="L38" s="454">
        <v>1197142.2</v>
      </c>
      <c r="M38" s="344">
        <f t="shared" si="0"/>
        <v>8814577.4800000004</v>
      </c>
      <c r="N38" s="458">
        <v>2999.75</v>
      </c>
      <c r="O38" s="458">
        <v>79416</v>
      </c>
      <c r="P38" s="458">
        <v>391922.55</v>
      </c>
      <c r="Q38" s="458">
        <v>32718.560000000001</v>
      </c>
      <c r="R38" s="458">
        <v>246262.9</v>
      </c>
      <c r="S38" s="454">
        <v>7254.46</v>
      </c>
      <c r="T38" s="344">
        <f t="shared" si="1"/>
        <v>9575151.700000003</v>
      </c>
      <c r="U38" s="456">
        <v>-108781.32</v>
      </c>
      <c r="V38" s="458"/>
      <c r="W38" s="458">
        <v>-5331</v>
      </c>
      <c r="X38" s="462">
        <v>67</v>
      </c>
      <c r="Y38" s="463">
        <v>1.5</v>
      </c>
      <c r="Z38" s="464">
        <v>3639</v>
      </c>
      <c r="AA38" s="527"/>
      <c r="AB38" s="469">
        <v>297470</v>
      </c>
      <c r="AC38" s="307">
        <f>AB38/VPI!R38</f>
        <v>2.3893485541747994</v>
      </c>
      <c r="AD38" s="309">
        <f t="shared" si="2"/>
        <v>1272957</v>
      </c>
      <c r="AE38" s="307">
        <f>AD38/VPI!R38</f>
        <v>10.224688094519415</v>
      </c>
      <c r="AF38" s="469">
        <v>1570427</v>
      </c>
      <c r="AG38" s="469">
        <v>199804</v>
      </c>
      <c r="AH38" s="469">
        <v>337378</v>
      </c>
      <c r="AI38" s="528"/>
      <c r="AJ38" s="464"/>
      <c r="AK38" s="307">
        <f>AJ38/VPI!R38</f>
        <v>0</v>
      </c>
      <c r="AL38" s="309">
        <f t="shared" si="3"/>
        <v>30715</v>
      </c>
      <c r="AM38" s="307">
        <f>AL38/VPI!R38</f>
        <v>0.24671005762422754</v>
      </c>
      <c r="AN38" s="464">
        <v>30715</v>
      </c>
      <c r="AO38" s="528"/>
      <c r="AP38" s="477">
        <v>14.549736885639245</v>
      </c>
      <c r="AR38" s="530">
        <v>0</v>
      </c>
    </row>
    <row r="39" spans="1:44" x14ac:dyDescent="0.25">
      <c r="A39" s="525">
        <v>5471</v>
      </c>
      <c r="B39" s="526" t="s">
        <v>297</v>
      </c>
      <c r="C39" s="454">
        <v>1356409.98</v>
      </c>
      <c r="D39" s="454">
        <v>115531.43</v>
      </c>
      <c r="E39" s="454"/>
      <c r="F39" s="455"/>
      <c r="G39" s="454">
        <v>28429.5</v>
      </c>
      <c r="H39" s="454">
        <v>3133.8</v>
      </c>
      <c r="I39" s="454"/>
      <c r="J39" s="454">
        <v>42256.22</v>
      </c>
      <c r="K39" s="454">
        <v>5494.75</v>
      </c>
      <c r="L39" s="454">
        <v>125914.35</v>
      </c>
      <c r="M39" s="344">
        <f t="shared" si="0"/>
        <v>1677170.03</v>
      </c>
      <c r="N39" s="458">
        <v>7016.6</v>
      </c>
      <c r="O39" s="458"/>
      <c r="P39" s="458">
        <v>119507.45</v>
      </c>
      <c r="Q39" s="458">
        <v>3567.81</v>
      </c>
      <c r="R39" s="458">
        <v>91470.9</v>
      </c>
      <c r="S39" s="454">
        <v>3064.72</v>
      </c>
      <c r="T39" s="344">
        <f t="shared" si="1"/>
        <v>1901797.51</v>
      </c>
      <c r="U39" s="456">
        <v>-32768.050000000003</v>
      </c>
      <c r="V39" s="458"/>
      <c r="W39" s="458">
        <v>-15.2</v>
      </c>
      <c r="X39" s="462">
        <v>70</v>
      </c>
      <c r="Y39" s="463">
        <v>0.9</v>
      </c>
      <c r="Z39" s="464">
        <v>653</v>
      </c>
      <c r="AA39" s="527"/>
      <c r="AB39" s="469">
        <v>44811</v>
      </c>
      <c r="AC39" s="307">
        <f>AB39/VPI!R39</f>
        <v>1.8839348648635978</v>
      </c>
      <c r="AD39" s="309">
        <f t="shared" si="2"/>
        <v>42622</v>
      </c>
      <c r="AE39" s="307">
        <f>AD39/VPI!R39</f>
        <v>1.7919053761401502</v>
      </c>
      <c r="AF39" s="469">
        <v>87433</v>
      </c>
      <c r="AG39" s="469">
        <v>43162</v>
      </c>
      <c r="AH39" s="469">
        <v>65822</v>
      </c>
      <c r="AI39" s="528"/>
      <c r="AJ39" s="464"/>
      <c r="AK39" s="307">
        <f>AJ39/VPI!R39</f>
        <v>0</v>
      </c>
      <c r="AL39" s="309">
        <f t="shared" si="3"/>
        <v>392</v>
      </c>
      <c r="AM39" s="307">
        <f>AL39/VPI!R39</f>
        <v>1.6480383544811104E-2</v>
      </c>
      <c r="AN39" s="464">
        <v>392</v>
      </c>
      <c r="AO39" s="528"/>
      <c r="AP39" s="477">
        <v>20.51594253029802</v>
      </c>
      <c r="AR39" s="530">
        <v>0</v>
      </c>
    </row>
    <row r="40" spans="1:44" x14ac:dyDescent="0.25">
      <c r="A40" s="525">
        <v>5472</v>
      </c>
      <c r="B40" s="526" t="s">
        <v>298</v>
      </c>
      <c r="C40" s="454">
        <v>1021286.05</v>
      </c>
      <c r="D40" s="454">
        <v>161821.66</v>
      </c>
      <c r="E40" s="454"/>
      <c r="F40" s="455"/>
      <c r="G40" s="454">
        <v>-22124.05</v>
      </c>
      <c r="H40" s="454">
        <v>1495.3</v>
      </c>
      <c r="I40" s="454"/>
      <c r="J40" s="454">
        <v>14559.17</v>
      </c>
      <c r="K40" s="454">
        <v>1255.75</v>
      </c>
      <c r="L40" s="454">
        <v>120911.7</v>
      </c>
      <c r="M40" s="344">
        <f t="shared" si="0"/>
        <v>1299205.5799999998</v>
      </c>
      <c r="N40" s="458">
        <v>0</v>
      </c>
      <c r="O40" s="458"/>
      <c r="P40" s="458">
        <v>71532.95</v>
      </c>
      <c r="Q40" s="458"/>
      <c r="R40" s="458">
        <v>43646.65</v>
      </c>
      <c r="S40" s="454">
        <v>-2003</v>
      </c>
      <c r="T40" s="344">
        <f t="shared" si="1"/>
        <v>1412382.1799999997</v>
      </c>
      <c r="U40" s="456">
        <v>-9923.1200000000008</v>
      </c>
      <c r="V40" s="458"/>
      <c r="W40" s="458">
        <v>-667.4</v>
      </c>
      <c r="X40" s="462">
        <v>65</v>
      </c>
      <c r="Y40" s="463">
        <v>1</v>
      </c>
      <c r="Z40" s="464">
        <v>532</v>
      </c>
      <c r="AA40" s="527"/>
      <c r="AB40" s="469">
        <v>42370</v>
      </c>
      <c r="AC40" s="307">
        <f>AB40/VPI!R40</f>
        <v>2.1405442134593393</v>
      </c>
      <c r="AD40" s="309">
        <f t="shared" si="2"/>
        <v>141739</v>
      </c>
      <c r="AE40" s="307">
        <f>AD40/VPI!R40</f>
        <v>7.1606937991860589</v>
      </c>
      <c r="AF40" s="469">
        <v>184109</v>
      </c>
      <c r="AG40" s="469">
        <v>34785</v>
      </c>
      <c r="AH40" s="469">
        <v>21968</v>
      </c>
      <c r="AI40" s="528"/>
      <c r="AJ40" s="464"/>
      <c r="AK40" s="307">
        <f>AJ40/VPI!R40</f>
        <v>0</v>
      </c>
      <c r="AL40" s="309">
        <f t="shared" si="3"/>
        <v>35206</v>
      </c>
      <c r="AM40" s="307">
        <f>AL40/VPI!R40</f>
        <v>1.7786169360172175</v>
      </c>
      <c r="AN40" s="464">
        <v>35206</v>
      </c>
      <c r="AO40" s="528"/>
      <c r="AP40" s="477">
        <v>22.320261404416517</v>
      </c>
      <c r="AR40" s="530">
        <v>0</v>
      </c>
    </row>
    <row r="41" spans="1:44" x14ac:dyDescent="0.25">
      <c r="A41" s="525">
        <v>5473</v>
      </c>
      <c r="B41" s="526" t="s">
        <v>188</v>
      </c>
      <c r="C41" s="454">
        <v>1990735.75</v>
      </c>
      <c r="D41" s="454">
        <v>218311.19</v>
      </c>
      <c r="E41" s="454"/>
      <c r="F41" s="455"/>
      <c r="G41" s="454">
        <v>24779.200000000001</v>
      </c>
      <c r="H41" s="454">
        <v>3503.75</v>
      </c>
      <c r="I41" s="454"/>
      <c r="J41" s="454">
        <v>28555.37</v>
      </c>
      <c r="K41" s="454">
        <v>8170.35</v>
      </c>
      <c r="L41" s="454">
        <v>207637</v>
      </c>
      <c r="M41" s="344">
        <f t="shared" si="0"/>
        <v>2481692.6100000003</v>
      </c>
      <c r="N41" s="458">
        <v>6281.35</v>
      </c>
      <c r="O41" s="458"/>
      <c r="P41" s="458">
        <v>73823.350000000006</v>
      </c>
      <c r="Q41" s="458"/>
      <c r="R41" s="458">
        <v>58172.95</v>
      </c>
      <c r="S41" s="454">
        <v>2746.2</v>
      </c>
      <c r="T41" s="344">
        <f t="shared" si="1"/>
        <v>2622716.4600000009</v>
      </c>
      <c r="U41" s="456">
        <v>-11408.43</v>
      </c>
      <c r="V41" s="458"/>
      <c r="W41" s="458">
        <v>-198.05</v>
      </c>
      <c r="X41" s="462">
        <v>64</v>
      </c>
      <c r="Y41" s="463">
        <v>1</v>
      </c>
      <c r="Z41" s="464">
        <v>1007</v>
      </c>
      <c r="AA41" s="527"/>
      <c r="AB41" s="469"/>
      <c r="AC41" s="307">
        <f>AB41/VPI!R41</f>
        <v>0</v>
      </c>
      <c r="AD41" s="309">
        <f t="shared" si="2"/>
        <v>0</v>
      </c>
      <c r="AE41" s="307">
        <f>AD41/VPI!R41</f>
        <v>0</v>
      </c>
      <c r="AF41" s="469"/>
      <c r="AG41" s="469"/>
      <c r="AH41" s="469"/>
      <c r="AI41" s="528"/>
      <c r="AJ41" s="464"/>
      <c r="AK41" s="307">
        <f>AJ41/VPI!R41</f>
        <v>0</v>
      </c>
      <c r="AL41" s="309">
        <f t="shared" si="3"/>
        <v>0</v>
      </c>
      <c r="AM41" s="307">
        <f>AL41/VPI!R41</f>
        <v>0</v>
      </c>
      <c r="AN41" s="464"/>
      <c r="AO41" s="528"/>
      <c r="AP41" s="477">
        <v>21.790238991503127</v>
      </c>
      <c r="AR41" s="530">
        <v>0</v>
      </c>
    </row>
    <row r="42" spans="1:44" x14ac:dyDescent="0.25">
      <c r="A42" s="525">
        <v>5474</v>
      </c>
      <c r="B42" s="526" t="s">
        <v>189</v>
      </c>
      <c r="C42" s="454">
        <v>836779.13</v>
      </c>
      <c r="D42" s="454">
        <v>86894.99</v>
      </c>
      <c r="E42" s="454"/>
      <c r="F42" s="455"/>
      <c r="G42" s="454">
        <v>5994</v>
      </c>
      <c r="H42" s="454">
        <v>4026.1</v>
      </c>
      <c r="I42" s="454"/>
      <c r="J42" s="454">
        <v>9797.6</v>
      </c>
      <c r="K42" s="454">
        <v>804.45</v>
      </c>
      <c r="L42" s="454">
        <v>93222.3</v>
      </c>
      <c r="M42" s="344">
        <f t="shared" si="0"/>
        <v>1037518.57</v>
      </c>
      <c r="N42" s="458">
        <v>3549.4</v>
      </c>
      <c r="O42" s="458">
        <v>33750.400000000001</v>
      </c>
      <c r="P42" s="458">
        <v>44734.400000000001</v>
      </c>
      <c r="Q42" s="458">
        <v>7693.87</v>
      </c>
      <c r="R42" s="458">
        <v>16547.8</v>
      </c>
      <c r="S42" s="454">
        <v>972.93</v>
      </c>
      <c r="T42" s="344">
        <f t="shared" si="1"/>
        <v>1144767.3699999999</v>
      </c>
      <c r="U42" s="456">
        <v>-22212.65</v>
      </c>
      <c r="V42" s="458"/>
      <c r="W42" s="458">
        <v>-367.05</v>
      </c>
      <c r="X42" s="462">
        <v>76</v>
      </c>
      <c r="Y42" s="463">
        <v>1.2</v>
      </c>
      <c r="Z42" s="464">
        <v>436</v>
      </c>
      <c r="AA42" s="527"/>
      <c r="AB42" s="469">
        <v>94425</v>
      </c>
      <c r="AC42" s="307">
        <f>AB42/VPI!R42</f>
        <v>7.1188606188336676</v>
      </c>
      <c r="AD42" s="309">
        <f t="shared" si="2"/>
        <v>60175</v>
      </c>
      <c r="AE42" s="307">
        <f>AD42/VPI!R42</f>
        <v>4.5366951309326549</v>
      </c>
      <c r="AF42" s="469">
        <v>154600</v>
      </c>
      <c r="AG42" s="469">
        <v>19322</v>
      </c>
      <c r="AH42" s="469">
        <v>83715</v>
      </c>
      <c r="AI42" s="528"/>
      <c r="AJ42" s="464"/>
      <c r="AK42" s="307">
        <f>AJ42/VPI!R42</f>
        <v>0</v>
      </c>
      <c r="AL42" s="309">
        <f t="shared" si="3"/>
        <v>17089</v>
      </c>
      <c r="AM42" s="307">
        <f>AL42/VPI!R42</f>
        <v>1.2883686429997199</v>
      </c>
      <c r="AN42" s="464">
        <v>17089</v>
      </c>
      <c r="AO42" s="528"/>
      <c r="AP42" s="477">
        <v>16.59527822295567</v>
      </c>
      <c r="AR42" s="530">
        <v>0</v>
      </c>
    </row>
    <row r="43" spans="1:44" x14ac:dyDescent="0.25">
      <c r="A43" s="525">
        <v>5475</v>
      </c>
      <c r="B43" s="526" t="s">
        <v>305</v>
      </c>
      <c r="C43" s="454">
        <v>234626.47</v>
      </c>
      <c r="D43" s="454">
        <v>43308.53</v>
      </c>
      <c r="E43" s="454"/>
      <c r="F43" s="455"/>
      <c r="G43" s="454">
        <v>-2054.0500000000002</v>
      </c>
      <c r="H43" s="454">
        <v>184.5</v>
      </c>
      <c r="I43" s="454"/>
      <c r="J43" s="454">
        <v>3211.27</v>
      </c>
      <c r="K43" s="454"/>
      <c r="L43" s="454">
        <v>27379.3</v>
      </c>
      <c r="M43" s="344">
        <f t="shared" si="0"/>
        <v>306656.02</v>
      </c>
      <c r="N43" s="458">
        <v>0</v>
      </c>
      <c r="O43" s="458"/>
      <c r="P43" s="458">
        <v>58245</v>
      </c>
      <c r="Q43" s="458"/>
      <c r="R43" s="458">
        <v>64082.9</v>
      </c>
      <c r="S43" s="454">
        <v>-181.53</v>
      </c>
      <c r="T43" s="344">
        <f t="shared" si="1"/>
        <v>428802.39</v>
      </c>
      <c r="U43" s="456">
        <v>170.25</v>
      </c>
      <c r="V43" s="458"/>
      <c r="W43" s="458">
        <v>0</v>
      </c>
      <c r="X43" s="462">
        <v>75</v>
      </c>
      <c r="Y43" s="463">
        <v>1</v>
      </c>
      <c r="Z43" s="464">
        <v>160</v>
      </c>
      <c r="AA43" s="527"/>
      <c r="AB43" s="469"/>
      <c r="AC43" s="307">
        <f>AB43/VPI!R43</f>
        <v>0</v>
      </c>
      <c r="AD43" s="309">
        <f t="shared" si="2"/>
        <v>131897</v>
      </c>
      <c r="AE43" s="307">
        <f>AD43/VPI!R43</f>
        <v>32.259725048601844</v>
      </c>
      <c r="AF43" s="469">
        <v>131897</v>
      </c>
      <c r="AG43" s="469">
        <v>7050</v>
      </c>
      <c r="AH43" s="469">
        <v>37380</v>
      </c>
      <c r="AI43" s="528"/>
      <c r="AJ43" s="464"/>
      <c r="AK43" s="307">
        <f>AJ43/VPI!R43</f>
        <v>0</v>
      </c>
      <c r="AL43" s="309">
        <f t="shared" si="3"/>
        <v>16600</v>
      </c>
      <c r="AM43" s="307">
        <f>AL43/VPI!R43</f>
        <v>4.0600729039082815</v>
      </c>
      <c r="AN43" s="464">
        <v>16600</v>
      </c>
      <c r="AO43" s="528"/>
      <c r="AP43" s="477">
        <v>10.405202679104503</v>
      </c>
      <c r="AR43" s="530">
        <v>0</v>
      </c>
    </row>
    <row r="44" spans="1:44" x14ac:dyDescent="0.25">
      <c r="A44" s="525">
        <v>5476</v>
      </c>
      <c r="B44" s="526" t="s">
        <v>306</v>
      </c>
      <c r="C44" s="454">
        <v>679585.5</v>
      </c>
      <c r="D44" s="454">
        <v>104153.5</v>
      </c>
      <c r="E44" s="454"/>
      <c r="F44" s="455"/>
      <c r="G44" s="454">
        <v>8403.15</v>
      </c>
      <c r="H44" s="454">
        <v>68.95</v>
      </c>
      <c r="I44" s="454"/>
      <c r="J44" s="454">
        <v>8117.93</v>
      </c>
      <c r="K44" s="454"/>
      <c r="L44" s="454">
        <v>64025.599999999999</v>
      </c>
      <c r="M44" s="344">
        <f t="shared" si="0"/>
        <v>864354.63</v>
      </c>
      <c r="N44" s="458">
        <v>0</v>
      </c>
      <c r="O44" s="458">
        <v>312</v>
      </c>
      <c r="P44" s="458">
        <v>57200</v>
      </c>
      <c r="Q44" s="458"/>
      <c r="R44" s="458">
        <v>3681.35</v>
      </c>
      <c r="S44" s="454">
        <v>822.62</v>
      </c>
      <c r="T44" s="344">
        <f t="shared" si="1"/>
        <v>926370.6</v>
      </c>
      <c r="U44" s="456">
        <v>-28195.74</v>
      </c>
      <c r="V44" s="458"/>
      <c r="W44" s="458">
        <v>0</v>
      </c>
      <c r="X44" s="462">
        <v>70</v>
      </c>
      <c r="Y44" s="463">
        <v>1</v>
      </c>
      <c r="Z44" s="464">
        <v>346</v>
      </c>
      <c r="AA44" s="527"/>
      <c r="AB44" s="469"/>
      <c r="AC44" s="307">
        <f>AB44/VPI!R44</f>
        <v>0</v>
      </c>
      <c r="AD44" s="309">
        <f t="shared" si="2"/>
        <v>199388</v>
      </c>
      <c r="AE44" s="307">
        <f>AD44/VPI!R44</f>
        <v>16.675589404597481</v>
      </c>
      <c r="AF44" s="469">
        <v>199388</v>
      </c>
      <c r="AG44" s="469">
        <v>15038</v>
      </c>
      <c r="AH44" s="469">
        <v>44577</v>
      </c>
      <c r="AI44" s="528"/>
      <c r="AJ44" s="464"/>
      <c r="AK44" s="307">
        <f>AJ44/VPI!R44</f>
        <v>0</v>
      </c>
      <c r="AL44" s="309">
        <f t="shared" si="3"/>
        <v>2264</v>
      </c>
      <c r="AM44" s="307">
        <f>AL44/VPI!R44</f>
        <v>0.18934707410681031</v>
      </c>
      <c r="AN44" s="464">
        <v>2264</v>
      </c>
      <c r="AO44" s="528"/>
      <c r="AP44" s="477">
        <v>22.594143675573189</v>
      </c>
      <c r="AR44" s="530">
        <v>0</v>
      </c>
    </row>
    <row r="45" spans="1:44" x14ac:dyDescent="0.25">
      <c r="A45" s="525">
        <v>5477</v>
      </c>
      <c r="B45" s="526" t="s">
        <v>307</v>
      </c>
      <c r="C45" s="454">
        <v>9339538.0600000005</v>
      </c>
      <c r="D45" s="454">
        <v>1133733.04</v>
      </c>
      <c r="E45" s="454"/>
      <c r="F45" s="455"/>
      <c r="G45" s="454">
        <v>590561.6</v>
      </c>
      <c r="H45" s="454">
        <v>28739.65</v>
      </c>
      <c r="I45" s="454"/>
      <c r="J45" s="454">
        <v>263251.78999999998</v>
      </c>
      <c r="K45" s="454">
        <v>64814</v>
      </c>
      <c r="L45" s="454">
        <v>907531.25</v>
      </c>
      <c r="M45" s="344">
        <f t="shared" si="0"/>
        <v>12328169.390000001</v>
      </c>
      <c r="N45" s="458">
        <v>203349.35</v>
      </c>
      <c r="O45" s="458">
        <v>646711.5</v>
      </c>
      <c r="P45" s="458">
        <v>1126268.95</v>
      </c>
      <c r="Q45" s="458">
        <v>4883.88</v>
      </c>
      <c r="R45" s="458">
        <v>300417</v>
      </c>
      <c r="S45" s="454">
        <v>60089.34</v>
      </c>
      <c r="T45" s="344">
        <f t="shared" si="1"/>
        <v>14669889.41</v>
      </c>
      <c r="U45" s="456">
        <v>-48904.52</v>
      </c>
      <c r="V45" s="458"/>
      <c r="W45" s="458">
        <v>-2189.1</v>
      </c>
      <c r="X45" s="462">
        <v>68</v>
      </c>
      <c r="Y45" s="463">
        <v>1</v>
      </c>
      <c r="Z45" s="464">
        <v>4902</v>
      </c>
      <c r="AA45" s="527"/>
      <c r="AB45" s="469">
        <v>188177</v>
      </c>
      <c r="AC45" s="307">
        <f>AB45/VPI!R45</f>
        <v>1.0367837634065329</v>
      </c>
      <c r="AD45" s="309">
        <f t="shared" si="2"/>
        <v>1068835</v>
      </c>
      <c r="AE45" s="307">
        <f>AD45/VPI!R45</f>
        <v>5.8888746964858703</v>
      </c>
      <c r="AF45" s="469">
        <v>1257012</v>
      </c>
      <c r="AG45" s="469">
        <v>532350</v>
      </c>
      <c r="AH45" s="469">
        <v>867284</v>
      </c>
      <c r="AI45" s="528"/>
      <c r="AJ45" s="464"/>
      <c r="AK45" s="307">
        <f>AJ45/VPI!R45</f>
        <v>0</v>
      </c>
      <c r="AL45" s="309">
        <f t="shared" si="3"/>
        <v>144403</v>
      </c>
      <c r="AM45" s="307">
        <f>AL45/VPI!R45</f>
        <v>0.79560565737148303</v>
      </c>
      <c r="AN45" s="464">
        <v>144403</v>
      </c>
      <c r="AO45" s="528"/>
      <c r="AP45" s="477">
        <v>10.045193575565275</v>
      </c>
      <c r="AR45" s="530">
        <v>0</v>
      </c>
    </row>
    <row r="46" spans="1:44" x14ac:dyDescent="0.25">
      <c r="A46" s="525">
        <v>5479</v>
      </c>
      <c r="B46" s="526" t="s">
        <v>214</v>
      </c>
      <c r="C46" s="454">
        <v>1138989.81</v>
      </c>
      <c r="D46" s="454">
        <v>189168.96</v>
      </c>
      <c r="E46" s="454"/>
      <c r="F46" s="455"/>
      <c r="G46" s="454">
        <v>18432.849999999999</v>
      </c>
      <c r="H46" s="454">
        <v>227.7</v>
      </c>
      <c r="I46" s="454"/>
      <c r="J46" s="454">
        <v>16723.59</v>
      </c>
      <c r="K46" s="454">
        <v>2288</v>
      </c>
      <c r="L46" s="454">
        <v>99340.45</v>
      </c>
      <c r="M46" s="344">
        <f t="shared" si="0"/>
        <v>1465171.36</v>
      </c>
      <c r="N46" s="458">
        <v>1838.5</v>
      </c>
      <c r="O46" s="458">
        <v>7456.5</v>
      </c>
      <c r="P46" s="458">
        <v>18698.25</v>
      </c>
      <c r="Q46" s="458">
        <v>5996.81</v>
      </c>
      <c r="R46" s="458">
        <v>12343.8</v>
      </c>
      <c r="S46" s="454">
        <v>1811.89</v>
      </c>
      <c r="T46" s="344">
        <f t="shared" si="1"/>
        <v>1513317.11</v>
      </c>
      <c r="U46" s="456">
        <v>-16400.77</v>
      </c>
      <c r="V46" s="458"/>
      <c r="W46" s="458">
        <v>-979.15</v>
      </c>
      <c r="X46" s="462">
        <v>76</v>
      </c>
      <c r="Y46" s="463">
        <v>1</v>
      </c>
      <c r="Z46" s="464">
        <v>561</v>
      </c>
      <c r="AA46" s="527"/>
      <c r="AB46" s="469">
        <v>22083</v>
      </c>
      <c r="AC46" s="307">
        <f>AB46/VPI!R46</f>
        <v>1.1530007135063891</v>
      </c>
      <c r="AD46" s="309">
        <f t="shared" si="2"/>
        <v>198105</v>
      </c>
      <c r="AE46" s="307">
        <f>AD46/VPI!R46</f>
        <v>10.343486226924929</v>
      </c>
      <c r="AF46" s="469">
        <v>220188</v>
      </c>
      <c r="AG46" s="469">
        <v>24141</v>
      </c>
      <c r="AH46" s="469">
        <v>113468</v>
      </c>
      <c r="AI46" s="528"/>
      <c r="AJ46" s="464"/>
      <c r="AK46" s="307">
        <f>AJ46/VPI!R46</f>
        <v>0</v>
      </c>
      <c r="AL46" s="309">
        <f t="shared" si="3"/>
        <v>103958</v>
      </c>
      <c r="AM46" s="307">
        <f>AL46/VPI!R46</f>
        <v>5.4278697719828468</v>
      </c>
      <c r="AN46" s="464">
        <v>103958</v>
      </c>
      <c r="AO46" s="528"/>
      <c r="AP46" s="477">
        <v>17.280760407532128</v>
      </c>
      <c r="AR46" s="530">
        <v>0</v>
      </c>
    </row>
    <row r="47" spans="1:44" x14ac:dyDescent="0.25">
      <c r="A47" s="525">
        <v>5480</v>
      </c>
      <c r="B47" s="526" t="s">
        <v>215</v>
      </c>
      <c r="C47" s="454">
        <v>2308541.4399999999</v>
      </c>
      <c r="D47" s="454">
        <v>359150.54</v>
      </c>
      <c r="E47" s="454"/>
      <c r="F47" s="455"/>
      <c r="G47" s="454">
        <v>240117.6</v>
      </c>
      <c r="H47" s="454">
        <v>-6843.85</v>
      </c>
      <c r="I47" s="454"/>
      <c r="J47" s="454">
        <v>56333.919999999998</v>
      </c>
      <c r="K47" s="454">
        <v>13078.7</v>
      </c>
      <c r="L47" s="454">
        <v>408000.3</v>
      </c>
      <c r="M47" s="344">
        <f t="shared" si="0"/>
        <v>3378378.65</v>
      </c>
      <c r="N47" s="458">
        <v>169170.25</v>
      </c>
      <c r="O47" s="458">
        <v>83161.7</v>
      </c>
      <c r="P47" s="458">
        <v>235792.2</v>
      </c>
      <c r="Q47" s="458">
        <v>1238.28</v>
      </c>
      <c r="R47" s="458">
        <v>48757.25</v>
      </c>
      <c r="S47" s="454">
        <v>22650.3</v>
      </c>
      <c r="T47" s="344">
        <f t="shared" si="1"/>
        <v>3939148.63</v>
      </c>
      <c r="U47" s="456">
        <v>-65065.599999999999</v>
      </c>
      <c r="V47" s="458"/>
      <c r="W47" s="458">
        <v>-1600.42</v>
      </c>
      <c r="X47" s="462">
        <v>66</v>
      </c>
      <c r="Y47" s="463">
        <v>1.2</v>
      </c>
      <c r="Z47" s="464">
        <v>1099</v>
      </c>
      <c r="AA47" s="527"/>
      <c r="AB47" s="469">
        <v>223606</v>
      </c>
      <c r="AC47" s="307">
        <f>AB47/VPI!R47</f>
        <v>4.5164618560730343</v>
      </c>
      <c r="AD47" s="309">
        <f t="shared" si="2"/>
        <v>93061</v>
      </c>
      <c r="AE47" s="307">
        <f>AD47/VPI!R47</f>
        <v>1.8796743235334143</v>
      </c>
      <c r="AF47" s="469">
        <v>316667</v>
      </c>
      <c r="AG47" s="469">
        <v>71084</v>
      </c>
      <c r="AH47" s="469">
        <v>147574</v>
      </c>
      <c r="AI47" s="528"/>
      <c r="AJ47" s="464"/>
      <c r="AK47" s="307">
        <f>AJ47/VPI!R47</f>
        <v>0</v>
      </c>
      <c r="AL47" s="309">
        <f t="shared" si="3"/>
        <v>14917</v>
      </c>
      <c r="AM47" s="307">
        <f>AL47/VPI!R47</f>
        <v>0.3012980935531312</v>
      </c>
      <c r="AN47" s="464">
        <v>14917</v>
      </c>
      <c r="AO47" s="528"/>
      <c r="AP47" s="477">
        <v>26.474417412505801</v>
      </c>
      <c r="AR47" s="530">
        <v>0</v>
      </c>
    </row>
    <row r="48" spans="1:44" x14ac:dyDescent="0.25">
      <c r="A48" s="525">
        <v>5481</v>
      </c>
      <c r="B48" s="526" t="s">
        <v>216</v>
      </c>
      <c r="C48" s="454">
        <v>750341.4</v>
      </c>
      <c r="D48" s="454">
        <v>85145.51</v>
      </c>
      <c r="E48" s="454"/>
      <c r="F48" s="455"/>
      <c r="G48" s="454">
        <v>44187.25</v>
      </c>
      <c r="H48" s="454">
        <v>391.4</v>
      </c>
      <c r="I48" s="454"/>
      <c r="J48" s="454">
        <v>4980.2700000000004</v>
      </c>
      <c r="K48" s="454"/>
      <c r="L48" s="454">
        <v>42351.1</v>
      </c>
      <c r="M48" s="344">
        <f t="shared" si="0"/>
        <v>927396.93</v>
      </c>
      <c r="N48" s="458">
        <v>0</v>
      </c>
      <c r="O48" s="458">
        <v>62.5</v>
      </c>
      <c r="P48" s="458">
        <v>14520</v>
      </c>
      <c r="Q48" s="458"/>
      <c r="R48" s="458">
        <v>27407.5</v>
      </c>
      <c r="S48" s="454">
        <v>4328.4799999999996</v>
      </c>
      <c r="T48" s="344">
        <f t="shared" si="1"/>
        <v>973715.41</v>
      </c>
      <c r="U48" s="456">
        <v>-2852.98</v>
      </c>
      <c r="V48" s="458"/>
      <c r="W48" s="458">
        <v>0</v>
      </c>
      <c r="X48" s="462">
        <v>75</v>
      </c>
      <c r="Y48" s="463">
        <v>1</v>
      </c>
      <c r="Z48" s="464">
        <v>238</v>
      </c>
      <c r="AA48" s="527"/>
      <c r="AB48" s="469"/>
      <c r="AC48" s="307">
        <f>AB48/VPI!R48</f>
        <v>0</v>
      </c>
      <c r="AD48" s="309">
        <f t="shared" si="2"/>
        <v>53172</v>
      </c>
      <c r="AE48" s="307">
        <f>AD48/VPI!R48</f>
        <v>4.2932698519214307</v>
      </c>
      <c r="AF48" s="469">
        <v>53172</v>
      </c>
      <c r="AG48" s="469">
        <v>10576</v>
      </c>
      <c r="AH48" s="469">
        <v>45665</v>
      </c>
      <c r="AI48" s="528"/>
      <c r="AJ48" s="464"/>
      <c r="AK48" s="307">
        <f>AJ48/VPI!R48</f>
        <v>0</v>
      </c>
      <c r="AL48" s="309">
        <f t="shared" si="3"/>
        <v>10507</v>
      </c>
      <c r="AM48" s="307">
        <f>AL48/VPI!R48</f>
        <v>0.84836730486230483</v>
      </c>
      <c r="AN48" s="464">
        <v>10507</v>
      </c>
      <c r="AO48" s="528"/>
      <c r="AP48" s="477">
        <v>20.317577580545482</v>
      </c>
      <c r="AR48" s="530">
        <v>0</v>
      </c>
    </row>
    <row r="49" spans="1:44" x14ac:dyDescent="0.25">
      <c r="A49" s="525">
        <v>5482</v>
      </c>
      <c r="B49" s="526" t="s">
        <v>217</v>
      </c>
      <c r="C49" s="454">
        <v>1363516.07</v>
      </c>
      <c r="D49" s="454">
        <v>180568.03</v>
      </c>
      <c r="E49" s="454"/>
      <c r="F49" s="455"/>
      <c r="G49" s="454">
        <v>372760.55</v>
      </c>
      <c r="H49" s="454">
        <v>5564.55</v>
      </c>
      <c r="I49" s="454"/>
      <c r="J49" s="454">
        <v>81331.199999999997</v>
      </c>
      <c r="K49" s="454">
        <v>23193.3</v>
      </c>
      <c r="L49" s="454">
        <v>454670.8</v>
      </c>
      <c r="M49" s="344">
        <f t="shared" si="0"/>
        <v>2481604.5</v>
      </c>
      <c r="N49" s="458">
        <v>562868</v>
      </c>
      <c r="O49" s="458"/>
      <c r="P49" s="458">
        <v>36669.699999999997</v>
      </c>
      <c r="Q49" s="458">
        <v>14227.49</v>
      </c>
      <c r="R49" s="458">
        <v>50775.9</v>
      </c>
      <c r="S49" s="454">
        <v>36734.42</v>
      </c>
      <c r="T49" s="344">
        <f t="shared" si="1"/>
        <v>3182880.0100000002</v>
      </c>
      <c r="U49" s="456">
        <v>-30197.040000000001</v>
      </c>
      <c r="V49" s="458"/>
      <c r="W49" s="458">
        <v>-275.85000000000002</v>
      </c>
      <c r="X49" s="462">
        <v>46</v>
      </c>
      <c r="Y49" s="463">
        <v>1</v>
      </c>
      <c r="Z49" s="464">
        <v>1211</v>
      </c>
      <c r="AA49" s="527"/>
      <c r="AB49" s="469">
        <v>124809</v>
      </c>
      <c r="AC49" s="307">
        <f>AB49/VPI!R49</f>
        <v>2.2945641136547126</v>
      </c>
      <c r="AD49" s="309">
        <f t="shared" si="2"/>
        <v>177588</v>
      </c>
      <c r="AE49" s="307">
        <f>AD49/VPI!R49</f>
        <v>3.2648851590487316</v>
      </c>
      <c r="AF49" s="469">
        <v>302397</v>
      </c>
      <c r="AG49" s="469">
        <v>131860</v>
      </c>
      <c r="AH49" s="469">
        <v>156020</v>
      </c>
      <c r="AI49" s="528"/>
      <c r="AJ49" s="464">
        <v>56939</v>
      </c>
      <c r="AK49" s="307">
        <f>AJ49/VPI!R49</f>
        <v>1.0468010004678003</v>
      </c>
      <c r="AL49" s="309">
        <f t="shared" si="3"/>
        <v>68711</v>
      </c>
      <c r="AM49" s="307">
        <f>AL49/VPI!R49</f>
        <v>1.2632245656429342</v>
      </c>
      <c r="AN49" s="464">
        <v>125650</v>
      </c>
      <c r="AO49" s="528"/>
      <c r="AP49" s="477">
        <v>27.203965931366163</v>
      </c>
      <c r="AR49" s="530">
        <v>0</v>
      </c>
    </row>
    <row r="50" spans="1:44" x14ac:dyDescent="0.25">
      <c r="A50" s="525">
        <v>5483</v>
      </c>
      <c r="B50" s="526" t="s">
        <v>125</v>
      </c>
      <c r="C50" s="454">
        <v>723872.68</v>
      </c>
      <c r="D50" s="454">
        <v>82293.279999999999</v>
      </c>
      <c r="E50" s="454"/>
      <c r="F50" s="455"/>
      <c r="G50" s="454">
        <v>-3154.25</v>
      </c>
      <c r="H50" s="454">
        <v>1722.6</v>
      </c>
      <c r="I50" s="454"/>
      <c r="J50" s="454">
        <v>184.35</v>
      </c>
      <c r="K50" s="454">
        <v>175.5</v>
      </c>
      <c r="L50" s="454">
        <v>58650.400000000001</v>
      </c>
      <c r="M50" s="344">
        <f t="shared" si="0"/>
        <v>863744.56</v>
      </c>
      <c r="N50" s="458">
        <v>2280.15</v>
      </c>
      <c r="O50" s="458"/>
      <c r="P50" s="458">
        <v>15400</v>
      </c>
      <c r="Q50" s="458"/>
      <c r="R50" s="458">
        <v>15106.45</v>
      </c>
      <c r="S50" s="454">
        <v>-139.01</v>
      </c>
      <c r="T50" s="344">
        <f t="shared" si="1"/>
        <v>896392.15</v>
      </c>
      <c r="U50" s="456">
        <v>-11798.06</v>
      </c>
      <c r="V50" s="458"/>
      <c r="W50" s="458">
        <v>-940.71</v>
      </c>
      <c r="X50" s="462">
        <v>76</v>
      </c>
      <c r="Y50" s="463">
        <v>1</v>
      </c>
      <c r="Z50" s="464">
        <v>309</v>
      </c>
      <c r="AA50" s="527"/>
      <c r="AB50" s="469"/>
      <c r="AC50" s="307">
        <f>AB50/VPI!R50</f>
        <v>0</v>
      </c>
      <c r="AD50" s="309">
        <f t="shared" si="2"/>
        <v>39635</v>
      </c>
      <c r="AE50" s="307">
        <f>AD50/VPI!R50</f>
        <v>3.5402251807268814</v>
      </c>
      <c r="AF50" s="469">
        <v>39635</v>
      </c>
      <c r="AG50" s="469">
        <v>14235</v>
      </c>
      <c r="AH50" s="469">
        <v>39810</v>
      </c>
      <c r="AI50" s="528"/>
      <c r="AJ50" s="464"/>
      <c r="AK50" s="307">
        <f>AJ50/VPI!R50</f>
        <v>0</v>
      </c>
      <c r="AL50" s="309">
        <f t="shared" si="3"/>
        <v>9070</v>
      </c>
      <c r="AM50" s="307">
        <f>AL50/VPI!R50</f>
        <v>0.81013857421957403</v>
      </c>
      <c r="AN50" s="464">
        <v>9070</v>
      </c>
      <c r="AO50" s="528"/>
      <c r="AP50" s="477">
        <v>19.76414982119611</v>
      </c>
      <c r="AR50" s="530">
        <v>0</v>
      </c>
    </row>
    <row r="51" spans="1:44" x14ac:dyDescent="0.25">
      <c r="A51" s="525">
        <v>5484</v>
      </c>
      <c r="B51" s="526" t="s">
        <v>126</v>
      </c>
      <c r="C51" s="454">
        <v>1960655.88</v>
      </c>
      <c r="D51" s="454">
        <v>300828.42</v>
      </c>
      <c r="E51" s="454"/>
      <c r="F51" s="455"/>
      <c r="G51" s="454">
        <v>857.15</v>
      </c>
      <c r="H51" s="454">
        <v>2745.45</v>
      </c>
      <c r="I51" s="454"/>
      <c r="J51" s="454">
        <v>22142.720000000001</v>
      </c>
      <c r="K51" s="454">
        <v>6883.15</v>
      </c>
      <c r="L51" s="454">
        <v>214766.3</v>
      </c>
      <c r="M51" s="344">
        <f t="shared" si="0"/>
        <v>2508879.0699999998</v>
      </c>
      <c r="N51" s="458">
        <v>45273.95</v>
      </c>
      <c r="O51" s="458">
        <v>45248.6</v>
      </c>
      <c r="P51" s="458">
        <v>50178.05</v>
      </c>
      <c r="Q51" s="458">
        <v>3405.85</v>
      </c>
      <c r="R51" s="458">
        <v>130881.9</v>
      </c>
      <c r="S51" s="454">
        <v>349.8</v>
      </c>
      <c r="T51" s="344">
        <f t="shared" si="1"/>
        <v>2784217.2199999997</v>
      </c>
      <c r="U51" s="456">
        <v>-17091.62</v>
      </c>
      <c r="V51" s="458"/>
      <c r="W51" s="458">
        <v>-339.85</v>
      </c>
      <c r="X51" s="462">
        <v>74</v>
      </c>
      <c r="Y51" s="463">
        <v>1</v>
      </c>
      <c r="Z51" s="464">
        <v>1064</v>
      </c>
      <c r="AA51" s="527"/>
      <c r="AB51" s="469">
        <v>105139</v>
      </c>
      <c r="AC51" s="307">
        <f>AB51/VPI!R51</f>
        <v>3.1180970928921328</v>
      </c>
      <c r="AD51" s="309">
        <f t="shared" si="2"/>
        <v>480466</v>
      </c>
      <c r="AE51" s="307">
        <f>AD51/VPI!R51</f>
        <v>14.249133412278141</v>
      </c>
      <c r="AF51" s="469">
        <v>585605</v>
      </c>
      <c r="AG51" s="469">
        <v>47479</v>
      </c>
      <c r="AH51" s="469">
        <v>201525</v>
      </c>
      <c r="AI51" s="528"/>
      <c r="AJ51" s="464"/>
      <c r="AK51" s="307">
        <f>AJ51/VPI!R51</f>
        <v>0</v>
      </c>
      <c r="AL51" s="309">
        <f t="shared" si="3"/>
        <v>72586</v>
      </c>
      <c r="AM51" s="307">
        <f>AL51/VPI!R51</f>
        <v>2.1526759393247827</v>
      </c>
      <c r="AN51" s="464">
        <v>72586</v>
      </c>
      <c r="AO51" s="528"/>
      <c r="AP51" s="477">
        <v>15.09167041900233</v>
      </c>
      <c r="AR51" s="530">
        <v>0</v>
      </c>
    </row>
    <row r="52" spans="1:44" x14ac:dyDescent="0.25">
      <c r="A52" s="525">
        <v>5485</v>
      </c>
      <c r="B52" s="526" t="s">
        <v>127</v>
      </c>
      <c r="C52" s="454">
        <v>1486538.47</v>
      </c>
      <c r="D52" s="454">
        <v>221042.37</v>
      </c>
      <c r="E52" s="454"/>
      <c r="F52" s="455"/>
      <c r="G52" s="454">
        <v>16257.45</v>
      </c>
      <c r="H52" s="454">
        <v>8745.15</v>
      </c>
      <c r="I52" s="454"/>
      <c r="J52" s="454">
        <v>11949.79</v>
      </c>
      <c r="K52" s="454">
        <v>2031.25</v>
      </c>
      <c r="L52" s="454">
        <v>106710.85</v>
      </c>
      <c r="M52" s="344">
        <f t="shared" si="0"/>
        <v>1853275.3299999998</v>
      </c>
      <c r="N52" s="458">
        <v>6368.85</v>
      </c>
      <c r="O52" s="458">
        <v>31727.9</v>
      </c>
      <c r="P52" s="458">
        <v>65285</v>
      </c>
      <c r="Q52" s="458">
        <v>721.08</v>
      </c>
      <c r="R52" s="458">
        <v>44814.85</v>
      </c>
      <c r="S52" s="454">
        <v>2427.69</v>
      </c>
      <c r="T52" s="344">
        <f t="shared" si="1"/>
        <v>2004620.7</v>
      </c>
      <c r="U52" s="456">
        <v>-1608.69</v>
      </c>
      <c r="V52" s="458"/>
      <c r="W52" s="458">
        <v>-3350.45</v>
      </c>
      <c r="X52" s="462">
        <v>70</v>
      </c>
      <c r="Y52" s="463">
        <v>1</v>
      </c>
      <c r="Z52" s="464">
        <v>540</v>
      </c>
      <c r="AA52" s="527"/>
      <c r="AB52" s="469"/>
      <c r="AC52" s="307">
        <f>AB52/VPI!R52</f>
        <v>0</v>
      </c>
      <c r="AD52" s="309">
        <f t="shared" si="2"/>
        <v>143606</v>
      </c>
      <c r="AE52" s="307">
        <f>AD52/VPI!R52</f>
        <v>5.4294411275274683</v>
      </c>
      <c r="AF52" s="469">
        <v>143606</v>
      </c>
      <c r="AG52" s="469">
        <v>36613</v>
      </c>
      <c r="AH52" s="469">
        <v>110710</v>
      </c>
      <c r="AI52" s="528"/>
      <c r="AJ52" s="464"/>
      <c r="AK52" s="307">
        <f>AJ52/VPI!R52</f>
        <v>0</v>
      </c>
      <c r="AL52" s="309">
        <f t="shared" si="3"/>
        <v>79368</v>
      </c>
      <c r="AM52" s="307">
        <f>AL52/VPI!R52</f>
        <v>3.000737318841832</v>
      </c>
      <c r="AN52" s="464">
        <v>79368</v>
      </c>
      <c r="AO52" s="528"/>
      <c r="AP52" s="477">
        <v>29.412165005937435</v>
      </c>
      <c r="AR52" s="530">
        <v>0</v>
      </c>
    </row>
    <row r="53" spans="1:44" x14ac:dyDescent="0.25">
      <c r="A53" s="525">
        <v>5486</v>
      </c>
      <c r="B53" s="526" t="s">
        <v>0</v>
      </c>
      <c r="C53" s="454">
        <v>2115826.85</v>
      </c>
      <c r="D53" s="454">
        <v>362759.93</v>
      </c>
      <c r="E53" s="454"/>
      <c r="F53" s="455"/>
      <c r="G53" s="454">
        <v>33908.550000000003</v>
      </c>
      <c r="H53" s="454">
        <v>16482.55</v>
      </c>
      <c r="I53" s="454"/>
      <c r="J53" s="454">
        <v>27797.14</v>
      </c>
      <c r="K53" s="454">
        <v>11654.25</v>
      </c>
      <c r="L53" s="454">
        <v>211183.2</v>
      </c>
      <c r="M53" s="344">
        <f t="shared" si="0"/>
        <v>2779612.47</v>
      </c>
      <c r="N53" s="458">
        <v>48981.1</v>
      </c>
      <c r="O53" s="458">
        <v>114475.5</v>
      </c>
      <c r="P53" s="458">
        <v>75903.350000000006</v>
      </c>
      <c r="Q53" s="458">
        <v>3185.17</v>
      </c>
      <c r="R53" s="458">
        <v>67029</v>
      </c>
      <c r="S53" s="454">
        <v>4892.8500000000004</v>
      </c>
      <c r="T53" s="344">
        <f t="shared" si="1"/>
        <v>3094079.4400000004</v>
      </c>
      <c r="U53" s="456">
        <v>-13751.9</v>
      </c>
      <c r="V53" s="458"/>
      <c r="W53" s="458">
        <v>-1738.85</v>
      </c>
      <c r="X53" s="462">
        <v>75</v>
      </c>
      <c r="Y53" s="463">
        <v>1</v>
      </c>
      <c r="Z53" s="464">
        <v>1096</v>
      </c>
      <c r="AA53" s="527"/>
      <c r="AB53" s="469">
        <v>106682</v>
      </c>
      <c r="AC53" s="307">
        <f>AB53/VPI!R53</f>
        <v>2.8862097793862422</v>
      </c>
      <c r="AD53" s="309">
        <f t="shared" si="2"/>
        <v>174196</v>
      </c>
      <c r="AE53" s="307">
        <f>AD53/VPI!R53</f>
        <v>4.7127556544680997</v>
      </c>
      <c r="AF53" s="469">
        <v>280878</v>
      </c>
      <c r="AG53" s="469">
        <v>97099</v>
      </c>
      <c r="AH53" s="469">
        <v>193394</v>
      </c>
      <c r="AI53" s="528"/>
      <c r="AJ53" s="464"/>
      <c r="AK53" s="307">
        <f>AJ53/VPI!R53</f>
        <v>0</v>
      </c>
      <c r="AL53" s="309">
        <f t="shared" si="3"/>
        <v>149933</v>
      </c>
      <c r="AM53" s="307">
        <f>AL53/VPI!R53</f>
        <v>4.0563365033718659</v>
      </c>
      <c r="AN53" s="464">
        <v>149933</v>
      </c>
      <c r="AO53" s="528"/>
      <c r="AP53" s="477">
        <v>12.771851589125813</v>
      </c>
      <c r="AR53" s="530">
        <v>0</v>
      </c>
    </row>
    <row r="54" spans="1:44" x14ac:dyDescent="0.25">
      <c r="A54" s="525">
        <v>5487</v>
      </c>
      <c r="B54" s="526" t="s">
        <v>1</v>
      </c>
      <c r="C54" s="454">
        <v>887875.9</v>
      </c>
      <c r="D54" s="454">
        <v>128241.13</v>
      </c>
      <c r="E54" s="454"/>
      <c r="F54" s="455"/>
      <c r="G54" s="454">
        <v>6473.7</v>
      </c>
      <c r="H54" s="454">
        <v>129.75</v>
      </c>
      <c r="I54" s="454"/>
      <c r="J54" s="454">
        <v>18332.07</v>
      </c>
      <c r="K54" s="454">
        <v>993.25</v>
      </c>
      <c r="L54" s="454">
        <v>85279.85</v>
      </c>
      <c r="M54" s="344">
        <f t="shared" si="0"/>
        <v>1127325.6499999999</v>
      </c>
      <c r="N54" s="458">
        <v>0</v>
      </c>
      <c r="O54" s="458">
        <v>4669.5</v>
      </c>
      <c r="P54" s="458">
        <v>36080</v>
      </c>
      <c r="Q54" s="458">
        <v>17538.34</v>
      </c>
      <c r="R54" s="458">
        <v>44120.75</v>
      </c>
      <c r="S54" s="454">
        <v>641.17999999999995</v>
      </c>
      <c r="T54" s="344">
        <f t="shared" si="1"/>
        <v>1230375.42</v>
      </c>
      <c r="U54" s="456">
        <v>-14874.42</v>
      </c>
      <c r="V54" s="458"/>
      <c r="W54" s="458">
        <v>0</v>
      </c>
      <c r="X54" s="462">
        <v>75</v>
      </c>
      <c r="Y54" s="463">
        <v>1</v>
      </c>
      <c r="Z54" s="464">
        <v>468</v>
      </c>
      <c r="AA54" s="527"/>
      <c r="AB54" s="469">
        <v>21168</v>
      </c>
      <c r="AC54" s="307">
        <f>AB54/VPI!R54</f>
        <v>1.4041719633045537</v>
      </c>
      <c r="AD54" s="309">
        <f t="shared" si="2"/>
        <v>39431</v>
      </c>
      <c r="AE54" s="307">
        <f>AD54/VPI!R54</f>
        <v>2.6156417557190976</v>
      </c>
      <c r="AF54" s="469">
        <v>60599</v>
      </c>
      <c r="AG54" s="469"/>
      <c r="AH54" s="469">
        <v>53775</v>
      </c>
      <c r="AI54" s="528"/>
      <c r="AJ54" s="464">
        <v>367</v>
      </c>
      <c r="AK54" s="307">
        <f>AJ54/VPI!R54</f>
        <v>2.4344818146861829E-2</v>
      </c>
      <c r="AL54" s="309">
        <f t="shared" si="3"/>
        <v>-2626</v>
      </c>
      <c r="AM54" s="307">
        <f>AL54/VPI!R54</f>
        <v>-0.17419480232604678</v>
      </c>
      <c r="AN54" s="464">
        <v>-2259</v>
      </c>
      <c r="AO54" s="528"/>
      <c r="AP54" s="477">
        <v>13.880332262457175</v>
      </c>
      <c r="AR54" s="530">
        <v>0</v>
      </c>
    </row>
    <row r="55" spans="1:44" x14ac:dyDescent="0.25">
      <c r="A55" s="525">
        <v>5488</v>
      </c>
      <c r="B55" s="526" t="s">
        <v>2</v>
      </c>
      <c r="C55" s="454">
        <v>119419.17</v>
      </c>
      <c r="D55" s="454">
        <v>15520.1</v>
      </c>
      <c r="E55" s="454"/>
      <c r="F55" s="455"/>
      <c r="G55" s="454">
        <v>155.5</v>
      </c>
      <c r="H55" s="454">
        <v>142</v>
      </c>
      <c r="I55" s="454"/>
      <c r="J55" s="454">
        <v>-309.79000000000002</v>
      </c>
      <c r="K55" s="454"/>
      <c r="L55" s="454">
        <v>10658</v>
      </c>
      <c r="M55" s="344">
        <f t="shared" si="0"/>
        <v>145584.97999999998</v>
      </c>
      <c r="N55" s="458">
        <v>0</v>
      </c>
      <c r="O55" s="458"/>
      <c r="P55" s="458"/>
      <c r="Q55" s="458"/>
      <c r="R55" s="458"/>
      <c r="S55" s="454">
        <v>28.89</v>
      </c>
      <c r="T55" s="344">
        <f t="shared" si="1"/>
        <v>145613.87</v>
      </c>
      <c r="U55" s="456">
        <v>-117.49</v>
      </c>
      <c r="V55" s="458"/>
      <c r="W55" s="458">
        <v>0</v>
      </c>
      <c r="X55" s="462">
        <v>77</v>
      </c>
      <c r="Y55" s="463">
        <v>1</v>
      </c>
      <c r="Z55" s="464">
        <v>67</v>
      </c>
      <c r="AA55" s="527"/>
      <c r="AB55" s="469"/>
      <c r="AC55" s="307">
        <f>AB55/VPI!R55</f>
        <v>0</v>
      </c>
      <c r="AD55" s="309">
        <f t="shared" si="2"/>
        <v>63968</v>
      </c>
      <c r="AE55" s="307">
        <f>AD55/VPI!R55</f>
        <v>33.853323361034825</v>
      </c>
      <c r="AF55" s="469">
        <v>63968</v>
      </c>
      <c r="AG55" s="469"/>
      <c r="AH55" s="469">
        <v>10081</v>
      </c>
      <c r="AI55" s="528"/>
      <c r="AJ55" s="464"/>
      <c r="AK55" s="307">
        <f>AJ55/VPI!R55</f>
        <v>0</v>
      </c>
      <c r="AL55" s="309">
        <f t="shared" si="3"/>
        <v>0</v>
      </c>
      <c r="AM55" s="307">
        <f>AL55/VPI!R55</f>
        <v>0</v>
      </c>
      <c r="AN55" s="464"/>
      <c r="AO55" s="528"/>
      <c r="AP55" s="477">
        <v>9.2871747997845837</v>
      </c>
      <c r="AR55" s="530">
        <v>0</v>
      </c>
    </row>
    <row r="56" spans="1:44" x14ac:dyDescent="0.25">
      <c r="A56" s="525">
        <v>5489</v>
      </c>
      <c r="B56" s="526" t="s">
        <v>3</v>
      </c>
      <c r="C56" s="454">
        <v>1928136.38</v>
      </c>
      <c r="D56" s="454">
        <v>736308.32</v>
      </c>
      <c r="E56" s="454"/>
      <c r="F56" s="455"/>
      <c r="G56" s="454">
        <v>1435720.1</v>
      </c>
      <c r="H56" s="454">
        <v>7845.2</v>
      </c>
      <c r="I56" s="454"/>
      <c r="J56" s="454">
        <v>27761.9</v>
      </c>
      <c r="K56" s="454">
        <v>9590.5</v>
      </c>
      <c r="L56" s="454">
        <v>311406.90000000002</v>
      </c>
      <c r="M56" s="344">
        <f t="shared" si="0"/>
        <v>4456769.3</v>
      </c>
      <c r="N56" s="458">
        <v>226939.06</v>
      </c>
      <c r="O56" s="458">
        <v>3111.9</v>
      </c>
      <c r="P56" s="458">
        <v>23980</v>
      </c>
      <c r="Q56" s="458">
        <v>4459.1400000000003</v>
      </c>
      <c r="R56" s="458">
        <v>43317.15</v>
      </c>
      <c r="S56" s="454">
        <v>140170.85</v>
      </c>
      <c r="T56" s="344">
        <f t="shared" si="1"/>
        <v>4898747.3999999994</v>
      </c>
      <c r="U56" s="456">
        <v>-13111.91</v>
      </c>
      <c r="V56" s="458"/>
      <c r="W56" s="458">
        <v>-337.25</v>
      </c>
      <c r="X56" s="462">
        <v>59.5</v>
      </c>
      <c r="Y56" s="463">
        <v>1</v>
      </c>
      <c r="Z56" s="464">
        <v>809</v>
      </c>
      <c r="AA56" s="527"/>
      <c r="AB56" s="469">
        <v>46040</v>
      </c>
      <c r="AC56" s="307">
        <f>AB56/VPI!R56</f>
        <v>0.59708146827655251</v>
      </c>
      <c r="AD56" s="309">
        <f t="shared" si="2"/>
        <v>2149839</v>
      </c>
      <c r="AE56" s="307">
        <f>AD56/VPI!R56</f>
        <v>27.880734723679307</v>
      </c>
      <c r="AF56" s="469">
        <v>2195879</v>
      </c>
      <c r="AG56" s="469">
        <v>36460</v>
      </c>
      <c r="AH56" s="469">
        <v>93267</v>
      </c>
      <c r="AI56" s="528"/>
      <c r="AJ56" s="464"/>
      <c r="AK56" s="307">
        <f>AJ56/VPI!R56</f>
        <v>0</v>
      </c>
      <c r="AL56" s="309">
        <f t="shared" si="3"/>
        <v>50957</v>
      </c>
      <c r="AM56" s="307">
        <f>AL56/VPI!R56</f>
        <v>0.66084883533814698</v>
      </c>
      <c r="AN56" s="464">
        <v>50957</v>
      </c>
      <c r="AO56" s="528"/>
      <c r="AP56" s="477">
        <v>34.506049869828949</v>
      </c>
      <c r="AR56" s="530">
        <v>0</v>
      </c>
    </row>
    <row r="57" spans="1:44" x14ac:dyDescent="0.25">
      <c r="A57" s="525">
        <v>5490</v>
      </c>
      <c r="B57" s="526" t="s">
        <v>4</v>
      </c>
      <c r="C57" s="454">
        <v>460764.66</v>
      </c>
      <c r="D57" s="454">
        <v>81708.649999999994</v>
      </c>
      <c r="E57" s="454"/>
      <c r="F57" s="455"/>
      <c r="G57" s="454">
        <v>23135.55</v>
      </c>
      <c r="H57" s="454">
        <v>38.75</v>
      </c>
      <c r="I57" s="454"/>
      <c r="J57" s="454">
        <v>10081.25</v>
      </c>
      <c r="K57" s="454"/>
      <c r="L57" s="454">
        <v>49288.5</v>
      </c>
      <c r="M57" s="344">
        <f t="shared" si="0"/>
        <v>625017.36</v>
      </c>
      <c r="N57" s="458">
        <v>0</v>
      </c>
      <c r="O57" s="458">
        <v>132838.1</v>
      </c>
      <c r="P57" s="458">
        <v>28640</v>
      </c>
      <c r="Q57" s="458">
        <v>8010.98</v>
      </c>
      <c r="R57" s="458">
        <v>15995.9</v>
      </c>
      <c r="S57" s="454">
        <v>2250.17</v>
      </c>
      <c r="T57" s="344">
        <f t="shared" si="1"/>
        <v>812752.51</v>
      </c>
      <c r="U57" s="456">
        <v>-20687.330000000002</v>
      </c>
      <c r="V57" s="458"/>
      <c r="W57" s="458">
        <v>0</v>
      </c>
      <c r="X57" s="462">
        <v>76</v>
      </c>
      <c r="Y57" s="463">
        <v>1</v>
      </c>
      <c r="Z57" s="464">
        <v>299</v>
      </c>
      <c r="AA57" s="527"/>
      <c r="AB57" s="469">
        <v>10848</v>
      </c>
      <c r="AC57" s="307">
        <f>AB57/VPI!R57</f>
        <v>1.3414575848615338</v>
      </c>
      <c r="AD57" s="309">
        <f t="shared" si="2"/>
        <v>70480</v>
      </c>
      <c r="AE57" s="307">
        <f>AD57/VPI!R57</f>
        <v>8.7155171995797289</v>
      </c>
      <c r="AF57" s="469">
        <v>81328</v>
      </c>
      <c r="AG57" s="469">
        <v>13253</v>
      </c>
      <c r="AH57" s="469">
        <v>38522</v>
      </c>
      <c r="AI57" s="528"/>
      <c r="AJ57" s="464"/>
      <c r="AK57" s="307">
        <f>AJ57/VPI!R57</f>
        <v>0</v>
      </c>
      <c r="AL57" s="309">
        <f t="shared" si="3"/>
        <v>-9537</v>
      </c>
      <c r="AM57" s="307">
        <f>AL57/VPI!R57</f>
        <v>-1.1793400614698053</v>
      </c>
      <c r="AN57" s="464">
        <v>-9537</v>
      </c>
      <c r="AO57" s="528"/>
      <c r="AP57" s="477">
        <v>12.519886132898193</v>
      </c>
      <c r="AR57" s="530">
        <v>0</v>
      </c>
    </row>
    <row r="58" spans="1:44" x14ac:dyDescent="0.25">
      <c r="A58" s="525">
        <v>5491</v>
      </c>
      <c r="B58" s="526" t="s">
        <v>147</v>
      </c>
      <c r="C58" s="454">
        <v>808216.41</v>
      </c>
      <c r="D58" s="454">
        <v>111602.61</v>
      </c>
      <c r="E58" s="454"/>
      <c r="F58" s="455">
        <v>2690</v>
      </c>
      <c r="G58" s="454">
        <v>-2601.5500000000002</v>
      </c>
      <c r="H58" s="454">
        <v>2884.6</v>
      </c>
      <c r="I58" s="454"/>
      <c r="J58" s="454">
        <v>15056.83</v>
      </c>
      <c r="K58" s="454">
        <v>425</v>
      </c>
      <c r="L58" s="454">
        <v>95817.9</v>
      </c>
      <c r="M58" s="344">
        <f t="shared" si="0"/>
        <v>1034091.7999999999</v>
      </c>
      <c r="N58" s="458">
        <v>777.55</v>
      </c>
      <c r="O58" s="458">
        <v>2943.4</v>
      </c>
      <c r="P58" s="458">
        <v>39930</v>
      </c>
      <c r="Q58" s="458">
        <v>35030.28</v>
      </c>
      <c r="R58" s="458">
        <v>55933.05</v>
      </c>
      <c r="S58" s="454">
        <v>27.48</v>
      </c>
      <c r="T58" s="344">
        <f t="shared" si="1"/>
        <v>1168733.56</v>
      </c>
      <c r="U58" s="456">
        <v>-490.67</v>
      </c>
      <c r="V58" s="458"/>
      <c r="W58" s="458">
        <v>-99.15</v>
      </c>
      <c r="X58" s="462">
        <v>76</v>
      </c>
      <c r="Y58" s="463">
        <v>1</v>
      </c>
      <c r="Z58" s="464">
        <v>495</v>
      </c>
      <c r="AA58" s="527"/>
      <c r="AB58" s="469">
        <v>52064</v>
      </c>
      <c r="AC58" s="307">
        <f>AB58/VPI!R58</f>
        <v>3.702988098728107</v>
      </c>
      <c r="AD58" s="309">
        <f t="shared" si="2"/>
        <v>1040848</v>
      </c>
      <c r="AE58" s="307">
        <f>AD58/VPI!R58</f>
        <v>74.029036504781658</v>
      </c>
      <c r="AF58" s="469">
        <v>1092912</v>
      </c>
      <c r="AG58" s="469">
        <v>22178</v>
      </c>
      <c r="AH58" s="469">
        <v>93512</v>
      </c>
      <c r="AI58" s="528"/>
      <c r="AJ58" s="464"/>
      <c r="AK58" s="307">
        <f>AJ58/VPI!R58</f>
        <v>0</v>
      </c>
      <c r="AL58" s="309">
        <f t="shared" si="3"/>
        <v>-1734</v>
      </c>
      <c r="AM58" s="307">
        <f>AL58/VPI!R58</f>
        <v>-0.12332862175773159</v>
      </c>
      <c r="AN58" s="464">
        <v>-1734</v>
      </c>
      <c r="AO58" s="528"/>
      <c r="AP58" s="477">
        <v>10.195222998462143</v>
      </c>
      <c r="AR58" s="530">
        <v>0</v>
      </c>
    </row>
    <row r="59" spans="1:44" x14ac:dyDescent="0.25">
      <c r="A59" s="525">
        <v>5492</v>
      </c>
      <c r="B59" s="526" t="s">
        <v>148</v>
      </c>
      <c r="C59" s="454">
        <v>6802789.5099999998</v>
      </c>
      <c r="D59" s="454">
        <v>5543097.3600000003</v>
      </c>
      <c r="E59" s="454"/>
      <c r="F59" s="455"/>
      <c r="G59" s="454">
        <v>49633.55</v>
      </c>
      <c r="H59" s="454">
        <v>2953.2</v>
      </c>
      <c r="I59" s="454"/>
      <c r="J59" s="454">
        <v>42243.24</v>
      </c>
      <c r="K59" s="454">
        <v>5630.8</v>
      </c>
      <c r="L59" s="454">
        <v>76556.55</v>
      </c>
      <c r="M59" s="344">
        <f t="shared" si="0"/>
        <v>12522904.210000003</v>
      </c>
      <c r="N59" s="458">
        <v>5271.85</v>
      </c>
      <c r="O59" s="458">
        <v>2870519.3</v>
      </c>
      <c r="P59" s="458">
        <v>29712.5</v>
      </c>
      <c r="Q59" s="458">
        <v>6079.59</v>
      </c>
      <c r="R59" s="458">
        <v>57339.95</v>
      </c>
      <c r="S59" s="454">
        <v>5106.04</v>
      </c>
      <c r="T59" s="344">
        <f t="shared" si="1"/>
        <v>15496933.440000001</v>
      </c>
      <c r="U59" s="456">
        <v>-23429.119999999999</v>
      </c>
      <c r="V59" s="458"/>
      <c r="W59" s="458">
        <v>-7370.65</v>
      </c>
      <c r="X59" s="462">
        <v>64</v>
      </c>
      <c r="Y59" s="463">
        <v>0.3</v>
      </c>
      <c r="Z59" s="464">
        <v>943</v>
      </c>
      <c r="AA59" s="527"/>
      <c r="AB59" s="469"/>
      <c r="AC59" s="307">
        <f>AB59/VPI!R59</f>
        <v>0</v>
      </c>
      <c r="AD59" s="309">
        <f t="shared" si="2"/>
        <v>176874</v>
      </c>
      <c r="AE59" s="307">
        <f>AD59/VPI!R59</f>
        <v>0.89260413225597157</v>
      </c>
      <c r="AF59" s="469">
        <v>176874</v>
      </c>
      <c r="AG59" s="469">
        <v>93989</v>
      </c>
      <c r="AH59" s="469">
        <v>130397</v>
      </c>
      <c r="AI59" s="528"/>
      <c r="AJ59" s="464"/>
      <c r="AK59" s="307">
        <f>AJ59/VPI!R59</f>
        <v>0</v>
      </c>
      <c r="AL59" s="309">
        <f t="shared" si="3"/>
        <v>264938</v>
      </c>
      <c r="AM59" s="307">
        <f>AL59/VPI!R59</f>
        <v>1.3370238338683618</v>
      </c>
      <c r="AN59" s="464">
        <v>264938</v>
      </c>
      <c r="AO59" s="528"/>
      <c r="AP59" s="477">
        <v>53.467325074991308</v>
      </c>
      <c r="AR59" s="530">
        <v>0</v>
      </c>
    </row>
    <row r="60" spans="1:44" x14ac:dyDescent="0.25">
      <c r="A60" s="525">
        <v>5493</v>
      </c>
      <c r="B60" s="526" t="s">
        <v>149</v>
      </c>
      <c r="C60" s="454">
        <v>867805.57</v>
      </c>
      <c r="D60" s="454">
        <v>135726.70000000001</v>
      </c>
      <c r="E60" s="454"/>
      <c r="F60" s="455"/>
      <c r="G60" s="454">
        <v>57828.6</v>
      </c>
      <c r="H60" s="454">
        <v>1292.45</v>
      </c>
      <c r="I60" s="454"/>
      <c r="J60" s="454">
        <v>21034.01</v>
      </c>
      <c r="K60" s="454">
        <v>3791.05</v>
      </c>
      <c r="L60" s="454">
        <v>55254.9</v>
      </c>
      <c r="M60" s="344">
        <f t="shared" si="0"/>
        <v>1142733.28</v>
      </c>
      <c r="N60" s="458">
        <v>63177.25</v>
      </c>
      <c r="O60" s="458">
        <v>3762.6</v>
      </c>
      <c r="P60" s="458">
        <v>26061</v>
      </c>
      <c r="Q60" s="458">
        <v>9252.0300000000007</v>
      </c>
      <c r="R60" s="458">
        <v>28236.55</v>
      </c>
      <c r="S60" s="454">
        <v>5740.51</v>
      </c>
      <c r="T60" s="344">
        <f t="shared" si="1"/>
        <v>1278963.2200000002</v>
      </c>
      <c r="U60" s="456">
        <v>-8637.16</v>
      </c>
      <c r="V60" s="458"/>
      <c r="W60" s="458">
        <v>-1978.64</v>
      </c>
      <c r="X60" s="462">
        <v>73</v>
      </c>
      <c r="Y60" s="463">
        <v>0.65</v>
      </c>
      <c r="Z60" s="464">
        <v>497</v>
      </c>
      <c r="AA60" s="527"/>
      <c r="AB60" s="469">
        <v>21942</v>
      </c>
      <c r="AC60" s="307">
        <f>AB60/VPI!R60</f>
        <v>1.361047517723027</v>
      </c>
      <c r="AD60" s="309">
        <f t="shared" si="2"/>
        <v>137070</v>
      </c>
      <c r="AE60" s="307">
        <f>AD60/VPI!R60</f>
        <v>8.5023600061204689</v>
      </c>
      <c r="AF60" s="469">
        <v>159012</v>
      </c>
      <c r="AG60" s="469">
        <v>22311</v>
      </c>
      <c r="AH60" s="469">
        <v>64031</v>
      </c>
      <c r="AI60" s="528"/>
      <c r="AJ60" s="464"/>
      <c r="AK60" s="307">
        <f>AJ60/VPI!R60</f>
        <v>0</v>
      </c>
      <c r="AL60" s="309">
        <f t="shared" si="3"/>
        <v>6514</v>
      </c>
      <c r="AM60" s="307">
        <f>AL60/VPI!R60</f>
        <v>0.40405904340751975</v>
      </c>
      <c r="AN60" s="464">
        <v>6514</v>
      </c>
      <c r="AO60" s="528"/>
      <c r="AP60" s="477">
        <v>13.009297182503367</v>
      </c>
      <c r="AR60" s="530">
        <v>0</v>
      </c>
    </row>
    <row r="61" spans="1:44" x14ac:dyDescent="0.25">
      <c r="A61" s="525">
        <v>5495</v>
      </c>
      <c r="B61" s="526" t="s">
        <v>150</v>
      </c>
      <c r="C61" s="454">
        <v>5347643.9800000004</v>
      </c>
      <c r="D61" s="454">
        <v>647359.04</v>
      </c>
      <c r="E61" s="454"/>
      <c r="F61" s="455"/>
      <c r="G61" s="454">
        <v>115039.35</v>
      </c>
      <c r="H61" s="454">
        <v>10891.4</v>
      </c>
      <c r="I61" s="454">
        <v>100147.7</v>
      </c>
      <c r="J61" s="454">
        <v>192035.45</v>
      </c>
      <c r="K61" s="454">
        <v>99419.65</v>
      </c>
      <c r="L61" s="454">
        <v>545636.19999999995</v>
      </c>
      <c r="M61" s="344">
        <f t="shared" si="0"/>
        <v>7058172.7700000014</v>
      </c>
      <c r="N61" s="458">
        <v>390397.05</v>
      </c>
      <c r="O61" s="458">
        <v>69504</v>
      </c>
      <c r="P61" s="458">
        <v>122587.05</v>
      </c>
      <c r="Q61" s="458">
        <v>29114.47</v>
      </c>
      <c r="R61" s="458">
        <v>198222.3</v>
      </c>
      <c r="S61" s="454">
        <v>12227.56</v>
      </c>
      <c r="T61" s="344">
        <f t="shared" si="1"/>
        <v>7880225.2000000002</v>
      </c>
      <c r="U61" s="456">
        <v>-94057.97</v>
      </c>
      <c r="V61" s="458"/>
      <c r="W61" s="458">
        <v>-198.5</v>
      </c>
      <c r="X61" s="462">
        <v>72.5</v>
      </c>
      <c r="Y61" s="463">
        <v>1</v>
      </c>
      <c r="Z61" s="464">
        <v>3177</v>
      </c>
      <c r="AA61" s="527"/>
      <c r="AB61" s="469">
        <v>289284</v>
      </c>
      <c r="AC61" s="307">
        <f>AB61/VPI!R61</f>
        <v>2.9939067214955934</v>
      </c>
      <c r="AD61" s="309">
        <f t="shared" si="2"/>
        <v>653593</v>
      </c>
      <c r="AE61" s="307">
        <f>AD61/VPI!R61</f>
        <v>6.7642748158296673</v>
      </c>
      <c r="AF61" s="469">
        <v>942877</v>
      </c>
      <c r="AG61" s="469">
        <v>356871</v>
      </c>
      <c r="AH61" s="469">
        <v>406514</v>
      </c>
      <c r="AI61" s="528"/>
      <c r="AJ61" s="464"/>
      <c r="AK61" s="307">
        <f>AJ61/VPI!R61</f>
        <v>0</v>
      </c>
      <c r="AL61" s="309">
        <f t="shared" si="3"/>
        <v>119131</v>
      </c>
      <c r="AM61" s="307">
        <f>AL61/VPI!R61</f>
        <v>1.2329306205614259</v>
      </c>
      <c r="AN61" s="464">
        <v>119131</v>
      </c>
      <c r="AO61" s="528"/>
      <c r="AP61" s="477">
        <v>6.9904837539249396</v>
      </c>
      <c r="AR61" s="530">
        <v>0</v>
      </c>
    </row>
    <row r="62" spans="1:44" x14ac:dyDescent="0.25">
      <c r="A62" s="525">
        <v>5496</v>
      </c>
      <c r="B62" s="526" t="s">
        <v>151</v>
      </c>
      <c r="C62" s="454">
        <v>3470732.33</v>
      </c>
      <c r="D62" s="454">
        <v>361360.94</v>
      </c>
      <c r="E62" s="454"/>
      <c r="F62" s="455"/>
      <c r="G62" s="454">
        <v>106613.25</v>
      </c>
      <c r="H62" s="454">
        <v>17801.8</v>
      </c>
      <c r="I62" s="454"/>
      <c r="J62" s="454">
        <v>83816.800000000003</v>
      </c>
      <c r="K62" s="454">
        <v>26336.6</v>
      </c>
      <c r="L62" s="454">
        <v>383756.79999999999</v>
      </c>
      <c r="M62" s="344">
        <f t="shared" si="0"/>
        <v>4450418.5199999996</v>
      </c>
      <c r="N62" s="458">
        <v>89105.3</v>
      </c>
      <c r="O62" s="458">
        <v>5906.6</v>
      </c>
      <c r="P62" s="458">
        <v>75610.100000000006</v>
      </c>
      <c r="Q62" s="458">
        <v>15184.16</v>
      </c>
      <c r="R62" s="458">
        <v>-1887.3</v>
      </c>
      <c r="S62" s="454">
        <v>12080.39</v>
      </c>
      <c r="T62" s="344">
        <f t="shared" si="1"/>
        <v>4646417.7699999986</v>
      </c>
      <c r="U62" s="456">
        <v>-69168.78</v>
      </c>
      <c r="V62" s="458"/>
      <c r="W62" s="458">
        <v>-518.25</v>
      </c>
      <c r="X62" s="462">
        <v>69.5</v>
      </c>
      <c r="Y62" s="463">
        <v>1</v>
      </c>
      <c r="Z62" s="464">
        <v>1946</v>
      </c>
      <c r="AA62" s="527"/>
      <c r="AB62" s="469">
        <v>270477</v>
      </c>
      <c r="AC62" s="307">
        <f>AB62/VPI!R62</f>
        <v>4.2645572567256655</v>
      </c>
      <c r="AD62" s="309">
        <f t="shared" si="2"/>
        <v>217941</v>
      </c>
      <c r="AE62" s="307">
        <f>AD62/VPI!R62</f>
        <v>3.4362325561435849</v>
      </c>
      <c r="AF62" s="469">
        <v>488418</v>
      </c>
      <c r="AG62" s="469">
        <v>127108</v>
      </c>
      <c r="AH62" s="469">
        <v>264575</v>
      </c>
      <c r="AI62" s="528"/>
      <c r="AJ62" s="464"/>
      <c r="AK62" s="307">
        <f>AJ62/VPI!R62</f>
        <v>0</v>
      </c>
      <c r="AL62" s="309">
        <f t="shared" si="3"/>
        <v>17220</v>
      </c>
      <c r="AM62" s="307">
        <f>AL62/VPI!R62</f>
        <v>0.27150432739499464</v>
      </c>
      <c r="AN62" s="464">
        <v>17220</v>
      </c>
      <c r="AO62" s="528"/>
      <c r="AP62" s="477">
        <v>16.178754521025024</v>
      </c>
      <c r="AR62" s="530">
        <v>0</v>
      </c>
    </row>
    <row r="63" spans="1:44" x14ac:dyDescent="0.25">
      <c r="A63" s="525">
        <v>5497</v>
      </c>
      <c r="B63" s="526" t="s">
        <v>152</v>
      </c>
      <c r="C63" s="454">
        <v>1364562.68</v>
      </c>
      <c r="D63" s="454">
        <v>141243.59</v>
      </c>
      <c r="E63" s="454"/>
      <c r="F63" s="455"/>
      <c r="G63" s="454">
        <v>182404.6</v>
      </c>
      <c r="H63" s="454">
        <v>2114.9499999999998</v>
      </c>
      <c r="I63" s="454"/>
      <c r="J63" s="454">
        <v>92621.04</v>
      </c>
      <c r="K63" s="454">
        <v>4323.2</v>
      </c>
      <c r="L63" s="454">
        <v>142877.65</v>
      </c>
      <c r="M63" s="344">
        <f t="shared" si="0"/>
        <v>1930147.71</v>
      </c>
      <c r="N63" s="458">
        <v>246282.7</v>
      </c>
      <c r="O63" s="458">
        <v>746.7</v>
      </c>
      <c r="P63" s="458">
        <v>36430.35</v>
      </c>
      <c r="Q63" s="458">
        <v>9432.6</v>
      </c>
      <c r="R63" s="458">
        <v>84686.2</v>
      </c>
      <c r="S63" s="454">
        <v>17916.39</v>
      </c>
      <c r="T63" s="344">
        <f t="shared" si="1"/>
        <v>2325642.6500000008</v>
      </c>
      <c r="U63" s="456">
        <v>-24720.62</v>
      </c>
      <c r="V63" s="458"/>
      <c r="W63" s="458">
        <v>-113.15</v>
      </c>
      <c r="X63" s="462">
        <v>66</v>
      </c>
      <c r="Y63" s="463">
        <v>1</v>
      </c>
      <c r="Z63" s="464">
        <v>930</v>
      </c>
      <c r="AA63" s="527"/>
      <c r="AB63" s="469">
        <v>91263</v>
      </c>
      <c r="AC63" s="307">
        <f>AB63/VPI!R63</f>
        <v>3.1166107170069224</v>
      </c>
      <c r="AD63" s="309">
        <f t="shared" si="2"/>
        <v>251479</v>
      </c>
      <c r="AE63" s="307">
        <f>AD63/VPI!R63</f>
        <v>8.5879507193735023</v>
      </c>
      <c r="AF63" s="469">
        <v>342742</v>
      </c>
      <c r="AG63" s="469">
        <v>61981</v>
      </c>
      <c r="AH63" s="469">
        <v>119817</v>
      </c>
      <c r="AI63" s="528"/>
      <c r="AJ63" s="464"/>
      <c r="AK63" s="307">
        <f>AJ63/VPI!R63</f>
        <v>0</v>
      </c>
      <c r="AL63" s="309">
        <f t="shared" si="3"/>
        <v>14444</v>
      </c>
      <c r="AM63" s="307">
        <f>AL63/VPI!R63</f>
        <v>0.49325931863348771</v>
      </c>
      <c r="AN63" s="464">
        <v>14444</v>
      </c>
      <c r="AO63" s="528"/>
      <c r="AP63" s="477">
        <v>12.172311541571926</v>
      </c>
      <c r="AR63" s="530">
        <v>0</v>
      </c>
    </row>
    <row r="64" spans="1:44" x14ac:dyDescent="0.25">
      <c r="A64" s="525">
        <v>5498</v>
      </c>
      <c r="B64" s="526" t="s">
        <v>153</v>
      </c>
      <c r="C64" s="454">
        <v>4069549.72</v>
      </c>
      <c r="D64" s="454">
        <v>524217.21</v>
      </c>
      <c r="E64" s="454"/>
      <c r="F64" s="455"/>
      <c r="G64" s="454">
        <v>142365.70000000001</v>
      </c>
      <c r="H64" s="454">
        <v>14697.85</v>
      </c>
      <c r="I64" s="454"/>
      <c r="J64" s="454">
        <v>145301.63</v>
      </c>
      <c r="K64" s="454">
        <v>48765.8</v>
      </c>
      <c r="L64" s="454">
        <v>425606.7</v>
      </c>
      <c r="M64" s="344">
        <f t="shared" si="0"/>
        <v>5370504.6100000003</v>
      </c>
      <c r="N64" s="458">
        <v>106740.45</v>
      </c>
      <c r="O64" s="458">
        <v>217661.5</v>
      </c>
      <c r="P64" s="458">
        <v>99173.3</v>
      </c>
      <c r="Q64" s="458">
        <v>48856.29</v>
      </c>
      <c r="R64" s="458">
        <v>115291.15</v>
      </c>
      <c r="S64" s="454">
        <v>15250.48</v>
      </c>
      <c r="T64" s="344">
        <f t="shared" si="1"/>
        <v>5973477.7800000012</v>
      </c>
      <c r="U64" s="456">
        <v>-72552.09</v>
      </c>
      <c r="V64" s="458"/>
      <c r="W64" s="458">
        <v>-114.7</v>
      </c>
      <c r="X64" s="462">
        <v>70</v>
      </c>
      <c r="Y64" s="463">
        <v>1</v>
      </c>
      <c r="Z64" s="464">
        <v>2618</v>
      </c>
      <c r="AA64" s="527"/>
      <c r="AB64" s="469">
        <v>255622</v>
      </c>
      <c r="AC64" s="307">
        <f>AB64/VPI!R64</f>
        <v>3.3371363130777891</v>
      </c>
      <c r="AD64" s="309">
        <f t="shared" si="2"/>
        <v>297179</v>
      </c>
      <c r="AE64" s="307">
        <f>AD64/VPI!R64</f>
        <v>3.8796615016866478</v>
      </c>
      <c r="AF64" s="469">
        <v>552801</v>
      </c>
      <c r="AG64" s="469">
        <v>289937</v>
      </c>
      <c r="AH64" s="469">
        <v>337291</v>
      </c>
      <c r="AI64" s="528"/>
      <c r="AJ64" s="464"/>
      <c r="AK64" s="307">
        <f>AJ64/VPI!R64</f>
        <v>0</v>
      </c>
      <c r="AL64" s="309">
        <f t="shared" si="3"/>
        <v>30273</v>
      </c>
      <c r="AM64" s="307">
        <f>AL64/VPI!R64</f>
        <v>0.39521296134841255</v>
      </c>
      <c r="AN64" s="464">
        <v>30273</v>
      </c>
      <c r="AO64" s="528"/>
      <c r="AP64" s="477">
        <v>10.364877197438158</v>
      </c>
      <c r="AR64" s="530">
        <v>0</v>
      </c>
    </row>
    <row r="65" spans="1:44" x14ac:dyDescent="0.25">
      <c r="A65" s="525">
        <v>5499</v>
      </c>
      <c r="B65" s="526" t="s">
        <v>154</v>
      </c>
      <c r="C65" s="454">
        <v>1076317.01</v>
      </c>
      <c r="D65" s="454">
        <v>248805.52</v>
      </c>
      <c r="E65" s="454"/>
      <c r="F65" s="455"/>
      <c r="G65" s="454">
        <v>8581.15</v>
      </c>
      <c r="H65" s="454">
        <v>1609.55</v>
      </c>
      <c r="I65" s="454"/>
      <c r="J65" s="454">
        <v>7108.46</v>
      </c>
      <c r="K65" s="454"/>
      <c r="L65" s="454">
        <v>109606.1</v>
      </c>
      <c r="M65" s="344">
        <f t="shared" si="0"/>
        <v>1452027.79</v>
      </c>
      <c r="N65" s="458">
        <v>24945.95</v>
      </c>
      <c r="O65" s="458">
        <v>5428.2</v>
      </c>
      <c r="P65" s="458">
        <v>24157.599999999999</v>
      </c>
      <c r="Q65" s="458">
        <v>2.23</v>
      </c>
      <c r="R65" s="458">
        <v>86853.8</v>
      </c>
      <c r="S65" s="454">
        <v>989.49</v>
      </c>
      <c r="T65" s="344">
        <f t="shared" si="1"/>
        <v>1594405.06</v>
      </c>
      <c r="U65" s="456">
        <v>-3415.39</v>
      </c>
      <c r="V65" s="458"/>
      <c r="W65" s="458">
        <v>-1776</v>
      </c>
      <c r="X65" s="462">
        <v>68.5</v>
      </c>
      <c r="Y65" s="463">
        <v>1</v>
      </c>
      <c r="Z65" s="464">
        <v>480</v>
      </c>
      <c r="AA65" s="527"/>
      <c r="AB65" s="469"/>
      <c r="AC65" s="307">
        <f>AB65/VPI!R65</f>
        <v>0</v>
      </c>
      <c r="AD65" s="309">
        <f t="shared" si="2"/>
        <v>329111</v>
      </c>
      <c r="AE65" s="307">
        <f>AD65/VPI!R65</f>
        <v>15.570980552581061</v>
      </c>
      <c r="AF65" s="469">
        <v>329111</v>
      </c>
      <c r="AG65" s="469">
        <v>32865</v>
      </c>
      <c r="AH65" s="469">
        <v>100844</v>
      </c>
      <c r="AI65" s="528"/>
      <c r="AJ65" s="464"/>
      <c r="AK65" s="307">
        <f>AJ65/VPI!R65</f>
        <v>0</v>
      </c>
      <c r="AL65" s="309">
        <f t="shared" si="3"/>
        <v>7872</v>
      </c>
      <c r="AM65" s="307">
        <f>AL65/VPI!R65</f>
        <v>0.37244199953790091</v>
      </c>
      <c r="AN65" s="464">
        <v>7872</v>
      </c>
      <c r="AO65" s="528"/>
      <c r="AP65" s="477">
        <v>28.977250283662983</v>
      </c>
      <c r="AR65" s="530">
        <v>0</v>
      </c>
    </row>
    <row r="66" spans="1:44" x14ac:dyDescent="0.25">
      <c r="A66" s="525">
        <v>5501</v>
      </c>
      <c r="B66" s="526" t="s">
        <v>155</v>
      </c>
      <c r="C66" s="454">
        <v>2833202.67</v>
      </c>
      <c r="D66" s="454">
        <v>426492.26</v>
      </c>
      <c r="E66" s="454"/>
      <c r="F66" s="455"/>
      <c r="G66" s="454">
        <v>114274.45</v>
      </c>
      <c r="H66" s="454">
        <v>2774.35</v>
      </c>
      <c r="I66" s="454"/>
      <c r="J66" s="454">
        <v>38253.9</v>
      </c>
      <c r="K66" s="454"/>
      <c r="L66" s="454">
        <v>284880.5</v>
      </c>
      <c r="M66" s="344">
        <f t="shared" ref="M66:M128" si="4">SUM(C66:L66)</f>
        <v>3699878.13</v>
      </c>
      <c r="N66" s="458">
        <v>20374.349999999999</v>
      </c>
      <c r="O66" s="458">
        <v>10649.5</v>
      </c>
      <c r="P66" s="458">
        <v>300242.5</v>
      </c>
      <c r="Q66" s="458">
        <v>293.48</v>
      </c>
      <c r="R66" s="458">
        <v>179433.35</v>
      </c>
      <c r="S66" s="454">
        <v>11365.15</v>
      </c>
      <c r="T66" s="344">
        <f t="shared" ref="T66:T128" si="5">SUM(M66:S66)</f>
        <v>4222236.46</v>
      </c>
      <c r="U66" s="456">
        <v>-12826.39</v>
      </c>
      <c r="V66" s="458"/>
      <c r="W66" s="458">
        <v>-2592.9</v>
      </c>
      <c r="X66" s="462">
        <v>64</v>
      </c>
      <c r="Y66" s="463">
        <v>1</v>
      </c>
      <c r="Z66" s="464">
        <v>1225</v>
      </c>
      <c r="AA66" s="527"/>
      <c r="AB66" s="469">
        <v>52745</v>
      </c>
      <c r="AC66" s="307">
        <f>AB66/VPI!R66</f>
        <v>0.91330430577467558</v>
      </c>
      <c r="AD66" s="309">
        <f t="shared" si="2"/>
        <v>141506</v>
      </c>
      <c r="AE66" s="307">
        <f>AD66/VPI!R66</f>
        <v>2.4502424702427006</v>
      </c>
      <c r="AF66" s="469">
        <v>194251</v>
      </c>
      <c r="AG66" s="469">
        <v>80293</v>
      </c>
      <c r="AH66" s="469">
        <v>63383</v>
      </c>
      <c r="AI66" s="528"/>
      <c r="AJ66" s="464"/>
      <c r="AK66" s="307">
        <f>AJ66/VPI!R66</f>
        <v>0</v>
      </c>
      <c r="AL66" s="309">
        <f t="shared" si="3"/>
        <v>44043</v>
      </c>
      <c r="AM66" s="307">
        <f>AL66/VPI!R66</f>
        <v>0.76262511212880912</v>
      </c>
      <c r="AN66" s="464">
        <v>44043</v>
      </c>
      <c r="AO66" s="528"/>
      <c r="AP66" s="477">
        <v>25.487989814433362</v>
      </c>
      <c r="AR66" s="530">
        <v>0</v>
      </c>
    </row>
    <row r="67" spans="1:44" x14ac:dyDescent="0.25">
      <c r="A67" s="525">
        <v>5503</v>
      </c>
      <c r="B67" s="526" t="s">
        <v>156</v>
      </c>
      <c r="C67" s="454">
        <v>1983953.68</v>
      </c>
      <c r="D67" s="454">
        <v>526280.26</v>
      </c>
      <c r="E67" s="454"/>
      <c r="F67" s="455"/>
      <c r="G67" s="454">
        <v>1366862.9</v>
      </c>
      <c r="H67" s="454">
        <v>1547.25</v>
      </c>
      <c r="I67" s="454"/>
      <c r="J67" s="454">
        <v>44038.65</v>
      </c>
      <c r="K67" s="454">
        <v>65974.850000000006</v>
      </c>
      <c r="L67" s="454">
        <v>611892.19999999995</v>
      </c>
      <c r="M67" s="344">
        <f t="shared" si="4"/>
        <v>4600549.79</v>
      </c>
      <c r="N67" s="458">
        <v>362996.79</v>
      </c>
      <c r="O67" s="458">
        <v>41111</v>
      </c>
      <c r="P67" s="458">
        <v>105869.45</v>
      </c>
      <c r="Q67" s="458">
        <v>7835.63</v>
      </c>
      <c r="R67" s="458">
        <v>229882.95</v>
      </c>
      <c r="S67" s="454">
        <v>132863.57</v>
      </c>
      <c r="T67" s="344">
        <f t="shared" si="5"/>
        <v>5481109.1800000006</v>
      </c>
      <c r="U67" s="456">
        <v>-24694.63</v>
      </c>
      <c r="V67" s="458"/>
      <c r="W67" s="458">
        <v>-3520.65</v>
      </c>
      <c r="X67" s="462">
        <v>67</v>
      </c>
      <c r="Y67" s="463">
        <v>1.2</v>
      </c>
      <c r="Z67" s="464">
        <v>1342</v>
      </c>
      <c r="AA67" s="527"/>
      <c r="AB67" s="469">
        <v>94535</v>
      </c>
      <c r="AC67" s="307">
        <f>AB67/VPI!R67</f>
        <v>1.3736226449274458</v>
      </c>
      <c r="AD67" s="309">
        <f t="shared" si="2"/>
        <v>701866</v>
      </c>
      <c r="AE67" s="307">
        <f>AD67/VPI!R67</f>
        <v>10.198328992485816</v>
      </c>
      <c r="AF67" s="469">
        <v>796401</v>
      </c>
      <c r="AG67" s="469">
        <v>149040</v>
      </c>
      <c r="AH67" s="469">
        <v>142136</v>
      </c>
      <c r="AI67" s="528"/>
      <c r="AJ67" s="464"/>
      <c r="AK67" s="307">
        <f>AJ67/VPI!R67</f>
        <v>0</v>
      </c>
      <c r="AL67" s="309">
        <f t="shared" si="3"/>
        <v>38095</v>
      </c>
      <c r="AM67" s="307">
        <f>AL67/VPI!R67</f>
        <v>0.55353207445402275</v>
      </c>
      <c r="AN67" s="464">
        <v>38095</v>
      </c>
      <c r="AO67" s="528"/>
      <c r="AP67" s="477">
        <v>29.447055435017589</v>
      </c>
      <c r="AR67" s="530">
        <v>0</v>
      </c>
    </row>
    <row r="68" spans="1:44" x14ac:dyDescent="0.25">
      <c r="A68" s="525">
        <v>5511</v>
      </c>
      <c r="B68" s="526" t="s">
        <v>157</v>
      </c>
      <c r="C68" s="454">
        <v>3395283.31</v>
      </c>
      <c r="D68" s="454">
        <v>641777.27</v>
      </c>
      <c r="E68" s="454"/>
      <c r="F68" s="455"/>
      <c r="G68" s="454">
        <v>320295.45</v>
      </c>
      <c r="H68" s="454">
        <v>26110.45</v>
      </c>
      <c r="I68" s="454"/>
      <c r="J68" s="454">
        <v>77736.639999999999</v>
      </c>
      <c r="K68" s="454">
        <v>18849.3</v>
      </c>
      <c r="L68" s="454">
        <v>412608.45</v>
      </c>
      <c r="M68" s="344">
        <f t="shared" si="4"/>
        <v>4892660.87</v>
      </c>
      <c r="N68" s="454">
        <v>441109.15</v>
      </c>
      <c r="O68" s="454">
        <v>6875.2</v>
      </c>
      <c r="P68" s="454">
        <v>290297.45</v>
      </c>
      <c r="Q68" s="454">
        <v>25272.78</v>
      </c>
      <c r="R68" s="454">
        <v>70071.8</v>
      </c>
      <c r="S68" s="454">
        <v>33635.15</v>
      </c>
      <c r="T68" s="344">
        <f t="shared" si="5"/>
        <v>5759922.4000000013</v>
      </c>
      <c r="U68" s="454">
        <v>-63529.25</v>
      </c>
      <c r="V68" s="454"/>
      <c r="W68" s="454">
        <v>-57.15</v>
      </c>
      <c r="X68" s="454">
        <v>70</v>
      </c>
      <c r="Y68" s="465">
        <v>1</v>
      </c>
      <c r="Z68" s="464">
        <v>1711</v>
      </c>
      <c r="AA68" s="531"/>
      <c r="AB68" s="470">
        <v>62000</v>
      </c>
      <c r="AC68" s="307">
        <f>AB68/VPI!R68</f>
        <v>0.88789190402976914</v>
      </c>
      <c r="AD68" s="309">
        <f t="shared" si="2"/>
        <v>425130</v>
      </c>
      <c r="AE68" s="307">
        <f>AD68/VPI!R68</f>
        <v>6.0882175025834799</v>
      </c>
      <c r="AF68" s="470">
        <v>487130</v>
      </c>
      <c r="AG68" s="470">
        <v>189673</v>
      </c>
      <c r="AH68" s="470">
        <v>170989</v>
      </c>
      <c r="AI68" s="531"/>
      <c r="AJ68" s="454"/>
      <c r="AK68" s="307">
        <f>AJ68/VPI!R68</f>
        <v>0</v>
      </c>
      <c r="AL68" s="309">
        <f t="shared" si="3"/>
        <v>65174</v>
      </c>
      <c r="AM68" s="307">
        <f>AL68/VPI!R68</f>
        <v>0.93334624118122855</v>
      </c>
      <c r="AN68" s="474">
        <v>65174</v>
      </c>
      <c r="AO68" s="531"/>
      <c r="AP68" s="477">
        <v>23.192873805559621</v>
      </c>
      <c r="AQ68" s="454"/>
      <c r="AR68" s="530">
        <v>0</v>
      </c>
    </row>
    <row r="69" spans="1:44" x14ac:dyDescent="0.25">
      <c r="A69" s="525">
        <v>5512</v>
      </c>
      <c r="B69" s="526" t="s">
        <v>158</v>
      </c>
      <c r="C69" s="454">
        <v>2408907.2999999998</v>
      </c>
      <c r="D69" s="454">
        <v>397716.05</v>
      </c>
      <c r="E69" s="454"/>
      <c r="F69" s="455"/>
      <c r="G69" s="454">
        <v>94540.7</v>
      </c>
      <c r="H69" s="454">
        <v>-459.6</v>
      </c>
      <c r="I69" s="454"/>
      <c r="J69" s="454">
        <v>51502.19</v>
      </c>
      <c r="K69" s="454">
        <v>12270.15</v>
      </c>
      <c r="L69" s="454">
        <v>293561.8</v>
      </c>
      <c r="M69" s="344">
        <f t="shared" si="4"/>
        <v>3258038.5899999994</v>
      </c>
      <c r="N69" s="458">
        <v>120181.85</v>
      </c>
      <c r="O69" s="458">
        <v>82066.8</v>
      </c>
      <c r="P69" s="458">
        <v>98447.05</v>
      </c>
      <c r="Q69" s="458">
        <v>4599.7700000000004</v>
      </c>
      <c r="R69" s="458">
        <v>107023.9</v>
      </c>
      <c r="S69" s="454">
        <v>9135.0400000000009</v>
      </c>
      <c r="T69" s="344">
        <f t="shared" si="5"/>
        <v>3679492.9999999991</v>
      </c>
      <c r="U69" s="456">
        <v>-17606.48</v>
      </c>
      <c r="V69" s="458"/>
      <c r="W69" s="458">
        <v>-169.21</v>
      </c>
      <c r="X69" s="462">
        <v>79</v>
      </c>
      <c r="Y69" s="463">
        <v>1</v>
      </c>
      <c r="Z69" s="464">
        <v>1344</v>
      </c>
      <c r="AA69" s="527"/>
      <c r="AB69" s="469">
        <v>224344</v>
      </c>
      <c r="AC69" s="307">
        <f>AB69/VPI!R69</f>
        <v>5.446585271260072</v>
      </c>
      <c r="AD69" s="309">
        <f t="shared" si="2"/>
        <v>205241</v>
      </c>
      <c r="AE69" s="307">
        <f>AD69/VPI!R69</f>
        <v>4.9828059036956125</v>
      </c>
      <c r="AF69" s="469">
        <v>429585</v>
      </c>
      <c r="AG69" s="469">
        <v>148566</v>
      </c>
      <c r="AH69" s="469">
        <v>133931</v>
      </c>
      <c r="AI69" s="528"/>
      <c r="AJ69" s="464">
        <v>1756</v>
      </c>
      <c r="AK69" s="307">
        <f>AJ69/VPI!R69</f>
        <v>4.2631867740312586E-2</v>
      </c>
      <c r="AL69" s="309">
        <f t="shared" si="3"/>
        <v>7506</v>
      </c>
      <c r="AM69" s="307">
        <f>AL69/VPI!R69</f>
        <v>0.18222938454372795</v>
      </c>
      <c r="AN69" s="464">
        <v>9262</v>
      </c>
      <c r="AO69" s="528"/>
      <c r="AP69" s="477">
        <v>10.971631855539865</v>
      </c>
      <c r="AR69" s="530">
        <v>0</v>
      </c>
    </row>
    <row r="70" spans="1:44" x14ac:dyDescent="0.25">
      <c r="A70" s="525">
        <v>5514</v>
      </c>
      <c r="B70" s="526" t="s">
        <v>159</v>
      </c>
      <c r="C70" s="454">
        <v>2477076.7200000002</v>
      </c>
      <c r="D70" s="454">
        <v>456022.45</v>
      </c>
      <c r="E70" s="454"/>
      <c r="F70" s="455"/>
      <c r="G70" s="454">
        <v>24881.4</v>
      </c>
      <c r="H70" s="454">
        <v>9562</v>
      </c>
      <c r="I70" s="454">
        <v>60460.3</v>
      </c>
      <c r="J70" s="454">
        <v>69654.759999999995</v>
      </c>
      <c r="K70" s="454">
        <v>13359.5</v>
      </c>
      <c r="L70" s="454">
        <v>250689.9</v>
      </c>
      <c r="M70" s="344">
        <f t="shared" si="4"/>
        <v>3361707.03</v>
      </c>
      <c r="N70" s="458">
        <v>16360.7</v>
      </c>
      <c r="O70" s="458">
        <v>6810.3</v>
      </c>
      <c r="P70" s="458">
        <v>108325.4</v>
      </c>
      <c r="Q70" s="458">
        <v>7701.06</v>
      </c>
      <c r="R70" s="458">
        <v>106327.65</v>
      </c>
      <c r="S70" s="454">
        <v>3344.37</v>
      </c>
      <c r="T70" s="344">
        <f t="shared" si="5"/>
        <v>3610576.51</v>
      </c>
      <c r="U70" s="456">
        <v>-39493.65</v>
      </c>
      <c r="V70" s="458"/>
      <c r="W70" s="458">
        <v>-1495</v>
      </c>
      <c r="X70" s="462">
        <v>72.5</v>
      </c>
      <c r="Y70" s="463">
        <v>1</v>
      </c>
      <c r="Z70" s="464">
        <v>1358</v>
      </c>
      <c r="AA70" s="527"/>
      <c r="AB70" s="469">
        <v>84189</v>
      </c>
      <c r="AC70" s="307">
        <f>AB70/VPI!R70</f>
        <v>1.8319733474744717</v>
      </c>
      <c r="AD70" s="309">
        <f t="shared" si="2"/>
        <v>119359</v>
      </c>
      <c r="AE70" s="307">
        <f>AD70/VPI!R70</f>
        <v>2.5972811980330621</v>
      </c>
      <c r="AF70" s="469">
        <v>203548</v>
      </c>
      <c r="AG70" s="469">
        <v>92357</v>
      </c>
      <c r="AH70" s="469">
        <v>138765</v>
      </c>
      <c r="AI70" s="528"/>
      <c r="AJ70" s="464"/>
      <c r="AK70" s="307">
        <f>AJ70/VPI!R70</f>
        <v>0</v>
      </c>
      <c r="AL70" s="309">
        <f t="shared" si="3"/>
        <v>25450</v>
      </c>
      <c r="AM70" s="307">
        <f>AL70/VPI!R70</f>
        <v>0.55379825978720854</v>
      </c>
      <c r="AN70" s="464">
        <v>25450</v>
      </c>
      <c r="AO70" s="528"/>
      <c r="AP70" s="477">
        <v>14.011953146993246</v>
      </c>
      <c r="AR70" s="530">
        <v>0</v>
      </c>
    </row>
    <row r="71" spans="1:44" x14ac:dyDescent="0.25">
      <c r="A71" s="525">
        <v>5515</v>
      </c>
      <c r="B71" s="526" t="s">
        <v>160</v>
      </c>
      <c r="C71" s="454">
        <v>2002160.68</v>
      </c>
      <c r="D71" s="454">
        <v>239860.17</v>
      </c>
      <c r="E71" s="454"/>
      <c r="F71" s="455"/>
      <c r="G71" s="454">
        <v>19611</v>
      </c>
      <c r="H71" s="454">
        <v>26244.1</v>
      </c>
      <c r="I71" s="454"/>
      <c r="J71" s="454">
        <v>32410.52</v>
      </c>
      <c r="K71" s="454">
        <v>17570.55</v>
      </c>
      <c r="L71" s="454">
        <v>193068.15</v>
      </c>
      <c r="M71" s="344">
        <f t="shared" si="4"/>
        <v>2530925.17</v>
      </c>
      <c r="N71" s="458">
        <v>23609.3</v>
      </c>
      <c r="O71" s="458"/>
      <c r="P71" s="458">
        <v>37028.75</v>
      </c>
      <c r="Q71" s="458">
        <v>2966.34</v>
      </c>
      <c r="R71" s="458">
        <v>46643.85</v>
      </c>
      <c r="S71" s="454">
        <v>4452.42</v>
      </c>
      <c r="T71" s="344">
        <f t="shared" si="5"/>
        <v>2645625.8299999996</v>
      </c>
      <c r="U71" s="456">
        <v>-33293.47</v>
      </c>
      <c r="V71" s="458"/>
      <c r="W71" s="458">
        <v>0</v>
      </c>
      <c r="X71" s="462">
        <v>78</v>
      </c>
      <c r="Y71" s="463">
        <v>1</v>
      </c>
      <c r="Z71" s="464">
        <v>898</v>
      </c>
      <c r="AA71" s="527"/>
      <c r="AB71" s="469">
        <v>46912</v>
      </c>
      <c r="AC71" s="307">
        <f>AB71/VPI!R71</f>
        <v>1.4607035101400716</v>
      </c>
      <c r="AD71" s="309">
        <f t="shared" ref="AD71:AD134" si="6">AF71-AB71</f>
        <v>94394</v>
      </c>
      <c r="AE71" s="307">
        <f>AD71/VPI!R71</f>
        <v>2.9391551657606136</v>
      </c>
      <c r="AF71" s="469">
        <v>141306</v>
      </c>
      <c r="AG71" s="469">
        <v>59851</v>
      </c>
      <c r="AH71" s="469">
        <v>56848</v>
      </c>
      <c r="AI71" s="528"/>
      <c r="AJ71" s="464"/>
      <c r="AK71" s="307">
        <f>AJ71/VPI!R71</f>
        <v>0</v>
      </c>
      <c r="AL71" s="309">
        <f t="shared" ref="AL71:AL134" si="7">+AN71-AJ71</f>
        <v>28340</v>
      </c>
      <c r="AM71" s="307">
        <f>AL71/VPI!R71</f>
        <v>0.88242533845006876</v>
      </c>
      <c r="AN71" s="464">
        <v>28340</v>
      </c>
      <c r="AO71" s="528"/>
      <c r="AP71" s="477">
        <v>18.173914314855157</v>
      </c>
      <c r="AR71" s="530">
        <v>0</v>
      </c>
    </row>
    <row r="72" spans="1:44" x14ac:dyDescent="0.25">
      <c r="A72" s="525">
        <v>5516</v>
      </c>
      <c r="B72" s="526" t="s">
        <v>161</v>
      </c>
      <c r="C72" s="454">
        <v>6295901.2300000004</v>
      </c>
      <c r="D72" s="454">
        <v>1010816.1</v>
      </c>
      <c r="E72" s="454"/>
      <c r="F72" s="455"/>
      <c r="G72" s="454">
        <v>378877.95</v>
      </c>
      <c r="H72" s="454">
        <v>13414.5</v>
      </c>
      <c r="I72" s="454">
        <v>52949.919999999998</v>
      </c>
      <c r="J72" s="454">
        <v>151434.35999999999</v>
      </c>
      <c r="K72" s="454">
        <v>32478</v>
      </c>
      <c r="L72" s="454">
        <v>728776.5</v>
      </c>
      <c r="M72" s="344">
        <f t="shared" si="4"/>
        <v>8664648.5600000005</v>
      </c>
      <c r="N72" s="458">
        <v>108883.05</v>
      </c>
      <c r="O72" s="458">
        <v>3309.4</v>
      </c>
      <c r="P72" s="458">
        <v>353385.95</v>
      </c>
      <c r="Q72" s="458">
        <v>20966.349999999999</v>
      </c>
      <c r="R72" s="458">
        <v>257807.65</v>
      </c>
      <c r="S72" s="454">
        <v>38090.620000000003</v>
      </c>
      <c r="T72" s="344">
        <f t="shared" si="5"/>
        <v>9447091.5800000001</v>
      </c>
      <c r="U72" s="456">
        <v>-85372.83</v>
      </c>
      <c r="V72" s="458"/>
      <c r="W72" s="458">
        <v>-1967.7</v>
      </c>
      <c r="X72" s="462">
        <v>76</v>
      </c>
      <c r="Y72" s="463">
        <v>1.2</v>
      </c>
      <c r="Z72" s="464">
        <v>2790</v>
      </c>
      <c r="AA72" s="527"/>
      <c r="AB72" s="469">
        <v>463106</v>
      </c>
      <c r="AC72" s="307">
        <f>AB72/VPI!R72</f>
        <v>4.1334656542886323</v>
      </c>
      <c r="AD72" s="309">
        <f t="shared" si="6"/>
        <v>639450</v>
      </c>
      <c r="AE72" s="307">
        <f>AD72/VPI!R72</f>
        <v>5.7074289960286979</v>
      </c>
      <c r="AF72" s="469">
        <v>1102556</v>
      </c>
      <c r="AG72" s="469">
        <v>183171</v>
      </c>
      <c r="AH72" s="469">
        <v>156900</v>
      </c>
      <c r="AI72" s="528"/>
      <c r="AJ72" s="464"/>
      <c r="AK72" s="307">
        <f>AJ72/VPI!R72</f>
        <v>0</v>
      </c>
      <c r="AL72" s="309">
        <f t="shared" si="7"/>
        <v>39176</v>
      </c>
      <c r="AM72" s="307">
        <f>AL72/VPI!R72</f>
        <v>0.34966649206102163</v>
      </c>
      <c r="AN72" s="464">
        <v>39176</v>
      </c>
      <c r="AO72" s="528"/>
      <c r="AP72" s="477">
        <v>19.78405229876617</v>
      </c>
      <c r="AR72" s="530">
        <v>0</v>
      </c>
    </row>
    <row r="73" spans="1:44" x14ac:dyDescent="0.25">
      <c r="A73" s="525">
        <v>5518</v>
      </c>
      <c r="B73" s="526" t="s">
        <v>162</v>
      </c>
      <c r="C73" s="454">
        <v>11855608.17</v>
      </c>
      <c r="D73" s="454">
        <v>1329872.9099999999</v>
      </c>
      <c r="E73" s="454"/>
      <c r="F73" s="455"/>
      <c r="G73" s="454">
        <v>879194.2</v>
      </c>
      <c r="H73" s="454">
        <v>116605.3</v>
      </c>
      <c r="I73" s="454"/>
      <c r="J73" s="454">
        <v>288855.84999999998</v>
      </c>
      <c r="K73" s="454">
        <v>103831.65</v>
      </c>
      <c r="L73" s="454">
        <v>1254131.95</v>
      </c>
      <c r="M73" s="344">
        <f t="shared" si="4"/>
        <v>15828100.029999999</v>
      </c>
      <c r="N73" s="458">
        <v>261688.55</v>
      </c>
      <c r="O73" s="458">
        <v>144426.29999999999</v>
      </c>
      <c r="P73" s="458">
        <v>579539.85</v>
      </c>
      <c r="Q73" s="458">
        <v>53126.09</v>
      </c>
      <c r="R73" s="458">
        <v>436143.85</v>
      </c>
      <c r="S73" s="454">
        <v>96621.53</v>
      </c>
      <c r="T73" s="344">
        <f t="shared" si="5"/>
        <v>17399646.200000003</v>
      </c>
      <c r="U73" s="456">
        <v>-252821.63</v>
      </c>
      <c r="V73" s="458"/>
      <c r="W73" s="458">
        <v>-2162.42</v>
      </c>
      <c r="X73" s="462">
        <v>72.5</v>
      </c>
      <c r="Y73" s="463">
        <v>1</v>
      </c>
      <c r="Z73" s="464">
        <v>6722</v>
      </c>
      <c r="AA73" s="527"/>
      <c r="AB73" s="469">
        <v>1185574</v>
      </c>
      <c r="AC73" s="307">
        <f>AB73/VPI!R73</f>
        <v>5.466823168268153</v>
      </c>
      <c r="AD73" s="309">
        <f t="shared" si="6"/>
        <v>1290774</v>
      </c>
      <c r="AE73" s="307">
        <f>AD73/VPI!R73</f>
        <v>5.9519129199848821</v>
      </c>
      <c r="AF73" s="469">
        <v>2476348</v>
      </c>
      <c r="AG73" s="469">
        <v>734116</v>
      </c>
      <c r="AH73" s="469">
        <v>661800</v>
      </c>
      <c r="AI73" s="528"/>
      <c r="AJ73" s="464"/>
      <c r="AK73" s="307">
        <f>AJ73/VPI!R73</f>
        <v>0</v>
      </c>
      <c r="AL73" s="309">
        <f t="shared" si="7"/>
        <v>62866</v>
      </c>
      <c r="AM73" s="307">
        <f>AL73/VPI!R73</f>
        <v>0.28988262672456183</v>
      </c>
      <c r="AN73" s="464">
        <v>62866</v>
      </c>
      <c r="AO73" s="528"/>
      <c r="AP73" s="477">
        <v>3.5498014415719661</v>
      </c>
      <c r="AR73" s="530">
        <v>0</v>
      </c>
    </row>
    <row r="74" spans="1:44" x14ac:dyDescent="0.25">
      <c r="A74" s="525">
        <v>5520</v>
      </c>
      <c r="B74" s="526" t="s">
        <v>163</v>
      </c>
      <c r="C74" s="454">
        <v>2038458.6</v>
      </c>
      <c r="D74" s="454">
        <v>318193.90999999997</v>
      </c>
      <c r="E74" s="454"/>
      <c r="F74" s="455"/>
      <c r="G74" s="454">
        <v>29886.95</v>
      </c>
      <c r="H74" s="454">
        <v>-169.45</v>
      </c>
      <c r="I74" s="454"/>
      <c r="J74" s="454">
        <v>22611.96</v>
      </c>
      <c r="K74" s="454">
        <v>8412.65</v>
      </c>
      <c r="L74" s="454">
        <v>219268.5</v>
      </c>
      <c r="M74" s="344">
        <f t="shared" si="4"/>
        <v>2636663.12</v>
      </c>
      <c r="N74" s="458">
        <v>19146</v>
      </c>
      <c r="O74" s="458">
        <v>24093.8</v>
      </c>
      <c r="P74" s="458">
        <v>116742.3</v>
      </c>
      <c r="Q74" s="458">
        <v>1395.65</v>
      </c>
      <c r="R74" s="458">
        <v>33772.6</v>
      </c>
      <c r="S74" s="454">
        <v>2885.49</v>
      </c>
      <c r="T74" s="344">
        <f t="shared" si="5"/>
        <v>2834698.96</v>
      </c>
      <c r="U74" s="456">
        <v>-26017.83</v>
      </c>
      <c r="V74" s="458"/>
      <c r="W74" s="458">
        <v>-71.75</v>
      </c>
      <c r="X74" s="462">
        <v>74</v>
      </c>
      <c r="Y74" s="463">
        <v>1</v>
      </c>
      <c r="Z74" s="464">
        <v>1148</v>
      </c>
      <c r="AA74" s="527"/>
      <c r="AB74" s="469">
        <v>148310</v>
      </c>
      <c r="AC74" s="307">
        <f>AB74/VPI!R74</f>
        <v>4.1971510248515989</v>
      </c>
      <c r="AD74" s="309">
        <f t="shared" si="6"/>
        <v>1099362</v>
      </c>
      <c r="AE74" s="307">
        <f>AD74/VPI!R74</f>
        <v>31.111781707119572</v>
      </c>
      <c r="AF74" s="469">
        <v>1247672</v>
      </c>
      <c r="AG74" s="469">
        <v>81919</v>
      </c>
      <c r="AH74" s="469">
        <v>120299</v>
      </c>
      <c r="AI74" s="528"/>
      <c r="AJ74" s="464"/>
      <c r="AK74" s="307">
        <f>AJ74/VPI!R74</f>
        <v>0</v>
      </c>
      <c r="AL74" s="309">
        <f t="shared" si="7"/>
        <v>125696</v>
      </c>
      <c r="AM74" s="307">
        <f>AL74/VPI!R74</f>
        <v>3.5571781755764724</v>
      </c>
      <c r="AN74" s="464">
        <v>125696</v>
      </c>
      <c r="AO74" s="528"/>
      <c r="AP74" s="477">
        <v>10.771428333342605</v>
      </c>
      <c r="AR74" s="530">
        <v>0</v>
      </c>
    </row>
    <row r="75" spans="1:44" x14ac:dyDescent="0.25">
      <c r="A75" s="525">
        <v>5521</v>
      </c>
      <c r="B75" s="526" t="s">
        <v>164</v>
      </c>
      <c r="C75" s="454">
        <v>2539482.11</v>
      </c>
      <c r="D75" s="454">
        <v>322798.07</v>
      </c>
      <c r="E75" s="454"/>
      <c r="F75" s="455"/>
      <c r="G75" s="454">
        <v>169406.55</v>
      </c>
      <c r="H75" s="454">
        <v>6455.1</v>
      </c>
      <c r="I75" s="454"/>
      <c r="J75" s="454">
        <v>92174.45</v>
      </c>
      <c r="K75" s="454">
        <v>24744.6</v>
      </c>
      <c r="L75" s="454">
        <v>290246.15000000002</v>
      </c>
      <c r="M75" s="344">
        <f t="shared" si="4"/>
        <v>3445307.03</v>
      </c>
      <c r="N75" s="458">
        <v>111700.8</v>
      </c>
      <c r="O75" s="458">
        <v>75174</v>
      </c>
      <c r="P75" s="458">
        <v>240707.5</v>
      </c>
      <c r="Q75" s="458">
        <v>5400.16</v>
      </c>
      <c r="R75" s="458">
        <v>191034.9</v>
      </c>
      <c r="S75" s="454">
        <v>17075.73</v>
      </c>
      <c r="T75" s="344">
        <f t="shared" si="5"/>
        <v>4086400.1199999996</v>
      </c>
      <c r="U75" s="456">
        <v>-45913.77</v>
      </c>
      <c r="V75" s="458"/>
      <c r="W75" s="458">
        <v>-455.7</v>
      </c>
      <c r="X75" s="462">
        <v>73</v>
      </c>
      <c r="Y75" s="463">
        <v>1</v>
      </c>
      <c r="Z75" s="464">
        <v>1189</v>
      </c>
      <c r="AA75" s="527"/>
      <c r="AB75" s="469">
        <v>88444</v>
      </c>
      <c r="AC75" s="307">
        <f>AB75/VPI!R75</f>
        <v>1.8870598641038254</v>
      </c>
      <c r="AD75" s="309">
        <f t="shared" si="6"/>
        <v>258389</v>
      </c>
      <c r="AE75" s="307">
        <f>AD75/VPI!R75</f>
        <v>5.5130422778924899</v>
      </c>
      <c r="AF75" s="469">
        <v>346833</v>
      </c>
      <c r="AG75" s="469">
        <v>130917</v>
      </c>
      <c r="AH75" s="469">
        <v>118020</v>
      </c>
      <c r="AI75" s="528"/>
      <c r="AJ75" s="464"/>
      <c r="AK75" s="307">
        <f>AJ75/VPI!R75</f>
        <v>0</v>
      </c>
      <c r="AL75" s="309">
        <f t="shared" si="7"/>
        <v>22492</v>
      </c>
      <c r="AM75" s="307">
        <f>AL75/VPI!R75</f>
        <v>0.47989406249630551</v>
      </c>
      <c r="AN75" s="474">
        <v>22492</v>
      </c>
      <c r="AO75" s="528"/>
      <c r="AP75" s="477">
        <v>20.369758716255912</v>
      </c>
      <c r="AR75" s="530">
        <v>0</v>
      </c>
    </row>
    <row r="76" spans="1:44" x14ac:dyDescent="0.25">
      <c r="A76" s="525">
        <v>5522</v>
      </c>
      <c r="B76" s="526" t="s">
        <v>165</v>
      </c>
      <c r="C76" s="454">
        <v>1451102.68</v>
      </c>
      <c r="D76" s="454">
        <v>238949.49</v>
      </c>
      <c r="E76" s="454"/>
      <c r="F76" s="455"/>
      <c r="G76" s="454">
        <v>53372</v>
      </c>
      <c r="H76" s="454">
        <v>463.95</v>
      </c>
      <c r="I76" s="454"/>
      <c r="J76" s="454">
        <v>15601.49</v>
      </c>
      <c r="K76" s="454">
        <v>3239.85</v>
      </c>
      <c r="L76" s="454">
        <v>150686.35</v>
      </c>
      <c r="M76" s="344">
        <f t="shared" si="4"/>
        <v>1913415.81</v>
      </c>
      <c r="N76" s="458">
        <v>38593.75</v>
      </c>
      <c r="O76" s="458">
        <v>2201.3000000000002</v>
      </c>
      <c r="P76" s="458">
        <v>54764.15</v>
      </c>
      <c r="Q76" s="458"/>
      <c r="R76" s="458">
        <v>51832.800000000003</v>
      </c>
      <c r="S76" s="454">
        <v>5227.34</v>
      </c>
      <c r="T76" s="344">
        <f t="shared" si="5"/>
        <v>2066035.1500000001</v>
      </c>
      <c r="U76" s="456">
        <v>-29888.06</v>
      </c>
      <c r="V76" s="458"/>
      <c r="W76" s="458">
        <v>0</v>
      </c>
      <c r="X76" s="462">
        <v>75</v>
      </c>
      <c r="Y76" s="463">
        <v>1</v>
      </c>
      <c r="Z76" s="464">
        <v>789</v>
      </c>
      <c r="AA76" s="527"/>
      <c r="AB76" s="469">
        <v>1269</v>
      </c>
      <c r="AC76" s="307">
        <f>AB76/VPI!R76</f>
        <v>5.0390334090376958E-2</v>
      </c>
      <c r="AD76" s="309">
        <f t="shared" si="6"/>
        <v>327448</v>
      </c>
      <c r="AE76" s="307">
        <f>AD76/VPI!R76</f>
        <v>13.002532795292163</v>
      </c>
      <c r="AF76" s="469">
        <v>328717</v>
      </c>
      <c r="AG76" s="469">
        <v>85229</v>
      </c>
      <c r="AH76" s="469">
        <v>76910</v>
      </c>
      <c r="AI76" s="528"/>
      <c r="AJ76" s="464"/>
      <c r="AK76" s="307">
        <f>AJ76/VPI!R76</f>
        <v>0</v>
      </c>
      <c r="AL76" s="309">
        <f t="shared" si="7"/>
        <v>31561</v>
      </c>
      <c r="AM76" s="307">
        <f>AL76/VPI!R76</f>
        <v>1.2532461262619283</v>
      </c>
      <c r="AN76" s="464">
        <v>31561</v>
      </c>
      <c r="AO76" s="528"/>
      <c r="AP76" s="477">
        <v>11.924996824331103</v>
      </c>
      <c r="AR76" s="530">
        <v>0</v>
      </c>
    </row>
    <row r="77" spans="1:44" x14ac:dyDescent="0.25">
      <c r="A77" s="525">
        <v>5523</v>
      </c>
      <c r="B77" s="526" t="s">
        <v>166</v>
      </c>
      <c r="C77" s="454">
        <v>5059992.6399999997</v>
      </c>
      <c r="D77" s="454">
        <v>631908.64</v>
      </c>
      <c r="E77" s="454"/>
      <c r="F77" s="455">
        <v>13520</v>
      </c>
      <c r="G77" s="454">
        <v>62320.4</v>
      </c>
      <c r="H77" s="454">
        <v>3394.6</v>
      </c>
      <c r="I77" s="454"/>
      <c r="J77" s="454">
        <v>94604.28</v>
      </c>
      <c r="K77" s="454">
        <v>31774.799999999999</v>
      </c>
      <c r="L77" s="454">
        <v>693029.6</v>
      </c>
      <c r="M77" s="344">
        <f t="shared" si="4"/>
        <v>6590544.959999999</v>
      </c>
      <c r="N77" s="458">
        <v>5631.65</v>
      </c>
      <c r="O77" s="458"/>
      <c r="P77" s="458">
        <v>142818</v>
      </c>
      <c r="Q77" s="458">
        <v>18311.91</v>
      </c>
      <c r="R77" s="458">
        <v>11588.5</v>
      </c>
      <c r="S77" s="454">
        <v>6380.76</v>
      </c>
      <c r="T77" s="344">
        <f t="shared" si="5"/>
        <v>6775275.7799999993</v>
      </c>
      <c r="U77" s="456">
        <v>-52330.44</v>
      </c>
      <c r="V77" s="458"/>
      <c r="W77" s="458">
        <v>-560.95000000000005</v>
      </c>
      <c r="X77" s="462">
        <v>72</v>
      </c>
      <c r="Y77" s="463">
        <v>1.25</v>
      </c>
      <c r="Z77" s="464">
        <v>2731</v>
      </c>
      <c r="AA77" s="527"/>
      <c r="AB77" s="469">
        <v>208745</v>
      </c>
      <c r="AC77" s="307">
        <f>AB77/VPI!R77</f>
        <v>2.3397022997965777</v>
      </c>
      <c r="AD77" s="309">
        <f t="shared" si="6"/>
        <v>524812</v>
      </c>
      <c r="AE77" s="307">
        <f>AD77/VPI!R77</f>
        <v>5.8823149937044796</v>
      </c>
      <c r="AF77" s="469">
        <v>733557</v>
      </c>
      <c r="AG77" s="469">
        <v>182836</v>
      </c>
      <c r="AH77" s="469">
        <v>161279</v>
      </c>
      <c r="AI77" s="528"/>
      <c r="AJ77" s="464">
        <v>3745</v>
      </c>
      <c r="AK77" s="307">
        <f>AJ77/VPI!R77</f>
        <v>4.1975544864491045E-2</v>
      </c>
      <c r="AL77" s="309">
        <f t="shared" si="7"/>
        <v>-2108</v>
      </c>
      <c r="AM77" s="307">
        <f>AL77/VPI!R77</f>
        <v>-2.3627356094618725E-2</v>
      </c>
      <c r="AN77" s="464">
        <v>1637</v>
      </c>
      <c r="AO77" s="528"/>
      <c r="AP77" s="477">
        <v>13.149340317012921</v>
      </c>
      <c r="AR77" s="530">
        <v>0</v>
      </c>
    </row>
    <row r="78" spans="1:44" x14ac:dyDescent="0.25">
      <c r="A78" s="525">
        <v>5527</v>
      </c>
      <c r="B78" s="526" t="s">
        <v>167</v>
      </c>
      <c r="C78" s="454">
        <v>2439351.27</v>
      </c>
      <c r="D78" s="454">
        <v>404665.41</v>
      </c>
      <c r="E78" s="454"/>
      <c r="F78" s="455"/>
      <c r="G78" s="454">
        <v>40408.15</v>
      </c>
      <c r="H78" s="454">
        <v>-1860.25</v>
      </c>
      <c r="I78" s="454"/>
      <c r="J78" s="454">
        <v>18899.87</v>
      </c>
      <c r="K78" s="454">
        <v>6427.75</v>
      </c>
      <c r="L78" s="454">
        <v>256256.8</v>
      </c>
      <c r="M78" s="344">
        <f t="shared" si="4"/>
        <v>3164149</v>
      </c>
      <c r="N78" s="458">
        <v>6014.2</v>
      </c>
      <c r="O78" s="458"/>
      <c r="P78" s="458">
        <v>129225.9</v>
      </c>
      <c r="Q78" s="458">
        <v>2275.06</v>
      </c>
      <c r="R78" s="458">
        <v>132251.70000000001</v>
      </c>
      <c r="S78" s="454">
        <v>3742.9</v>
      </c>
      <c r="T78" s="344">
        <f t="shared" si="5"/>
        <v>3437658.7600000002</v>
      </c>
      <c r="U78" s="456">
        <v>-16163.84</v>
      </c>
      <c r="V78" s="458"/>
      <c r="W78" s="458">
        <v>-223.65</v>
      </c>
      <c r="X78" s="462">
        <v>74</v>
      </c>
      <c r="Y78" s="463">
        <v>1</v>
      </c>
      <c r="Z78" s="464">
        <v>1153</v>
      </c>
      <c r="AA78" s="527"/>
      <c r="AB78" s="469">
        <v>80871</v>
      </c>
      <c r="AC78" s="307">
        <f>AB78/VPI!R78</f>
        <v>1.8975499260257405</v>
      </c>
      <c r="AD78" s="309">
        <f t="shared" si="6"/>
        <v>128840</v>
      </c>
      <c r="AE78" s="307">
        <f>AD78/VPI!R78</f>
        <v>3.0230902606516108</v>
      </c>
      <c r="AF78" s="469">
        <v>209711</v>
      </c>
      <c r="AG78" s="469">
        <v>76539</v>
      </c>
      <c r="AH78" s="469">
        <v>74584</v>
      </c>
      <c r="AI78" s="528"/>
      <c r="AJ78" s="464"/>
      <c r="AK78" s="307">
        <f>AJ78/VPI!R78</f>
        <v>0</v>
      </c>
      <c r="AL78" s="309">
        <f t="shared" si="7"/>
        <v>71810</v>
      </c>
      <c r="AM78" s="307">
        <f>AL78/VPI!R78</f>
        <v>1.6849434307466018</v>
      </c>
      <c r="AN78" s="464">
        <v>71810</v>
      </c>
      <c r="AO78" s="528"/>
      <c r="AP78" s="477">
        <v>19.581470436463484</v>
      </c>
      <c r="AR78" s="530">
        <v>0</v>
      </c>
    </row>
    <row r="79" spans="1:44" x14ac:dyDescent="0.25">
      <c r="A79" s="525">
        <v>5529</v>
      </c>
      <c r="B79" s="526" t="s">
        <v>168</v>
      </c>
      <c r="C79" s="454">
        <v>1219699.76</v>
      </c>
      <c r="D79" s="454">
        <v>148750.19</v>
      </c>
      <c r="E79" s="454"/>
      <c r="F79" s="455"/>
      <c r="G79" s="454">
        <v>21888.85</v>
      </c>
      <c r="H79" s="454">
        <v>2184.75</v>
      </c>
      <c r="I79" s="454"/>
      <c r="J79" s="454">
        <v>1711.12</v>
      </c>
      <c r="K79" s="454">
        <v>5172.05</v>
      </c>
      <c r="L79" s="454">
        <v>137385.79999999999</v>
      </c>
      <c r="M79" s="344">
        <f t="shared" si="4"/>
        <v>1536792.5200000003</v>
      </c>
      <c r="N79" s="458">
        <v>5452.15</v>
      </c>
      <c r="O79" s="458">
        <v>17146.5</v>
      </c>
      <c r="P79" s="458">
        <v>70523.75</v>
      </c>
      <c r="Q79" s="458">
        <v>8483.81</v>
      </c>
      <c r="R79" s="458">
        <v>57747.6</v>
      </c>
      <c r="S79" s="454">
        <v>2337.4899999999998</v>
      </c>
      <c r="T79" s="344">
        <f t="shared" si="5"/>
        <v>1698483.8200000003</v>
      </c>
      <c r="U79" s="456">
        <v>-33893.25</v>
      </c>
      <c r="V79" s="458"/>
      <c r="W79" s="458">
        <v>0</v>
      </c>
      <c r="X79" s="462">
        <v>71</v>
      </c>
      <c r="Y79" s="463">
        <v>1</v>
      </c>
      <c r="Z79" s="464">
        <v>607</v>
      </c>
      <c r="AA79" s="527"/>
      <c r="AB79" s="469">
        <v>21228</v>
      </c>
      <c r="AC79" s="307">
        <f>AB79/VPI!R79</f>
        <v>0.99568442807115964</v>
      </c>
      <c r="AD79" s="309">
        <f t="shared" si="6"/>
        <v>227977</v>
      </c>
      <c r="AE79" s="307">
        <f>AD79/VPI!R79</f>
        <v>10.693101039117145</v>
      </c>
      <c r="AF79" s="469">
        <v>249205</v>
      </c>
      <c r="AG79" s="469">
        <v>26809</v>
      </c>
      <c r="AH79" s="469">
        <v>60420</v>
      </c>
      <c r="AI79" s="528"/>
      <c r="AJ79" s="464"/>
      <c r="AK79" s="307">
        <f>AJ79/VPI!R79</f>
        <v>0</v>
      </c>
      <c r="AL79" s="309">
        <f t="shared" si="7"/>
        <v>-10570</v>
      </c>
      <c r="AM79" s="307">
        <f>AL79/VPI!R79</f>
        <v>-0.49577842494404362</v>
      </c>
      <c r="AN79" s="474">
        <v>-10570</v>
      </c>
      <c r="AO79" s="528"/>
      <c r="AP79" s="477">
        <v>21.441042997412243</v>
      </c>
      <c r="AR79" s="530">
        <v>0</v>
      </c>
    </row>
    <row r="80" spans="1:44" x14ac:dyDescent="0.25">
      <c r="A80" s="525">
        <v>5530</v>
      </c>
      <c r="B80" s="526" t="s">
        <v>169</v>
      </c>
      <c r="C80" s="454">
        <v>1160547.8600000001</v>
      </c>
      <c r="D80" s="454">
        <v>154238.41</v>
      </c>
      <c r="E80" s="454"/>
      <c r="F80" s="455"/>
      <c r="G80" s="454">
        <v>16863.55</v>
      </c>
      <c r="H80" s="454">
        <v>3400.3</v>
      </c>
      <c r="I80" s="454"/>
      <c r="J80" s="454">
        <v>7440.13</v>
      </c>
      <c r="K80" s="454">
        <v>1400</v>
      </c>
      <c r="L80" s="454">
        <v>138061.45000000001</v>
      </c>
      <c r="M80" s="344">
        <f t="shared" si="4"/>
        <v>1481951.7</v>
      </c>
      <c r="N80" s="458">
        <v>15216.85</v>
      </c>
      <c r="O80" s="458">
        <v>35969</v>
      </c>
      <c r="P80" s="458">
        <v>48806.05</v>
      </c>
      <c r="Q80" s="458"/>
      <c r="R80" s="458">
        <v>19853.8</v>
      </c>
      <c r="S80" s="454">
        <v>1962.33</v>
      </c>
      <c r="T80" s="344">
        <f t="shared" si="5"/>
        <v>1603759.7300000002</v>
      </c>
      <c r="U80" s="456">
        <v>-17949.830000000002</v>
      </c>
      <c r="V80" s="458"/>
      <c r="W80" s="458">
        <v>-53.95</v>
      </c>
      <c r="X80" s="462">
        <v>76</v>
      </c>
      <c r="Y80" s="463">
        <v>1.2</v>
      </c>
      <c r="Z80" s="464">
        <v>576</v>
      </c>
      <c r="AA80" s="527"/>
      <c r="AB80" s="469">
        <v>52999</v>
      </c>
      <c r="AC80" s="307">
        <f>AB80/VPI!R80</f>
        <v>2.7915475616723988</v>
      </c>
      <c r="AD80" s="309">
        <f t="shared" si="6"/>
        <v>420691</v>
      </c>
      <c r="AE80" s="307">
        <f>AD80/VPI!R80</f>
        <v>22.158511203372196</v>
      </c>
      <c r="AF80" s="469">
        <v>473690</v>
      </c>
      <c r="AG80" s="469">
        <v>25737</v>
      </c>
      <c r="AH80" s="469">
        <v>58003</v>
      </c>
      <c r="AI80" s="528"/>
      <c r="AJ80" s="464"/>
      <c r="AK80" s="307">
        <f>AJ80/VPI!R80</f>
        <v>0</v>
      </c>
      <c r="AL80" s="309">
        <f t="shared" si="7"/>
        <v>26029</v>
      </c>
      <c r="AM80" s="307">
        <f>AL80/VPI!R80</f>
        <v>1.3709917448021824</v>
      </c>
      <c r="AN80" s="464">
        <v>26029</v>
      </c>
      <c r="AO80" s="528"/>
      <c r="AP80" s="477">
        <v>18.172914095649702</v>
      </c>
      <c r="AR80" s="530">
        <v>0</v>
      </c>
    </row>
    <row r="81" spans="1:44" x14ac:dyDescent="0.25">
      <c r="A81" s="525">
        <v>5531</v>
      </c>
      <c r="B81" s="526" t="s">
        <v>170</v>
      </c>
      <c r="C81" s="454">
        <v>984914.78</v>
      </c>
      <c r="D81" s="454">
        <v>143391.28</v>
      </c>
      <c r="E81" s="454"/>
      <c r="F81" s="455"/>
      <c r="G81" s="454">
        <v>13063.5</v>
      </c>
      <c r="H81" s="454">
        <v>879.75</v>
      </c>
      <c r="I81" s="454"/>
      <c r="J81" s="454">
        <v>18775.740000000002</v>
      </c>
      <c r="K81" s="454">
        <v>1739.3</v>
      </c>
      <c r="L81" s="454">
        <v>94690.85</v>
      </c>
      <c r="M81" s="344">
        <f t="shared" si="4"/>
        <v>1257455.2000000002</v>
      </c>
      <c r="N81" s="458">
        <v>16766.75</v>
      </c>
      <c r="O81" s="458"/>
      <c r="P81" s="458">
        <v>58166.3</v>
      </c>
      <c r="Q81" s="458"/>
      <c r="R81" s="458">
        <v>-2609.6</v>
      </c>
      <c r="S81" s="454">
        <v>1353.85</v>
      </c>
      <c r="T81" s="344">
        <f t="shared" si="5"/>
        <v>1331132.5000000002</v>
      </c>
      <c r="U81" s="456">
        <v>-2361.56</v>
      </c>
      <c r="V81" s="458"/>
      <c r="W81" s="458">
        <v>0</v>
      </c>
      <c r="X81" s="462">
        <v>74</v>
      </c>
      <c r="Y81" s="463">
        <v>1</v>
      </c>
      <c r="Z81" s="464">
        <v>430</v>
      </c>
      <c r="AA81" s="527"/>
      <c r="AB81" s="469">
        <v>94666</v>
      </c>
      <c r="AC81" s="307">
        <f>AB81/VPI!R81</f>
        <v>5.575468975627464</v>
      </c>
      <c r="AD81" s="309">
        <f t="shared" si="6"/>
        <v>31805</v>
      </c>
      <c r="AE81" s="307">
        <f>AD81/VPI!R81</f>
        <v>1.873194079921318</v>
      </c>
      <c r="AF81" s="469">
        <v>126471</v>
      </c>
      <c r="AG81" s="469">
        <v>19526</v>
      </c>
      <c r="AH81" s="469">
        <v>44006</v>
      </c>
      <c r="AI81" s="528"/>
      <c r="AJ81" s="464"/>
      <c r="AK81" s="307">
        <f>AJ81/VPI!R81</f>
        <v>0</v>
      </c>
      <c r="AL81" s="309">
        <f t="shared" si="7"/>
        <v>27345</v>
      </c>
      <c r="AM81" s="307">
        <f>AL81/VPI!R81</f>
        <v>1.6105169663715908</v>
      </c>
      <c r="AN81" s="464">
        <v>27345</v>
      </c>
      <c r="AO81" s="528"/>
      <c r="AP81" s="477">
        <v>21.753306951340296</v>
      </c>
      <c r="AR81" s="530">
        <v>0</v>
      </c>
    </row>
    <row r="82" spans="1:44" x14ac:dyDescent="0.25">
      <c r="A82" s="525">
        <v>5533</v>
      </c>
      <c r="B82" s="526" t="s">
        <v>171</v>
      </c>
      <c r="C82" s="454">
        <v>1509696.47</v>
      </c>
      <c r="D82" s="454">
        <v>220365.65</v>
      </c>
      <c r="E82" s="454"/>
      <c r="F82" s="455"/>
      <c r="G82" s="454">
        <v>51824.15</v>
      </c>
      <c r="H82" s="454">
        <v>3225.15</v>
      </c>
      <c r="I82" s="454"/>
      <c r="J82" s="454">
        <v>44143.31</v>
      </c>
      <c r="K82" s="454">
        <v>12880.3</v>
      </c>
      <c r="L82" s="454">
        <v>165428.15</v>
      </c>
      <c r="M82" s="344">
        <f t="shared" si="4"/>
        <v>2007563.1799999997</v>
      </c>
      <c r="N82" s="458">
        <v>11388.8</v>
      </c>
      <c r="O82" s="458">
        <v>154440</v>
      </c>
      <c r="P82" s="458">
        <v>42926.400000000001</v>
      </c>
      <c r="Q82" s="458">
        <v>28.41</v>
      </c>
      <c r="R82" s="458">
        <v>28784.1</v>
      </c>
      <c r="S82" s="454">
        <v>5344.94</v>
      </c>
      <c r="T82" s="344">
        <f t="shared" si="5"/>
        <v>2250475.8299999996</v>
      </c>
      <c r="U82" s="456">
        <v>-14860.1</v>
      </c>
      <c r="V82" s="458"/>
      <c r="W82" s="458">
        <v>-259.26</v>
      </c>
      <c r="X82" s="462">
        <v>73</v>
      </c>
      <c r="Y82" s="463">
        <v>1</v>
      </c>
      <c r="Z82" s="464">
        <v>850</v>
      </c>
      <c r="AA82" s="527"/>
      <c r="AB82" s="469">
        <v>63707</v>
      </c>
      <c r="AC82" s="307">
        <f>AB82/VPI!R82</f>
        <v>2.3278461462016571</v>
      </c>
      <c r="AD82" s="309">
        <f t="shared" si="6"/>
        <v>103997</v>
      </c>
      <c r="AE82" s="307">
        <f>AD82/VPI!R82</f>
        <v>3.8000379183846942</v>
      </c>
      <c r="AF82" s="469">
        <v>167704</v>
      </c>
      <c r="AG82" s="469">
        <v>39141</v>
      </c>
      <c r="AH82" s="469">
        <v>85595</v>
      </c>
      <c r="AI82" s="528"/>
      <c r="AJ82" s="464">
        <v>3441</v>
      </c>
      <c r="AK82" s="307">
        <f>AJ82/VPI!R82</f>
        <v>0.12573372767639196</v>
      </c>
      <c r="AL82" s="309">
        <f t="shared" si="7"/>
        <v>61632</v>
      </c>
      <c r="AM82" s="307">
        <f>AL82/VPI!R82</f>
        <v>2.2520258948420193</v>
      </c>
      <c r="AN82" s="464">
        <v>65073</v>
      </c>
      <c r="AO82" s="528"/>
      <c r="AP82" s="477">
        <v>13.893817838488841</v>
      </c>
      <c r="AR82" s="530">
        <v>0</v>
      </c>
    </row>
    <row r="83" spans="1:44" x14ac:dyDescent="0.25">
      <c r="A83" s="525">
        <v>5534</v>
      </c>
      <c r="B83" s="526" t="s">
        <v>172</v>
      </c>
      <c r="C83" s="454">
        <v>605001.39</v>
      </c>
      <c r="D83" s="454">
        <v>189512.83</v>
      </c>
      <c r="E83" s="454"/>
      <c r="F83" s="455"/>
      <c r="G83" s="454">
        <v>416752.05</v>
      </c>
      <c r="H83" s="454">
        <v>1662.15</v>
      </c>
      <c r="I83" s="454"/>
      <c r="J83" s="454">
        <v>-11215.71</v>
      </c>
      <c r="K83" s="454">
        <v>1149.75</v>
      </c>
      <c r="L83" s="454">
        <v>103647.75</v>
      </c>
      <c r="M83" s="344">
        <f t="shared" si="4"/>
        <v>1306510.21</v>
      </c>
      <c r="N83" s="458">
        <v>25302.05</v>
      </c>
      <c r="O83" s="458">
        <v>6</v>
      </c>
      <c r="P83" s="458">
        <v>35078</v>
      </c>
      <c r="Q83" s="458"/>
      <c r="R83" s="458">
        <v>38776.800000000003</v>
      </c>
      <c r="S83" s="454">
        <v>40626.97</v>
      </c>
      <c r="T83" s="344">
        <f t="shared" si="5"/>
        <v>1446300.03</v>
      </c>
      <c r="U83" s="456">
        <v>-17148.490000000002</v>
      </c>
      <c r="V83" s="458"/>
      <c r="W83" s="458">
        <v>0</v>
      </c>
      <c r="X83" s="462">
        <v>73</v>
      </c>
      <c r="Y83" s="463">
        <v>1.2</v>
      </c>
      <c r="Z83" s="464">
        <v>304</v>
      </c>
      <c r="AA83" s="527"/>
      <c r="AB83" s="469">
        <v>20207</v>
      </c>
      <c r="AC83" s="307">
        <f>AB83/VPI!R83</f>
        <v>1.1237108212137574</v>
      </c>
      <c r="AD83" s="309">
        <f t="shared" si="6"/>
        <v>52455</v>
      </c>
      <c r="AE83" s="307">
        <f>AD83/VPI!R83</f>
        <v>2.9170213850035953</v>
      </c>
      <c r="AF83" s="469">
        <v>72662</v>
      </c>
      <c r="AG83" s="469">
        <v>26988</v>
      </c>
      <c r="AH83" s="469">
        <v>30411</v>
      </c>
      <c r="AI83" s="528"/>
      <c r="AJ83" s="464"/>
      <c r="AK83" s="307">
        <f>AJ83/VPI!R83</f>
        <v>0</v>
      </c>
      <c r="AL83" s="309">
        <f t="shared" si="7"/>
        <v>8499</v>
      </c>
      <c r="AM83" s="307">
        <f>AL83/VPI!R83</f>
        <v>0.47262920124193225</v>
      </c>
      <c r="AN83" s="464">
        <v>8499</v>
      </c>
      <c r="AO83" s="528"/>
      <c r="AP83" s="477">
        <v>29.14517329141098</v>
      </c>
      <c r="AR83" s="530">
        <v>0</v>
      </c>
    </row>
    <row r="84" spans="1:44" x14ac:dyDescent="0.25">
      <c r="A84" s="525">
        <v>5535</v>
      </c>
      <c r="B84" s="526" t="s">
        <v>29</v>
      </c>
      <c r="C84" s="454">
        <v>1568166.35</v>
      </c>
      <c r="D84" s="454">
        <v>202385.77</v>
      </c>
      <c r="E84" s="454"/>
      <c r="F84" s="455"/>
      <c r="G84" s="454">
        <v>57673.05</v>
      </c>
      <c r="H84" s="454">
        <v>1159.75</v>
      </c>
      <c r="I84" s="454"/>
      <c r="J84" s="454">
        <v>3688.73</v>
      </c>
      <c r="K84" s="454">
        <v>1739.3</v>
      </c>
      <c r="L84" s="454">
        <v>156509.95000000001</v>
      </c>
      <c r="M84" s="344">
        <f t="shared" si="4"/>
        <v>1991322.9000000001</v>
      </c>
      <c r="N84" s="458">
        <v>69730.95</v>
      </c>
      <c r="O84" s="458"/>
      <c r="P84" s="458">
        <v>59115.95</v>
      </c>
      <c r="Q84" s="458"/>
      <c r="R84" s="458">
        <v>67177.75</v>
      </c>
      <c r="S84" s="454">
        <v>5712.52</v>
      </c>
      <c r="T84" s="344">
        <f t="shared" si="5"/>
        <v>2193060.0700000003</v>
      </c>
      <c r="U84" s="456">
        <v>-7777.42</v>
      </c>
      <c r="V84" s="458"/>
      <c r="W84" s="458">
        <v>-26.4</v>
      </c>
      <c r="X84" s="462">
        <v>75</v>
      </c>
      <c r="Y84" s="463">
        <v>1</v>
      </c>
      <c r="Z84" s="464">
        <v>837</v>
      </c>
      <c r="AA84" s="527"/>
      <c r="AB84" s="469"/>
      <c r="AC84" s="307">
        <f>AB84/VPI!R84</f>
        <v>0</v>
      </c>
      <c r="AD84" s="309">
        <f t="shared" si="6"/>
        <v>97305.1</v>
      </c>
      <c r="AE84" s="307">
        <f>AD84/VPI!R84</f>
        <v>3.668694233491967</v>
      </c>
      <c r="AF84" s="469">
        <v>97305.1</v>
      </c>
      <c r="AG84" s="469">
        <v>55561.35</v>
      </c>
      <c r="AH84" s="469">
        <v>83480.3</v>
      </c>
      <c r="AI84" s="528"/>
      <c r="AJ84" s="464"/>
      <c r="AK84" s="307">
        <f>AJ84/VPI!R84</f>
        <v>0</v>
      </c>
      <c r="AL84" s="309">
        <f t="shared" si="7"/>
        <v>1147</v>
      </c>
      <c r="AM84" s="307">
        <f>AL84/VPI!R84</f>
        <v>4.3245341568070798E-2</v>
      </c>
      <c r="AN84" s="464">
        <v>1147</v>
      </c>
      <c r="AO84" s="528"/>
      <c r="AP84" s="477">
        <v>15.354833455682197</v>
      </c>
      <c r="AR84" s="530">
        <v>0</v>
      </c>
    </row>
    <row r="85" spans="1:44" x14ac:dyDescent="0.25">
      <c r="A85" s="525">
        <v>5537</v>
      </c>
      <c r="B85" s="526" t="s">
        <v>30</v>
      </c>
      <c r="C85" s="454">
        <v>2283070.6800000002</v>
      </c>
      <c r="D85" s="454">
        <v>249526.25</v>
      </c>
      <c r="E85" s="454"/>
      <c r="F85" s="455">
        <v>7850</v>
      </c>
      <c r="G85" s="454">
        <v>-19853.05</v>
      </c>
      <c r="H85" s="454">
        <v>1137.5</v>
      </c>
      <c r="I85" s="454"/>
      <c r="J85" s="454">
        <v>42192.17</v>
      </c>
      <c r="K85" s="454">
        <v>6838.25</v>
      </c>
      <c r="L85" s="454">
        <v>269166.75</v>
      </c>
      <c r="M85" s="344">
        <f t="shared" si="4"/>
        <v>2839928.5500000003</v>
      </c>
      <c r="N85" s="458">
        <v>13831.85</v>
      </c>
      <c r="O85" s="458">
        <v>49620.9</v>
      </c>
      <c r="P85" s="458">
        <v>74631.850000000006</v>
      </c>
      <c r="Q85" s="458">
        <v>3105.65</v>
      </c>
      <c r="R85" s="458">
        <v>53441.9</v>
      </c>
      <c r="S85" s="454">
        <v>-1817.23</v>
      </c>
      <c r="T85" s="344">
        <f t="shared" si="5"/>
        <v>3032743.47</v>
      </c>
      <c r="U85" s="456">
        <v>-42523.06</v>
      </c>
      <c r="V85" s="458"/>
      <c r="W85" s="458">
        <v>-255.05</v>
      </c>
      <c r="X85" s="462">
        <v>76</v>
      </c>
      <c r="Y85" s="463">
        <v>1</v>
      </c>
      <c r="Z85" s="464">
        <v>1307</v>
      </c>
      <c r="AA85" s="527"/>
      <c r="AB85" s="469">
        <v>114381</v>
      </c>
      <c r="AC85" s="307">
        <f>AB85/VPI!R85</f>
        <v>3.1063590933696505</v>
      </c>
      <c r="AD85" s="309">
        <f t="shared" si="6"/>
        <v>137544</v>
      </c>
      <c r="AE85" s="307">
        <f>AD85/VPI!R85</f>
        <v>3.7354198261812295</v>
      </c>
      <c r="AF85" s="469">
        <v>251925</v>
      </c>
      <c r="AG85" s="469">
        <v>86995</v>
      </c>
      <c r="AH85" s="469">
        <v>130709</v>
      </c>
      <c r="AI85" s="528"/>
      <c r="AJ85" s="464"/>
      <c r="AK85" s="307">
        <f>AJ85/VPI!R85</f>
        <v>0</v>
      </c>
      <c r="AL85" s="309">
        <f t="shared" si="7"/>
        <v>11444</v>
      </c>
      <c r="AM85" s="307">
        <f>AL85/VPI!R85</f>
        <v>0.31079614153156804</v>
      </c>
      <c r="AN85" s="464">
        <v>11444</v>
      </c>
      <c r="AO85" s="528"/>
      <c r="AP85" s="477">
        <v>7.3899213784184861</v>
      </c>
      <c r="AR85" s="530">
        <v>0</v>
      </c>
    </row>
    <row r="86" spans="1:44" x14ac:dyDescent="0.25">
      <c r="A86" s="525">
        <v>5539</v>
      </c>
      <c r="B86" s="526" t="s">
        <v>31</v>
      </c>
      <c r="C86" s="454">
        <v>2052964.17</v>
      </c>
      <c r="D86" s="454">
        <v>221714.01</v>
      </c>
      <c r="E86" s="454"/>
      <c r="F86" s="455"/>
      <c r="G86" s="454">
        <v>45340.3</v>
      </c>
      <c r="H86" s="454">
        <v>764.2</v>
      </c>
      <c r="I86" s="454"/>
      <c r="J86" s="454">
        <v>34511.29</v>
      </c>
      <c r="K86" s="454">
        <v>7615.7</v>
      </c>
      <c r="L86" s="454">
        <v>176155.2</v>
      </c>
      <c r="M86" s="344">
        <f t="shared" si="4"/>
        <v>2539064.87</v>
      </c>
      <c r="N86" s="458">
        <v>25755.25</v>
      </c>
      <c r="O86" s="458">
        <v>85198.9</v>
      </c>
      <c r="P86" s="458">
        <v>127830.5</v>
      </c>
      <c r="Q86" s="458">
        <v>3654.73</v>
      </c>
      <c r="R86" s="458">
        <v>59700.4</v>
      </c>
      <c r="S86" s="454">
        <v>4476.63</v>
      </c>
      <c r="T86" s="344">
        <f t="shared" si="5"/>
        <v>2845681.28</v>
      </c>
      <c r="U86" s="456">
        <v>-25733.34</v>
      </c>
      <c r="V86" s="458"/>
      <c r="W86" s="458">
        <v>-76.2</v>
      </c>
      <c r="X86" s="462">
        <v>73.5</v>
      </c>
      <c r="Y86" s="463">
        <v>0.8</v>
      </c>
      <c r="Z86" s="464">
        <v>1120</v>
      </c>
      <c r="AA86" s="527"/>
      <c r="AB86" s="469">
        <v>55980</v>
      </c>
      <c r="AC86" s="307">
        <f>AB86/VPI!R86</f>
        <v>1.603839213431999</v>
      </c>
      <c r="AD86" s="309">
        <f t="shared" si="6"/>
        <v>66609</v>
      </c>
      <c r="AE86" s="307">
        <f>AD86/VPI!R86</f>
        <v>1.9083623824132194</v>
      </c>
      <c r="AF86" s="469">
        <v>122589</v>
      </c>
      <c r="AG86" s="469">
        <v>73925</v>
      </c>
      <c r="AH86" s="469">
        <v>111072</v>
      </c>
      <c r="AI86" s="528"/>
      <c r="AJ86" s="464"/>
      <c r="AK86" s="307">
        <f>AJ86/VPI!R86</f>
        <v>0</v>
      </c>
      <c r="AL86" s="309">
        <f t="shared" si="7"/>
        <v>52436</v>
      </c>
      <c r="AM86" s="307">
        <f>AL86/VPI!R86</f>
        <v>1.502302840220084</v>
      </c>
      <c r="AN86" s="464">
        <v>52436</v>
      </c>
      <c r="AO86" s="528"/>
      <c r="AP86" s="477">
        <v>11.859710901783533</v>
      </c>
      <c r="AR86" s="530">
        <v>0</v>
      </c>
    </row>
    <row r="87" spans="1:44" x14ac:dyDescent="0.25">
      <c r="A87" s="525">
        <v>5540</v>
      </c>
      <c r="B87" s="526" t="s">
        <v>345</v>
      </c>
      <c r="C87" s="454">
        <v>3711921.19</v>
      </c>
      <c r="D87" s="454">
        <v>589421.87</v>
      </c>
      <c r="E87" s="454"/>
      <c r="F87" s="455"/>
      <c r="G87" s="454">
        <v>-46374.75</v>
      </c>
      <c r="H87" s="454">
        <v>8230.35</v>
      </c>
      <c r="I87" s="454"/>
      <c r="J87" s="454">
        <v>89673.34</v>
      </c>
      <c r="K87" s="454">
        <v>14558.5</v>
      </c>
      <c r="L87" s="454">
        <v>296388.3</v>
      </c>
      <c r="M87" s="344">
        <f t="shared" si="4"/>
        <v>4663818.7999999989</v>
      </c>
      <c r="N87" s="458">
        <v>14367.55</v>
      </c>
      <c r="O87" s="458">
        <v>50767.9</v>
      </c>
      <c r="P87" s="458">
        <v>97168.6</v>
      </c>
      <c r="Q87" s="458">
        <v>26252.06</v>
      </c>
      <c r="R87" s="458">
        <v>45076</v>
      </c>
      <c r="S87" s="454">
        <v>-3703.73</v>
      </c>
      <c r="T87" s="344">
        <f t="shared" si="5"/>
        <v>4893747.1799999978</v>
      </c>
      <c r="U87" s="456">
        <v>-45048.75</v>
      </c>
      <c r="V87" s="458"/>
      <c r="W87" s="458">
        <v>-476.2</v>
      </c>
      <c r="X87" s="462">
        <v>72.5</v>
      </c>
      <c r="Y87" s="463">
        <v>0.8</v>
      </c>
      <c r="Z87" s="464">
        <v>1874</v>
      </c>
      <c r="AA87" s="527"/>
      <c r="AB87" s="469">
        <v>111138</v>
      </c>
      <c r="AC87" s="307">
        <f>AB87/VPI!R87</f>
        <v>1.7089308184522944</v>
      </c>
      <c r="AD87" s="309">
        <f t="shared" si="6"/>
        <v>180877</v>
      </c>
      <c r="AE87" s="307">
        <f>AD87/VPI!R87</f>
        <v>2.7812834462487688</v>
      </c>
      <c r="AF87" s="469">
        <v>292015</v>
      </c>
      <c r="AG87" s="469">
        <v>211567</v>
      </c>
      <c r="AH87" s="469">
        <v>190726</v>
      </c>
      <c r="AI87" s="528"/>
      <c r="AJ87" s="464"/>
      <c r="AK87" s="307">
        <f>AJ87/VPI!R87</f>
        <v>0</v>
      </c>
      <c r="AL87" s="309">
        <f t="shared" si="7"/>
        <v>60320</v>
      </c>
      <c r="AM87" s="307">
        <f>AL87/VPI!R87</f>
        <v>0.92751990290487862</v>
      </c>
      <c r="AN87" s="464">
        <v>60320</v>
      </c>
      <c r="AO87" s="528"/>
      <c r="AP87" s="477">
        <v>18.949889873847908</v>
      </c>
      <c r="AR87" s="530">
        <v>0</v>
      </c>
    </row>
    <row r="88" spans="1:44" x14ac:dyDescent="0.25">
      <c r="A88" s="525">
        <v>5541</v>
      </c>
      <c r="B88" s="526" t="s">
        <v>344</v>
      </c>
      <c r="C88" s="454">
        <v>2371616.98</v>
      </c>
      <c r="D88" s="454">
        <v>363331.51</v>
      </c>
      <c r="E88" s="454"/>
      <c r="F88" s="455"/>
      <c r="G88" s="454">
        <v>68687.5</v>
      </c>
      <c r="H88" s="454">
        <v>6625.95</v>
      </c>
      <c r="I88" s="454"/>
      <c r="J88" s="454">
        <v>47105.599999999999</v>
      </c>
      <c r="K88" s="454">
        <v>4099.05</v>
      </c>
      <c r="L88" s="454">
        <v>235799.85</v>
      </c>
      <c r="M88" s="344">
        <f t="shared" si="4"/>
        <v>3097266.4400000004</v>
      </c>
      <c r="N88" s="458">
        <v>15859.35</v>
      </c>
      <c r="O88" s="458">
        <v>31713.200000000001</v>
      </c>
      <c r="P88" s="458">
        <v>19397.5</v>
      </c>
      <c r="Q88" s="458">
        <v>54.32</v>
      </c>
      <c r="R88" s="458">
        <v>5565</v>
      </c>
      <c r="S88" s="454">
        <v>7312.75</v>
      </c>
      <c r="T88" s="344">
        <f t="shared" si="5"/>
        <v>3177168.5600000005</v>
      </c>
      <c r="U88" s="456">
        <v>-8609.93</v>
      </c>
      <c r="V88" s="458"/>
      <c r="W88" s="458">
        <v>0</v>
      </c>
      <c r="X88" s="462">
        <v>75.5</v>
      </c>
      <c r="Y88" s="463">
        <v>1</v>
      </c>
      <c r="Z88" s="464">
        <v>1211</v>
      </c>
      <c r="AA88" s="527"/>
      <c r="AB88" s="469">
        <v>24982</v>
      </c>
      <c r="AC88" s="307">
        <f>AB88/VPI!R88</f>
        <v>0.60921402930658552</v>
      </c>
      <c r="AD88" s="309">
        <f t="shared" si="6"/>
        <v>203840</v>
      </c>
      <c r="AE88" s="307">
        <f>AD88/VPI!R88</f>
        <v>4.9708665332581221</v>
      </c>
      <c r="AF88" s="469">
        <v>228822</v>
      </c>
      <c r="AG88" s="469">
        <v>54154</v>
      </c>
      <c r="AH88" s="469">
        <v>122048</v>
      </c>
      <c r="AI88" s="528"/>
      <c r="AJ88" s="464"/>
      <c r="AK88" s="307">
        <f>AJ88/VPI!R88</f>
        <v>0</v>
      </c>
      <c r="AL88" s="309">
        <f t="shared" si="7"/>
        <v>4190</v>
      </c>
      <c r="AM88" s="307">
        <f>AL88/VPI!R88</f>
        <v>0.10217783935612014</v>
      </c>
      <c r="AN88" s="464">
        <v>4190</v>
      </c>
      <c r="AO88" s="528"/>
      <c r="AP88" s="477">
        <v>16.504321002414795</v>
      </c>
      <c r="AR88" s="530">
        <v>0</v>
      </c>
    </row>
    <row r="89" spans="1:44" x14ac:dyDescent="0.25">
      <c r="A89" s="525">
        <v>5551</v>
      </c>
      <c r="B89" s="526" t="s">
        <v>32</v>
      </c>
      <c r="C89" s="454">
        <v>782067.34</v>
      </c>
      <c r="D89" s="454">
        <v>134567.48000000001</v>
      </c>
      <c r="E89" s="454"/>
      <c r="F89" s="455"/>
      <c r="G89" s="454">
        <v>35890.9</v>
      </c>
      <c r="H89" s="454">
        <v>15267.8</v>
      </c>
      <c r="I89" s="454"/>
      <c r="J89" s="454">
        <v>3677.13</v>
      </c>
      <c r="K89" s="454">
        <v>12553.55</v>
      </c>
      <c r="L89" s="454">
        <v>121378.5</v>
      </c>
      <c r="M89" s="344">
        <f t="shared" si="4"/>
        <v>1105402.7000000002</v>
      </c>
      <c r="N89" s="458">
        <v>15353.85</v>
      </c>
      <c r="O89" s="458"/>
      <c r="P89" s="458">
        <v>74376.5</v>
      </c>
      <c r="Q89" s="458"/>
      <c r="R89" s="458">
        <v>65638.95</v>
      </c>
      <c r="S89" s="454">
        <v>4967.38</v>
      </c>
      <c r="T89" s="344">
        <f t="shared" si="5"/>
        <v>1265739.3800000001</v>
      </c>
      <c r="U89" s="456">
        <v>-565.08000000000004</v>
      </c>
      <c r="V89" s="458"/>
      <c r="W89" s="458">
        <v>-176.95</v>
      </c>
      <c r="X89" s="462">
        <v>57</v>
      </c>
      <c r="Y89" s="463">
        <v>1</v>
      </c>
      <c r="Z89" s="464">
        <v>518</v>
      </c>
      <c r="AA89" s="527"/>
      <c r="AB89" s="469">
        <v>37542</v>
      </c>
      <c r="AC89" s="307">
        <f>AB89/VPI!R89</f>
        <v>1.9284786465158301</v>
      </c>
      <c r="AD89" s="309">
        <f t="shared" si="6"/>
        <v>72772</v>
      </c>
      <c r="AE89" s="307">
        <f>AD89/VPI!R89</f>
        <v>3.7381931720273291</v>
      </c>
      <c r="AF89" s="469">
        <v>110314</v>
      </c>
      <c r="AG89" s="469">
        <v>38995</v>
      </c>
      <c r="AH89" s="469">
        <v>77462</v>
      </c>
      <c r="AI89" s="528"/>
      <c r="AJ89" s="464"/>
      <c r="AK89" s="307">
        <f>AJ89/VPI!R89</f>
        <v>0</v>
      </c>
      <c r="AL89" s="309">
        <f t="shared" si="7"/>
        <v>36963</v>
      </c>
      <c r="AM89" s="307">
        <f>AL89/VPI!R89</f>
        <v>1.8987362477002991</v>
      </c>
      <c r="AN89" s="464">
        <v>36963</v>
      </c>
      <c r="AO89" s="528"/>
      <c r="AP89" s="477">
        <v>22.347148706267237</v>
      </c>
      <c r="AR89" s="530">
        <v>0</v>
      </c>
    </row>
    <row r="90" spans="1:44" x14ac:dyDescent="0.25">
      <c r="A90" s="525">
        <v>5552</v>
      </c>
      <c r="B90" s="526" t="s">
        <v>33</v>
      </c>
      <c r="C90" s="454">
        <v>992069.41</v>
      </c>
      <c r="D90" s="454">
        <v>241265.36</v>
      </c>
      <c r="E90" s="454"/>
      <c r="F90" s="455"/>
      <c r="G90" s="454">
        <v>36879.5</v>
      </c>
      <c r="H90" s="454">
        <v>1120.3499999999999</v>
      </c>
      <c r="I90" s="454"/>
      <c r="J90" s="454">
        <v>22126.2</v>
      </c>
      <c r="K90" s="454">
        <v>6331.1</v>
      </c>
      <c r="L90" s="454">
        <v>144796.15</v>
      </c>
      <c r="M90" s="344">
        <f t="shared" si="4"/>
        <v>1444588.07</v>
      </c>
      <c r="N90" s="458">
        <v>88690.1</v>
      </c>
      <c r="O90" s="458">
        <v>62797.9</v>
      </c>
      <c r="P90" s="458">
        <v>68864.45</v>
      </c>
      <c r="Q90" s="458">
        <v>798.07</v>
      </c>
      <c r="R90" s="458">
        <v>68291.7</v>
      </c>
      <c r="S90" s="454">
        <v>3689.69</v>
      </c>
      <c r="T90" s="344">
        <f t="shared" si="5"/>
        <v>1737719.98</v>
      </c>
      <c r="U90" s="456">
        <v>-3197.03</v>
      </c>
      <c r="V90" s="458"/>
      <c r="W90" s="458">
        <v>0</v>
      </c>
      <c r="X90" s="462">
        <v>72</v>
      </c>
      <c r="Y90" s="463">
        <v>1</v>
      </c>
      <c r="Z90" s="464">
        <v>682</v>
      </c>
      <c r="AA90" s="527"/>
      <c r="AB90" s="469">
        <v>8641</v>
      </c>
      <c r="AC90" s="307">
        <f>AB90/VPI!R90</f>
        <v>0.43029332749051991</v>
      </c>
      <c r="AD90" s="309">
        <f t="shared" si="6"/>
        <v>338704</v>
      </c>
      <c r="AE90" s="307">
        <f>AD90/VPI!R90</f>
        <v>16.866343154073494</v>
      </c>
      <c r="AF90" s="469">
        <v>347345</v>
      </c>
      <c r="AG90" s="469">
        <v>50041</v>
      </c>
      <c r="AH90" s="469">
        <v>73896</v>
      </c>
      <c r="AI90" s="528"/>
      <c r="AJ90" s="464"/>
      <c r="AK90" s="307">
        <f>AJ90/VPI!R90</f>
        <v>0</v>
      </c>
      <c r="AL90" s="309">
        <f t="shared" si="7"/>
        <v>53788</v>
      </c>
      <c r="AM90" s="307">
        <f>AL90/VPI!R90</f>
        <v>2.6784651659599681</v>
      </c>
      <c r="AN90" s="464">
        <v>53788</v>
      </c>
      <c r="AO90" s="528"/>
      <c r="AP90" s="477">
        <v>14.019304490343982</v>
      </c>
      <c r="AR90" s="530">
        <v>0</v>
      </c>
    </row>
    <row r="91" spans="1:44" x14ac:dyDescent="0.25">
      <c r="A91" s="525">
        <v>5553</v>
      </c>
      <c r="B91" s="526" t="s">
        <v>34</v>
      </c>
      <c r="C91" s="454">
        <v>1774778.22</v>
      </c>
      <c r="D91" s="454">
        <v>262501.45</v>
      </c>
      <c r="E91" s="454"/>
      <c r="F91" s="455"/>
      <c r="G91" s="454">
        <v>220607.25</v>
      </c>
      <c r="H91" s="454">
        <v>14661.5</v>
      </c>
      <c r="I91" s="454"/>
      <c r="J91" s="454">
        <v>7509.84</v>
      </c>
      <c r="K91" s="454">
        <v>35751.35</v>
      </c>
      <c r="L91" s="454">
        <v>254165.75</v>
      </c>
      <c r="M91" s="344">
        <f t="shared" si="4"/>
        <v>2569975.36</v>
      </c>
      <c r="N91" s="458">
        <v>277657.75</v>
      </c>
      <c r="O91" s="458">
        <v>17</v>
      </c>
      <c r="P91" s="458">
        <v>150467.45000000001</v>
      </c>
      <c r="Q91" s="458">
        <v>832.43</v>
      </c>
      <c r="R91" s="458">
        <v>93746.05</v>
      </c>
      <c r="S91" s="454">
        <v>22844.01</v>
      </c>
      <c r="T91" s="344">
        <f t="shared" si="5"/>
        <v>3115540.05</v>
      </c>
      <c r="U91" s="456">
        <v>-98826.85</v>
      </c>
      <c r="V91" s="458"/>
      <c r="W91" s="458">
        <v>-877.4</v>
      </c>
      <c r="X91" s="462">
        <v>65</v>
      </c>
      <c r="Y91" s="463">
        <v>1</v>
      </c>
      <c r="Z91" s="464">
        <v>1071</v>
      </c>
      <c r="AA91" s="527"/>
      <c r="AB91" s="469">
        <v>71025</v>
      </c>
      <c r="AC91" s="307">
        <f>AB91/VPI!R91</f>
        <v>1.8511315524658891</v>
      </c>
      <c r="AD91" s="309">
        <f t="shared" si="6"/>
        <v>607944</v>
      </c>
      <c r="AE91" s="307">
        <f>AD91/VPI!R91</f>
        <v>15.844904196160824</v>
      </c>
      <c r="AF91" s="469">
        <v>678969</v>
      </c>
      <c r="AG91" s="469">
        <v>79399</v>
      </c>
      <c r="AH91" s="469">
        <v>159924</v>
      </c>
      <c r="AI91" s="528"/>
      <c r="AJ91" s="464"/>
      <c r="AK91" s="307">
        <f>AJ91/VPI!R91</f>
        <v>0</v>
      </c>
      <c r="AL91" s="309">
        <f t="shared" si="7"/>
        <v>26116</v>
      </c>
      <c r="AM91" s="307">
        <f>AL91/VPI!R91</f>
        <v>0.68066387362476821</v>
      </c>
      <c r="AN91" s="464">
        <v>26116</v>
      </c>
      <c r="AO91" s="528"/>
      <c r="AP91" s="477">
        <v>18.591148195589042</v>
      </c>
      <c r="AR91" s="530">
        <v>0</v>
      </c>
    </row>
    <row r="92" spans="1:44" x14ac:dyDescent="0.25">
      <c r="A92" s="525">
        <v>5554</v>
      </c>
      <c r="B92" s="526" t="s">
        <v>35</v>
      </c>
      <c r="C92" s="454">
        <v>1785319.61</v>
      </c>
      <c r="D92" s="454">
        <v>364578.98</v>
      </c>
      <c r="E92" s="454"/>
      <c r="F92" s="455"/>
      <c r="G92" s="454">
        <v>-10006.700000000001</v>
      </c>
      <c r="H92" s="454">
        <v>1601.65</v>
      </c>
      <c r="I92" s="454"/>
      <c r="J92" s="454">
        <v>28935.93</v>
      </c>
      <c r="K92" s="454">
        <v>5287.5</v>
      </c>
      <c r="L92" s="454">
        <v>199938.2</v>
      </c>
      <c r="M92" s="344">
        <f t="shared" si="4"/>
        <v>2375655.17</v>
      </c>
      <c r="N92" s="458">
        <v>31530.2</v>
      </c>
      <c r="O92" s="458">
        <v>73550.8</v>
      </c>
      <c r="P92" s="458">
        <v>63386.45</v>
      </c>
      <c r="Q92" s="458">
        <v>133.83000000000001</v>
      </c>
      <c r="R92" s="458">
        <v>109603.2</v>
      </c>
      <c r="S92" s="454">
        <v>-816.11</v>
      </c>
      <c r="T92" s="344">
        <f t="shared" si="5"/>
        <v>2653043.5400000005</v>
      </c>
      <c r="U92" s="456">
        <v>-30290.69</v>
      </c>
      <c r="V92" s="458"/>
      <c r="W92" s="458">
        <v>-983.68</v>
      </c>
      <c r="X92" s="462">
        <v>71</v>
      </c>
      <c r="Y92" s="463">
        <v>1</v>
      </c>
      <c r="Z92" s="464">
        <v>1025</v>
      </c>
      <c r="AA92" s="527"/>
      <c r="AB92" s="469">
        <v>145048</v>
      </c>
      <c r="AC92" s="307">
        <f>AB92/VPI!R92</f>
        <v>4.3940839285080058</v>
      </c>
      <c r="AD92" s="309">
        <f t="shared" si="6"/>
        <v>213892</v>
      </c>
      <c r="AE92" s="307">
        <f>AD92/VPI!R92</f>
        <v>6.4796439774173678</v>
      </c>
      <c r="AF92" s="469">
        <v>358940</v>
      </c>
      <c r="AG92" s="469">
        <v>101022</v>
      </c>
      <c r="AH92" s="469">
        <v>156407</v>
      </c>
      <c r="AI92" s="528"/>
      <c r="AJ92" s="464"/>
      <c r="AK92" s="307">
        <f>AJ92/VPI!R92</f>
        <v>0</v>
      </c>
      <c r="AL92" s="309">
        <f t="shared" si="7"/>
        <v>16274</v>
      </c>
      <c r="AM92" s="307">
        <f>AL92/VPI!R92</f>
        <v>0.49300453541268607</v>
      </c>
      <c r="AN92" s="464">
        <v>16274</v>
      </c>
      <c r="AO92" s="528"/>
      <c r="AP92" s="477">
        <v>16.913777169331382</v>
      </c>
      <c r="AR92" s="530">
        <v>0</v>
      </c>
    </row>
    <row r="93" spans="1:44" x14ac:dyDescent="0.25">
      <c r="A93" s="525">
        <v>5555</v>
      </c>
      <c r="B93" s="526" t="s">
        <v>36</v>
      </c>
      <c r="C93" s="454">
        <v>677668.71</v>
      </c>
      <c r="D93" s="454">
        <v>159487.96</v>
      </c>
      <c r="E93" s="454"/>
      <c r="F93" s="455"/>
      <c r="G93" s="454">
        <v>271.75</v>
      </c>
      <c r="H93" s="454">
        <v>17641.45</v>
      </c>
      <c r="I93" s="454"/>
      <c r="J93" s="454">
        <v>6142.48</v>
      </c>
      <c r="K93" s="454">
        <v>2283.5</v>
      </c>
      <c r="L93" s="454">
        <v>102012.65</v>
      </c>
      <c r="M93" s="344">
        <f t="shared" si="4"/>
        <v>965508.49999999988</v>
      </c>
      <c r="N93" s="458">
        <v>7206.1</v>
      </c>
      <c r="O93" s="458">
        <v>1232.5999999999999</v>
      </c>
      <c r="P93" s="458">
        <v>73964</v>
      </c>
      <c r="Q93" s="458">
        <v>15088.46</v>
      </c>
      <c r="R93" s="458">
        <v>68083.8</v>
      </c>
      <c r="S93" s="454">
        <v>1739.33</v>
      </c>
      <c r="T93" s="344">
        <f t="shared" si="5"/>
        <v>1132822.79</v>
      </c>
      <c r="U93" s="456">
        <v>-3227.7</v>
      </c>
      <c r="V93" s="458"/>
      <c r="W93" s="458">
        <v>0</v>
      </c>
      <c r="X93" s="462">
        <v>69</v>
      </c>
      <c r="Y93" s="463">
        <v>1</v>
      </c>
      <c r="Z93" s="464">
        <v>438</v>
      </c>
      <c r="AA93" s="527"/>
      <c r="AB93" s="469">
        <v>116418</v>
      </c>
      <c r="AC93" s="307">
        <f>AB93/VPI!R93</f>
        <v>8.2042401445992841</v>
      </c>
      <c r="AD93" s="309">
        <f t="shared" si="6"/>
        <v>175208</v>
      </c>
      <c r="AE93" s="307">
        <f>AD93/VPI!R93</f>
        <v>12.347304602853091</v>
      </c>
      <c r="AF93" s="469">
        <v>291626</v>
      </c>
      <c r="AG93" s="469">
        <v>31507</v>
      </c>
      <c r="AH93" s="469">
        <v>64011</v>
      </c>
      <c r="AI93" s="528"/>
      <c r="AJ93" s="464"/>
      <c r="AK93" s="307">
        <f>AJ93/VPI!R93</f>
        <v>0</v>
      </c>
      <c r="AL93" s="309">
        <f t="shared" si="7"/>
        <v>38109</v>
      </c>
      <c r="AM93" s="307">
        <f>AL93/VPI!R93</f>
        <v>2.6856275461744241</v>
      </c>
      <c r="AN93" s="464">
        <v>38109</v>
      </c>
      <c r="AO93" s="528"/>
      <c r="AP93" s="477">
        <v>16.396635848317846</v>
      </c>
      <c r="AR93" s="530">
        <v>0</v>
      </c>
    </row>
    <row r="94" spans="1:44" x14ac:dyDescent="0.25">
      <c r="A94" s="525">
        <v>5556</v>
      </c>
      <c r="B94" s="526" t="s">
        <v>37</v>
      </c>
      <c r="C94" s="454">
        <v>739019.45</v>
      </c>
      <c r="D94" s="454">
        <v>78107.66</v>
      </c>
      <c r="E94" s="454"/>
      <c r="F94" s="455">
        <v>2580</v>
      </c>
      <c r="G94" s="454">
        <v>7025.65</v>
      </c>
      <c r="H94" s="454">
        <v>155.25</v>
      </c>
      <c r="I94" s="454"/>
      <c r="J94" s="454">
        <v>1837.56</v>
      </c>
      <c r="K94" s="454">
        <v>132.15</v>
      </c>
      <c r="L94" s="454">
        <v>92504.52</v>
      </c>
      <c r="M94" s="344">
        <f t="shared" si="4"/>
        <v>921362.24000000011</v>
      </c>
      <c r="N94" s="458">
        <v>588.25</v>
      </c>
      <c r="O94" s="458">
        <v>51988.1</v>
      </c>
      <c r="P94" s="458">
        <v>36300</v>
      </c>
      <c r="Q94" s="458"/>
      <c r="R94" s="458">
        <v>73878.899999999994</v>
      </c>
      <c r="S94" s="454">
        <v>697.25</v>
      </c>
      <c r="T94" s="344">
        <f t="shared" si="5"/>
        <v>1084814.74</v>
      </c>
      <c r="U94" s="456">
        <v>-22658.74</v>
      </c>
      <c r="V94" s="458"/>
      <c r="W94" s="458">
        <v>0</v>
      </c>
      <c r="X94" s="462">
        <v>69</v>
      </c>
      <c r="Y94" s="463">
        <v>1.2</v>
      </c>
      <c r="Z94" s="464">
        <v>431</v>
      </c>
      <c r="AA94" s="527"/>
      <c r="AB94" s="469">
        <v>26112</v>
      </c>
      <c r="AC94" s="307">
        <f>AB94/VPI!R94</f>
        <v>2.038192281295621</v>
      </c>
      <c r="AD94" s="309">
        <f t="shared" si="6"/>
        <v>38240</v>
      </c>
      <c r="AE94" s="307">
        <f>AD94/VPI!R94</f>
        <v>2.9848526668483668</v>
      </c>
      <c r="AF94" s="469">
        <v>64352</v>
      </c>
      <c r="AG94" s="469">
        <v>21549</v>
      </c>
      <c r="AH94" s="469">
        <v>69815</v>
      </c>
      <c r="AI94" s="528"/>
      <c r="AJ94" s="464"/>
      <c r="AK94" s="307">
        <f>AJ94/VPI!R94</f>
        <v>0</v>
      </c>
      <c r="AL94" s="309">
        <f t="shared" si="7"/>
        <v>20297</v>
      </c>
      <c r="AM94" s="307">
        <f>AL94/VPI!R94</f>
        <v>1.5842979753928164</v>
      </c>
      <c r="AN94" s="464">
        <v>20297</v>
      </c>
      <c r="AO94" s="528"/>
      <c r="AP94" s="477">
        <v>13.671964618200015</v>
      </c>
      <c r="AR94" s="530">
        <v>0</v>
      </c>
    </row>
    <row r="95" spans="1:44" x14ac:dyDescent="0.25">
      <c r="A95" s="525">
        <v>5557</v>
      </c>
      <c r="B95" s="526" t="s">
        <v>38</v>
      </c>
      <c r="C95" s="454">
        <v>285472.07</v>
      </c>
      <c r="D95" s="454">
        <v>32057.01</v>
      </c>
      <c r="E95" s="480"/>
      <c r="F95" s="455">
        <v>1002.45</v>
      </c>
      <c r="G95" s="454">
        <v>4841.7</v>
      </c>
      <c r="H95" s="454">
        <v>157.6</v>
      </c>
      <c r="I95" s="454"/>
      <c r="J95" s="454">
        <v>1658.57</v>
      </c>
      <c r="K95" s="454">
        <v>847.95</v>
      </c>
      <c r="L95" s="454">
        <v>37721.1</v>
      </c>
      <c r="M95" s="344">
        <f t="shared" si="4"/>
        <v>363758.45</v>
      </c>
      <c r="N95" s="458">
        <v>0</v>
      </c>
      <c r="O95" s="458"/>
      <c r="P95" s="458">
        <v>10563.6</v>
      </c>
      <c r="Q95" s="458">
        <v>1041.33</v>
      </c>
      <c r="R95" s="458">
        <v>9331.2000000000007</v>
      </c>
      <c r="S95" s="454">
        <v>485.42</v>
      </c>
      <c r="T95" s="344">
        <f t="shared" si="5"/>
        <v>385180</v>
      </c>
      <c r="U95" s="456">
        <v>-8954.31</v>
      </c>
      <c r="V95" s="458"/>
      <c r="W95" s="458">
        <v>0</v>
      </c>
      <c r="X95" s="462">
        <v>69</v>
      </c>
      <c r="Y95" s="463">
        <v>1</v>
      </c>
      <c r="Z95" s="464">
        <v>220</v>
      </c>
      <c r="AA95" s="527"/>
      <c r="AB95" s="469">
        <v>1808</v>
      </c>
      <c r="AC95" s="307">
        <f>AB95/VPI!R95</f>
        <v>0.35010155869450443</v>
      </c>
      <c r="AD95" s="309">
        <f t="shared" si="6"/>
        <v>72165</v>
      </c>
      <c r="AE95" s="307">
        <f>AD95/VPI!R95</f>
        <v>13.974048110170857</v>
      </c>
      <c r="AF95" s="469">
        <v>73973</v>
      </c>
      <c r="AG95" s="469">
        <v>9835</v>
      </c>
      <c r="AH95" s="469">
        <v>45516</v>
      </c>
      <c r="AI95" s="528"/>
      <c r="AJ95" s="464"/>
      <c r="AK95" s="307">
        <f>AJ95/VPI!R95</f>
        <v>0</v>
      </c>
      <c r="AL95" s="309">
        <f t="shared" si="7"/>
        <v>10271</v>
      </c>
      <c r="AM95" s="307">
        <f>AL95/VPI!R95</f>
        <v>1.9888789321633047</v>
      </c>
      <c r="AN95" s="464">
        <v>10271</v>
      </c>
      <c r="AO95" s="528"/>
      <c r="AP95" s="477">
        <v>4.4170595117633953</v>
      </c>
      <c r="AR95" s="530">
        <v>0</v>
      </c>
    </row>
    <row r="96" spans="1:44" x14ac:dyDescent="0.25">
      <c r="A96" s="525">
        <v>5559</v>
      </c>
      <c r="B96" s="526" t="s">
        <v>39</v>
      </c>
      <c r="C96" s="454">
        <v>924238.21</v>
      </c>
      <c r="D96" s="454">
        <v>257090.33</v>
      </c>
      <c r="E96" s="454"/>
      <c r="F96" s="455"/>
      <c r="G96" s="454">
        <v>277190.45</v>
      </c>
      <c r="H96" s="454">
        <v>-492.4</v>
      </c>
      <c r="I96" s="454"/>
      <c r="J96" s="454">
        <v>2382.98</v>
      </c>
      <c r="K96" s="454">
        <v>4391</v>
      </c>
      <c r="L96" s="454">
        <v>99456.9</v>
      </c>
      <c r="M96" s="344">
        <f t="shared" si="4"/>
        <v>1564257.47</v>
      </c>
      <c r="N96" s="458">
        <v>8772.9500000000007</v>
      </c>
      <c r="O96" s="458">
        <v>-28</v>
      </c>
      <c r="P96" s="458">
        <v>21065</v>
      </c>
      <c r="Q96" s="458">
        <v>671.92</v>
      </c>
      <c r="R96" s="458">
        <v>45675</v>
      </c>
      <c r="S96" s="454">
        <v>26866.69</v>
      </c>
      <c r="T96" s="344">
        <f t="shared" si="5"/>
        <v>1667281.0299999998</v>
      </c>
      <c r="U96" s="456">
        <v>-8881.1299999999992</v>
      </c>
      <c r="V96" s="458"/>
      <c r="W96" s="458">
        <v>-333.2</v>
      </c>
      <c r="X96" s="462">
        <v>68</v>
      </c>
      <c r="Y96" s="463">
        <v>1</v>
      </c>
      <c r="Z96" s="464">
        <v>464</v>
      </c>
      <c r="AA96" s="527"/>
      <c r="AB96" s="469">
        <v>34885</v>
      </c>
      <c r="AC96" s="307">
        <f>AB96/VPI!R96</f>
        <v>1.4989304659933049</v>
      </c>
      <c r="AD96" s="309">
        <f t="shared" si="6"/>
        <v>124850</v>
      </c>
      <c r="AE96" s="307">
        <f>AD96/VPI!R96</f>
        <v>5.3645254028741327</v>
      </c>
      <c r="AF96" s="469">
        <v>159735</v>
      </c>
      <c r="AG96" s="469">
        <v>22685</v>
      </c>
      <c r="AH96" s="469">
        <v>66020</v>
      </c>
      <c r="AI96" s="528"/>
      <c r="AJ96" s="464"/>
      <c r="AK96" s="307">
        <f>AJ96/VPI!R96</f>
        <v>0</v>
      </c>
      <c r="AL96" s="309">
        <f t="shared" si="7"/>
        <v>4598</v>
      </c>
      <c r="AM96" s="307">
        <f>AL96/VPI!R96</f>
        <v>0.19756578135695044</v>
      </c>
      <c r="AN96" s="464">
        <v>4598</v>
      </c>
      <c r="AO96" s="528"/>
      <c r="AP96" s="477">
        <v>25.136197352429413</v>
      </c>
      <c r="AR96" s="530">
        <v>0</v>
      </c>
    </row>
    <row r="97" spans="1:44" x14ac:dyDescent="0.25">
      <c r="A97" s="525">
        <v>5560</v>
      </c>
      <c r="B97" s="526" t="s">
        <v>40</v>
      </c>
      <c r="C97" s="454">
        <v>446198.32</v>
      </c>
      <c r="D97" s="454">
        <v>63899.77</v>
      </c>
      <c r="E97" s="454"/>
      <c r="F97" s="455"/>
      <c r="G97" s="454">
        <v>1368</v>
      </c>
      <c r="H97" s="454">
        <v>392.85</v>
      </c>
      <c r="I97" s="454"/>
      <c r="J97" s="454">
        <v>6989.96</v>
      </c>
      <c r="K97" s="454"/>
      <c r="L97" s="454">
        <v>47581.9</v>
      </c>
      <c r="M97" s="344">
        <f t="shared" si="4"/>
        <v>566430.80000000005</v>
      </c>
      <c r="N97" s="458">
        <v>0</v>
      </c>
      <c r="O97" s="458">
        <v>3962.6</v>
      </c>
      <c r="P97" s="458">
        <v>18425</v>
      </c>
      <c r="Q97" s="458"/>
      <c r="R97" s="458">
        <v>9501</v>
      </c>
      <c r="S97" s="454">
        <v>170.97</v>
      </c>
      <c r="T97" s="344">
        <f t="shared" si="5"/>
        <v>598490.37</v>
      </c>
      <c r="U97" s="456">
        <v>-5451.92</v>
      </c>
      <c r="V97" s="458"/>
      <c r="W97" s="458">
        <v>0</v>
      </c>
      <c r="X97" s="462">
        <v>70</v>
      </c>
      <c r="Y97" s="463">
        <v>1</v>
      </c>
      <c r="Z97" s="464">
        <v>241</v>
      </c>
      <c r="AA97" s="527"/>
      <c r="AB97" s="469"/>
      <c r="AC97" s="307">
        <f>AB97/VPI!R97</f>
        <v>0</v>
      </c>
      <c r="AD97" s="309">
        <f t="shared" si="6"/>
        <v>248151</v>
      </c>
      <c r="AE97" s="307">
        <f>AD97/VPI!R97</f>
        <v>30.955314342505833</v>
      </c>
      <c r="AF97" s="469">
        <v>248151</v>
      </c>
      <c r="AG97" s="469">
        <v>11713</v>
      </c>
      <c r="AH97" s="469">
        <v>52416</v>
      </c>
      <c r="AI97" s="528"/>
      <c r="AJ97" s="464"/>
      <c r="AK97" s="307">
        <f>AJ97/VPI!R97</f>
        <v>0</v>
      </c>
      <c r="AL97" s="309">
        <f t="shared" si="7"/>
        <v>1563</v>
      </c>
      <c r="AM97" s="307">
        <f>AL97/VPI!R97</f>
        <v>0.19497465783872167</v>
      </c>
      <c r="AN97" s="464">
        <v>1563</v>
      </c>
      <c r="AO97" s="528"/>
      <c r="AP97" s="477">
        <v>17.978255875132518</v>
      </c>
      <c r="AR97" s="530">
        <v>0</v>
      </c>
    </row>
    <row r="98" spans="1:44" x14ac:dyDescent="0.25">
      <c r="A98" s="525">
        <v>5561</v>
      </c>
      <c r="B98" s="526" t="s">
        <v>41</v>
      </c>
      <c r="C98" s="454">
        <v>6249685.6699999999</v>
      </c>
      <c r="D98" s="454">
        <v>1353312.96</v>
      </c>
      <c r="E98" s="454"/>
      <c r="F98" s="455"/>
      <c r="G98" s="454">
        <v>217637.05</v>
      </c>
      <c r="H98" s="454">
        <v>14701.55</v>
      </c>
      <c r="I98" s="454"/>
      <c r="J98" s="454">
        <v>120277.04</v>
      </c>
      <c r="K98" s="454">
        <v>63902.35</v>
      </c>
      <c r="L98" s="454">
        <v>705570.05</v>
      </c>
      <c r="M98" s="344">
        <f t="shared" si="4"/>
        <v>8725086.6699999999</v>
      </c>
      <c r="N98" s="458">
        <v>289118.05</v>
      </c>
      <c r="O98" s="458">
        <v>211087.9</v>
      </c>
      <c r="P98" s="458">
        <v>353576.3</v>
      </c>
      <c r="Q98" s="458">
        <v>20701.96</v>
      </c>
      <c r="R98" s="458">
        <v>235083.6</v>
      </c>
      <c r="S98" s="454">
        <v>22519.83</v>
      </c>
      <c r="T98" s="344">
        <f t="shared" si="5"/>
        <v>9857174.3100000024</v>
      </c>
      <c r="U98" s="456">
        <v>-91878.85</v>
      </c>
      <c r="V98" s="458"/>
      <c r="W98" s="458">
        <v>-1654.35</v>
      </c>
      <c r="X98" s="462">
        <v>69</v>
      </c>
      <c r="Y98" s="463">
        <v>1</v>
      </c>
      <c r="Z98" s="464">
        <v>3396</v>
      </c>
      <c r="AA98" s="527"/>
      <c r="AB98" s="469">
        <v>488231</v>
      </c>
      <c r="AC98" s="307">
        <f>AB98/VPI!R98</f>
        <v>3.8834365145270637</v>
      </c>
      <c r="AD98" s="309">
        <f t="shared" si="6"/>
        <v>1211064</v>
      </c>
      <c r="AE98" s="307">
        <f>AD98/VPI!R98</f>
        <v>9.6329199887536916</v>
      </c>
      <c r="AF98" s="469">
        <v>1699295</v>
      </c>
      <c r="AG98" s="469">
        <v>418370</v>
      </c>
      <c r="AH98" s="469">
        <v>494441</v>
      </c>
      <c r="AI98" s="528"/>
      <c r="AJ98" s="464"/>
      <c r="AK98" s="307">
        <f>AJ98/VPI!R98</f>
        <v>0</v>
      </c>
      <c r="AL98" s="309">
        <f t="shared" si="7"/>
        <v>11701</v>
      </c>
      <c r="AM98" s="307">
        <f>AL98/VPI!R98</f>
        <v>9.3070883775264512E-2</v>
      </c>
      <c r="AN98" s="464">
        <v>11701</v>
      </c>
      <c r="AO98" s="528"/>
      <c r="AP98" s="477">
        <v>25.7298206924225</v>
      </c>
      <c r="AR98" s="530">
        <v>0</v>
      </c>
    </row>
    <row r="99" spans="1:44" x14ac:dyDescent="0.25">
      <c r="A99" s="525">
        <v>5562</v>
      </c>
      <c r="B99" s="526" t="s">
        <v>42</v>
      </c>
      <c r="C99" s="454">
        <v>151473.07999999999</v>
      </c>
      <c r="D99" s="454">
        <v>121660.63</v>
      </c>
      <c r="E99" s="454"/>
      <c r="F99" s="455">
        <v>870</v>
      </c>
      <c r="G99" s="454">
        <v>300.05</v>
      </c>
      <c r="H99" s="454">
        <v>440.15</v>
      </c>
      <c r="I99" s="454"/>
      <c r="J99" s="454">
        <v>10728.68</v>
      </c>
      <c r="K99" s="454">
        <v>-104.5</v>
      </c>
      <c r="L99" s="454">
        <v>39690.85</v>
      </c>
      <c r="M99" s="344">
        <f t="shared" si="4"/>
        <v>325058.93999999994</v>
      </c>
      <c r="N99" s="458">
        <v>741.95</v>
      </c>
      <c r="O99" s="458">
        <v>4907.6000000000004</v>
      </c>
      <c r="P99" s="458">
        <v>20295</v>
      </c>
      <c r="Q99" s="458">
        <v>10813.52</v>
      </c>
      <c r="R99" s="458">
        <v>22074.95</v>
      </c>
      <c r="S99" s="454">
        <v>71.87</v>
      </c>
      <c r="T99" s="344">
        <f t="shared" si="5"/>
        <v>383963.82999999996</v>
      </c>
      <c r="U99" s="456">
        <v>-10541.68</v>
      </c>
      <c r="V99" s="458"/>
      <c r="W99" s="458">
        <v>0</v>
      </c>
      <c r="X99" s="462">
        <v>70</v>
      </c>
      <c r="Y99" s="463">
        <v>1.2</v>
      </c>
      <c r="Z99" s="464">
        <v>145</v>
      </c>
      <c r="AA99" s="527"/>
      <c r="AB99" s="469">
        <v>48963</v>
      </c>
      <c r="AC99" s="307">
        <f>AB99/VPI!R99</f>
        <v>10.751393672603388</v>
      </c>
      <c r="AD99" s="309">
        <f t="shared" si="6"/>
        <v>20544</v>
      </c>
      <c r="AE99" s="307">
        <f>AD99/VPI!R99</f>
        <v>4.5110926946870906</v>
      </c>
      <c r="AF99" s="469">
        <v>69507</v>
      </c>
      <c r="AG99" s="469">
        <v>6623</v>
      </c>
      <c r="AH99" s="469">
        <v>11960</v>
      </c>
      <c r="AI99" s="528"/>
      <c r="AJ99" s="464"/>
      <c r="AK99" s="307">
        <f>AJ99/VPI!R99</f>
        <v>0</v>
      </c>
      <c r="AL99" s="309">
        <f t="shared" si="7"/>
        <v>17140</v>
      </c>
      <c r="AM99" s="307">
        <f>AL99/VPI!R99</f>
        <v>3.7636355523236338</v>
      </c>
      <c r="AN99" s="464">
        <v>17140</v>
      </c>
      <c r="AO99" s="528"/>
      <c r="AP99" s="477">
        <v>20.599220377719362</v>
      </c>
      <c r="AR99" s="530">
        <v>0</v>
      </c>
    </row>
    <row r="100" spans="1:44" x14ac:dyDescent="0.25">
      <c r="A100" s="525">
        <v>5563</v>
      </c>
      <c r="B100" s="526" t="s">
        <v>244</v>
      </c>
      <c r="C100" s="454">
        <v>252106.42</v>
      </c>
      <c r="D100" s="454">
        <v>39615.800000000003</v>
      </c>
      <c r="E100" s="454"/>
      <c r="F100" s="455">
        <v>522</v>
      </c>
      <c r="G100" s="454">
        <v>-218.55</v>
      </c>
      <c r="H100" s="454">
        <v>48.2</v>
      </c>
      <c r="I100" s="454"/>
      <c r="J100" s="454">
        <v>7066.88</v>
      </c>
      <c r="K100" s="454"/>
      <c r="L100" s="454">
        <v>23396.3</v>
      </c>
      <c r="M100" s="344">
        <f t="shared" si="4"/>
        <v>322537.05000000005</v>
      </c>
      <c r="N100" s="458">
        <v>0</v>
      </c>
      <c r="O100" s="458">
        <v>2053.8000000000002</v>
      </c>
      <c r="P100" s="458">
        <v>20996.1</v>
      </c>
      <c r="Q100" s="458"/>
      <c r="R100" s="458">
        <v>17610.650000000001</v>
      </c>
      <c r="S100" s="454">
        <v>-16.54</v>
      </c>
      <c r="T100" s="344">
        <f t="shared" si="5"/>
        <v>363181.06000000006</v>
      </c>
      <c r="U100" s="456">
        <v>-173</v>
      </c>
      <c r="V100" s="458"/>
      <c r="W100" s="458">
        <v>0</v>
      </c>
      <c r="X100" s="462">
        <v>80</v>
      </c>
      <c r="Y100" s="463">
        <v>1</v>
      </c>
      <c r="Z100" s="464">
        <v>144</v>
      </c>
      <c r="AA100" s="527"/>
      <c r="AB100" s="469">
        <v>9747</v>
      </c>
      <c r="AC100" s="307">
        <f>AB100/VPI!R100</f>
        <v>2.4190042603400288</v>
      </c>
      <c r="AD100" s="309">
        <f t="shared" si="6"/>
        <v>46410</v>
      </c>
      <c r="AE100" s="307">
        <f>AD100/VPI!R100</f>
        <v>11.518004280535624</v>
      </c>
      <c r="AF100" s="469">
        <v>56157</v>
      </c>
      <c r="AG100" s="469">
        <v>7166</v>
      </c>
      <c r="AH100" s="469">
        <v>23773</v>
      </c>
      <c r="AI100" s="528"/>
      <c r="AJ100" s="464"/>
      <c r="AK100" s="307">
        <f>AJ100/VPI!R100</f>
        <v>0</v>
      </c>
      <c r="AL100" s="309">
        <f t="shared" si="7"/>
        <v>35072</v>
      </c>
      <c r="AM100" s="307">
        <f>AL100/VPI!R100</f>
        <v>8.7041466521643063</v>
      </c>
      <c r="AN100" s="464">
        <v>35072</v>
      </c>
      <c r="AO100" s="528"/>
      <c r="AP100" s="477">
        <v>-12.977613611746547</v>
      </c>
      <c r="AR100" s="530">
        <v>0</v>
      </c>
    </row>
    <row r="101" spans="1:44" x14ac:dyDescent="0.25">
      <c r="A101" s="525">
        <v>5564</v>
      </c>
      <c r="B101" s="526" t="s">
        <v>245</v>
      </c>
      <c r="C101" s="454">
        <v>162354.68</v>
      </c>
      <c r="D101" s="454">
        <v>10797.91</v>
      </c>
      <c r="E101" s="454"/>
      <c r="F101" s="455"/>
      <c r="G101" s="454">
        <v>20.3</v>
      </c>
      <c r="H101" s="454">
        <v>33.799999999999997</v>
      </c>
      <c r="I101" s="454"/>
      <c r="J101" s="454"/>
      <c r="K101" s="454"/>
      <c r="L101" s="454">
        <v>12188.05</v>
      </c>
      <c r="M101" s="344">
        <f t="shared" si="4"/>
        <v>185394.73999999996</v>
      </c>
      <c r="N101" s="458">
        <v>0</v>
      </c>
      <c r="O101" s="458"/>
      <c r="P101" s="458">
        <v>14047</v>
      </c>
      <c r="Q101" s="458"/>
      <c r="R101" s="458"/>
      <c r="S101" s="454">
        <v>5.25</v>
      </c>
      <c r="T101" s="344">
        <f t="shared" si="5"/>
        <v>199446.98999999996</v>
      </c>
      <c r="U101" s="456">
        <v>-1158.83</v>
      </c>
      <c r="V101" s="458"/>
      <c r="W101" s="458">
        <v>0</v>
      </c>
      <c r="X101" s="462">
        <v>76</v>
      </c>
      <c r="Y101" s="463">
        <v>0.8</v>
      </c>
      <c r="Z101" s="464">
        <v>106</v>
      </c>
      <c r="AA101" s="527"/>
      <c r="AB101" s="469"/>
      <c r="AC101" s="307">
        <f>AB101/VPI!R101</f>
        <v>0</v>
      </c>
      <c r="AD101" s="309">
        <f t="shared" si="6"/>
        <v>6008</v>
      </c>
      <c r="AE101" s="307">
        <f>AD101/VPI!R101</f>
        <v>2.4379969856345305</v>
      </c>
      <c r="AF101" s="469">
        <v>6008</v>
      </c>
      <c r="AG101" s="469">
        <v>5041</v>
      </c>
      <c r="AH101" s="469">
        <v>18720</v>
      </c>
      <c r="AI101" s="528"/>
      <c r="AJ101" s="464"/>
      <c r="AK101" s="307">
        <f>AJ101/VPI!R101</f>
        <v>0</v>
      </c>
      <c r="AL101" s="309">
        <f t="shared" si="7"/>
        <v>8673</v>
      </c>
      <c r="AM101" s="307">
        <f>AL101/VPI!R101</f>
        <v>3.519432066645853</v>
      </c>
      <c r="AN101" s="464">
        <v>8673</v>
      </c>
      <c r="AO101" s="528"/>
      <c r="AP101" s="477">
        <v>-3.1157049479201877</v>
      </c>
      <c r="AR101" s="530">
        <v>0</v>
      </c>
    </row>
    <row r="102" spans="1:44" x14ac:dyDescent="0.25">
      <c r="A102" s="525">
        <v>5565</v>
      </c>
      <c r="B102" s="526" t="s">
        <v>246</v>
      </c>
      <c r="C102" s="454">
        <v>910761.38</v>
      </c>
      <c r="D102" s="454">
        <v>129066.94</v>
      </c>
      <c r="E102" s="454"/>
      <c r="F102" s="455"/>
      <c r="G102" s="454">
        <v>29662.6</v>
      </c>
      <c r="H102" s="454">
        <v>49247.95</v>
      </c>
      <c r="I102" s="454"/>
      <c r="J102" s="454">
        <v>4717.21</v>
      </c>
      <c r="K102" s="454">
        <v>23875.35</v>
      </c>
      <c r="L102" s="454">
        <v>135301.95000000001</v>
      </c>
      <c r="M102" s="344">
        <f t="shared" si="4"/>
        <v>1282633.3800000001</v>
      </c>
      <c r="N102" s="458">
        <v>56253.35</v>
      </c>
      <c r="O102" s="458"/>
      <c r="P102" s="458">
        <v>56220.45</v>
      </c>
      <c r="Q102" s="458"/>
      <c r="R102" s="458">
        <v>74177.25</v>
      </c>
      <c r="S102" s="454">
        <v>7662.02</v>
      </c>
      <c r="T102" s="344">
        <f t="shared" si="5"/>
        <v>1476946.4500000002</v>
      </c>
      <c r="U102" s="456">
        <v>-8089.7</v>
      </c>
      <c r="V102" s="458"/>
      <c r="W102" s="458">
        <v>-261.02999999999997</v>
      </c>
      <c r="X102" s="462">
        <v>63.5</v>
      </c>
      <c r="Y102" s="463">
        <v>1</v>
      </c>
      <c r="Z102" s="464">
        <v>520</v>
      </c>
      <c r="AA102" s="527"/>
      <c r="AB102" s="469">
        <v>58065</v>
      </c>
      <c r="AC102" s="307">
        <f>AB102/VPI!R102</f>
        <v>2.8761986271997211</v>
      </c>
      <c r="AD102" s="309">
        <f t="shared" si="6"/>
        <v>93571</v>
      </c>
      <c r="AE102" s="307">
        <f>AD102/VPI!R102</f>
        <v>4.6349570609783015</v>
      </c>
      <c r="AF102" s="469">
        <v>151636</v>
      </c>
      <c r="AG102" s="469">
        <v>36919</v>
      </c>
      <c r="AH102" s="469">
        <v>70689</v>
      </c>
      <c r="AI102" s="528"/>
      <c r="AJ102" s="464">
        <v>1367</v>
      </c>
      <c r="AK102" s="307">
        <f>AJ102/VPI!R102</f>
        <v>6.7713140848738806E-2</v>
      </c>
      <c r="AL102" s="309">
        <f t="shared" si="7"/>
        <v>19783</v>
      </c>
      <c r="AM102" s="307">
        <f>AL102/VPI!R102</f>
        <v>0.97993347872026315</v>
      </c>
      <c r="AN102" s="464">
        <v>21150</v>
      </c>
      <c r="AO102" s="528"/>
      <c r="AP102" s="477">
        <v>25.380807136305148</v>
      </c>
      <c r="AR102" s="530">
        <v>0</v>
      </c>
    </row>
    <row r="103" spans="1:44" x14ac:dyDescent="0.25">
      <c r="A103" s="525">
        <v>5566</v>
      </c>
      <c r="B103" s="526" t="s">
        <v>247</v>
      </c>
      <c r="C103" s="454">
        <v>765199.37</v>
      </c>
      <c r="D103" s="454">
        <v>65054.19</v>
      </c>
      <c r="E103" s="454"/>
      <c r="F103" s="455">
        <v>2680</v>
      </c>
      <c r="G103" s="454">
        <v>805.35</v>
      </c>
      <c r="H103" s="454">
        <v>3114.9</v>
      </c>
      <c r="I103" s="454"/>
      <c r="J103" s="454">
        <v>13401.13</v>
      </c>
      <c r="K103" s="454">
        <v>2760.45</v>
      </c>
      <c r="L103" s="454">
        <v>100564</v>
      </c>
      <c r="M103" s="344">
        <f t="shared" si="4"/>
        <v>953579.39</v>
      </c>
      <c r="N103" s="458">
        <v>49491.15</v>
      </c>
      <c r="O103" s="458">
        <v>74300.600000000006</v>
      </c>
      <c r="P103" s="458">
        <v>50950.3</v>
      </c>
      <c r="Q103" s="458">
        <v>1543.08</v>
      </c>
      <c r="R103" s="458">
        <v>14162.4</v>
      </c>
      <c r="S103" s="454">
        <v>380.65</v>
      </c>
      <c r="T103" s="344">
        <f t="shared" si="5"/>
        <v>1144407.57</v>
      </c>
      <c r="U103" s="456">
        <v>-2241.89</v>
      </c>
      <c r="V103" s="458"/>
      <c r="W103" s="458">
        <v>0</v>
      </c>
      <c r="X103" s="462">
        <v>81</v>
      </c>
      <c r="Y103" s="463">
        <v>1.5</v>
      </c>
      <c r="Z103" s="464">
        <v>411</v>
      </c>
      <c r="AA103" s="527"/>
      <c r="AB103" s="469">
        <v>33054</v>
      </c>
      <c r="AC103" s="307">
        <f>AB103/VPI!R103</f>
        <v>2.9110121347387166</v>
      </c>
      <c r="AD103" s="309">
        <f t="shared" si="6"/>
        <v>442259</v>
      </c>
      <c r="AE103" s="307">
        <f>AD103/VPI!R103</f>
        <v>38.949032362116846</v>
      </c>
      <c r="AF103" s="469">
        <v>475313</v>
      </c>
      <c r="AG103" s="469">
        <v>20511</v>
      </c>
      <c r="AH103" s="469">
        <v>52644</v>
      </c>
      <c r="AI103" s="528"/>
      <c r="AJ103" s="464"/>
      <c r="AK103" s="307">
        <f>AJ103/VPI!R103</f>
        <v>0</v>
      </c>
      <c r="AL103" s="309">
        <f t="shared" si="7"/>
        <v>148361</v>
      </c>
      <c r="AM103" s="307">
        <f>AL103/VPI!R103</f>
        <v>13.065912486294268</v>
      </c>
      <c r="AN103" s="464">
        <v>148361</v>
      </c>
      <c r="AO103" s="528"/>
      <c r="AP103" s="477">
        <v>-4.2808102419863658</v>
      </c>
      <c r="AR103" s="530">
        <v>0</v>
      </c>
    </row>
    <row r="104" spans="1:44" x14ac:dyDescent="0.25">
      <c r="A104" s="525">
        <v>5568</v>
      </c>
      <c r="B104" s="526" t="s">
        <v>107</v>
      </c>
      <c r="C104" s="454">
        <v>5862312.7999999998</v>
      </c>
      <c r="D104" s="454">
        <v>957335.96</v>
      </c>
      <c r="E104" s="454"/>
      <c r="F104" s="455"/>
      <c r="G104" s="454">
        <v>395677.45</v>
      </c>
      <c r="H104" s="454">
        <v>48953.2</v>
      </c>
      <c r="I104" s="454"/>
      <c r="J104" s="454">
        <v>165964.81</v>
      </c>
      <c r="K104" s="454">
        <v>52209.4</v>
      </c>
      <c r="L104" s="454">
        <v>706695.25</v>
      </c>
      <c r="M104" s="344">
        <f t="shared" si="4"/>
        <v>8189148.8700000001</v>
      </c>
      <c r="N104" s="458">
        <v>2781681.25</v>
      </c>
      <c r="O104" s="458">
        <v>205702.8</v>
      </c>
      <c r="P104" s="458">
        <v>252402.05</v>
      </c>
      <c r="Q104" s="458">
        <v>30651.95</v>
      </c>
      <c r="R104" s="458">
        <v>261369.75</v>
      </c>
      <c r="S104" s="454">
        <v>43172.52</v>
      </c>
      <c r="T104" s="344">
        <f t="shared" si="5"/>
        <v>11764129.190000001</v>
      </c>
      <c r="U104" s="456">
        <v>-242614.02</v>
      </c>
      <c r="V104" s="458"/>
      <c r="W104" s="458">
        <v>-365.5</v>
      </c>
      <c r="X104" s="462">
        <v>70</v>
      </c>
      <c r="Y104" s="463">
        <v>1</v>
      </c>
      <c r="Z104" s="464">
        <v>5130</v>
      </c>
      <c r="AA104" s="527"/>
      <c r="AB104" s="469">
        <v>227915</v>
      </c>
      <c r="AC104" s="307">
        <f>AB104/VPI!R104</f>
        <v>1.9892845752841239</v>
      </c>
      <c r="AD104" s="309">
        <f t="shared" si="6"/>
        <v>2200152</v>
      </c>
      <c r="AE104" s="307">
        <f>AD104/VPI!R104</f>
        <v>19.203336493344079</v>
      </c>
      <c r="AF104" s="469">
        <v>2428067</v>
      </c>
      <c r="AG104" s="469">
        <v>624095</v>
      </c>
      <c r="AH104" s="469">
        <v>156131</v>
      </c>
      <c r="AI104" s="528"/>
      <c r="AJ104" s="464">
        <v>42033</v>
      </c>
      <c r="AK104" s="307">
        <f>AJ104/VPI!R104</f>
        <v>0.36687185377407183</v>
      </c>
      <c r="AL104" s="309">
        <f t="shared" si="7"/>
        <v>296296</v>
      </c>
      <c r="AM104" s="307">
        <f>AL104/VPI!R104</f>
        <v>2.5861266810801604</v>
      </c>
      <c r="AN104" s="464">
        <v>338329</v>
      </c>
      <c r="AO104" s="528"/>
      <c r="AP104" s="477">
        <v>-12.559319667475949</v>
      </c>
      <c r="AR104" s="530">
        <v>0</v>
      </c>
    </row>
    <row r="105" spans="1:44" x14ac:dyDescent="0.25">
      <c r="A105" s="525">
        <v>5571</v>
      </c>
      <c r="B105" s="526" t="s">
        <v>342</v>
      </c>
      <c r="C105" s="454">
        <v>1469797.43</v>
      </c>
      <c r="D105" s="454">
        <v>187312.69</v>
      </c>
      <c r="E105" s="454"/>
      <c r="F105" s="455"/>
      <c r="G105" s="454">
        <v>18614.900000000001</v>
      </c>
      <c r="H105" s="454">
        <v>297.35000000000002</v>
      </c>
      <c r="I105" s="454"/>
      <c r="J105" s="454">
        <v>17484.810000000001</v>
      </c>
      <c r="K105" s="454">
        <v>9181</v>
      </c>
      <c r="L105" s="454">
        <v>208655.8</v>
      </c>
      <c r="M105" s="344">
        <f t="shared" si="4"/>
        <v>1911343.98</v>
      </c>
      <c r="N105" s="458">
        <v>39035.800000000003</v>
      </c>
      <c r="O105" s="458">
        <v>4634</v>
      </c>
      <c r="P105" s="458">
        <v>138634.79999999999</v>
      </c>
      <c r="Q105" s="458"/>
      <c r="R105" s="458">
        <v>119557.6</v>
      </c>
      <c r="S105" s="454">
        <v>1836.33</v>
      </c>
      <c r="T105" s="344">
        <f t="shared" si="5"/>
        <v>2215042.5100000002</v>
      </c>
      <c r="U105" s="456">
        <v>-8926.3700000000008</v>
      </c>
      <c r="V105" s="458"/>
      <c r="W105" s="458">
        <v>-71.55</v>
      </c>
      <c r="X105" s="462">
        <v>71.5</v>
      </c>
      <c r="Y105" s="463">
        <v>1.2</v>
      </c>
      <c r="Z105" s="464">
        <v>861</v>
      </c>
      <c r="AA105" s="527"/>
      <c r="AB105" s="469">
        <v>97902</v>
      </c>
      <c r="AC105" s="307">
        <f>AB105/VPI!R105</f>
        <v>3.7445003465422637</v>
      </c>
      <c r="AD105" s="309">
        <f t="shared" si="6"/>
        <v>85270</v>
      </c>
      <c r="AE105" s="307">
        <f>AD105/VPI!R105</f>
        <v>3.2613587521159815</v>
      </c>
      <c r="AF105" s="469">
        <v>183172</v>
      </c>
      <c r="AG105" s="469">
        <v>42751</v>
      </c>
      <c r="AH105" s="469">
        <v>135301</v>
      </c>
      <c r="AI105" s="528"/>
      <c r="AJ105" s="464"/>
      <c r="AK105" s="307">
        <f>AJ105/VPI!R105</f>
        <v>0</v>
      </c>
      <c r="AL105" s="309">
        <f t="shared" si="7"/>
        <v>76047</v>
      </c>
      <c r="AM105" s="307">
        <f>AL105/VPI!R105</f>
        <v>2.9086026623919792</v>
      </c>
      <c r="AN105" s="464">
        <v>76047</v>
      </c>
      <c r="AO105" s="528"/>
      <c r="AP105" s="477">
        <v>13.157096638700697</v>
      </c>
      <c r="AR105" s="530">
        <v>0</v>
      </c>
    </row>
    <row r="106" spans="1:44" x14ac:dyDescent="0.25">
      <c r="A106" s="525">
        <v>5581</v>
      </c>
      <c r="B106" s="526" t="s">
        <v>316</v>
      </c>
      <c r="C106" s="454">
        <v>14083347.130000001</v>
      </c>
      <c r="D106" s="454">
        <v>1965627.72</v>
      </c>
      <c r="E106" s="454"/>
      <c r="F106" s="455"/>
      <c r="G106" s="454">
        <v>538963.85</v>
      </c>
      <c r="H106" s="454">
        <v>20906.25</v>
      </c>
      <c r="I106" s="454">
        <v>42869.73</v>
      </c>
      <c r="J106" s="454">
        <v>117418.2</v>
      </c>
      <c r="K106" s="454">
        <v>52887</v>
      </c>
      <c r="L106" s="454">
        <v>1586866.95</v>
      </c>
      <c r="M106" s="344">
        <f t="shared" si="4"/>
        <v>18408886.830000002</v>
      </c>
      <c r="N106" s="458">
        <v>27046.7</v>
      </c>
      <c r="O106" s="458">
        <v>80188</v>
      </c>
      <c r="P106" s="458">
        <v>585948.5</v>
      </c>
      <c r="Q106" s="458">
        <v>86625.919999999998</v>
      </c>
      <c r="R106" s="458">
        <v>607588.75</v>
      </c>
      <c r="S106" s="454">
        <v>54361.99</v>
      </c>
      <c r="T106" s="344">
        <f t="shared" si="5"/>
        <v>19850646.690000001</v>
      </c>
      <c r="U106" s="456">
        <v>-227217.26</v>
      </c>
      <c r="V106" s="458"/>
      <c r="W106" s="458">
        <v>-14712.79</v>
      </c>
      <c r="X106" s="462">
        <v>72</v>
      </c>
      <c r="Y106" s="463">
        <v>1.5</v>
      </c>
      <c r="Z106" s="464">
        <v>3922</v>
      </c>
      <c r="AA106" s="527"/>
      <c r="AB106" s="469">
        <v>913081</v>
      </c>
      <c r="AC106" s="307">
        <f>AB106/VPI!R106</f>
        <v>3.6977261109780168</v>
      </c>
      <c r="AD106" s="309">
        <f t="shared" si="6"/>
        <v>691431</v>
      </c>
      <c r="AE106" s="307">
        <f>AD106/VPI!R106</f>
        <v>2.8001047690617167</v>
      </c>
      <c r="AF106" s="469">
        <v>1604512</v>
      </c>
      <c r="AG106" s="469">
        <v>1737812</v>
      </c>
      <c r="AH106" s="469">
        <v>251161</v>
      </c>
      <c r="AI106" s="528"/>
      <c r="AJ106" s="464"/>
      <c r="AK106" s="307">
        <f>AJ106/VPI!R106</f>
        <v>0</v>
      </c>
      <c r="AL106" s="309">
        <f t="shared" si="7"/>
        <v>19979</v>
      </c>
      <c r="AM106" s="307">
        <f>AL106/VPI!R106</f>
        <v>8.0909437356849828E-2</v>
      </c>
      <c r="AN106" s="470">
        <v>19979</v>
      </c>
      <c r="AO106" s="528"/>
      <c r="AP106" s="477">
        <v>26.210724071527487</v>
      </c>
      <c r="AR106" s="530">
        <v>1</v>
      </c>
    </row>
    <row r="107" spans="1:44" x14ac:dyDescent="0.25">
      <c r="A107" s="525">
        <v>5582</v>
      </c>
      <c r="B107" s="526" t="s">
        <v>317</v>
      </c>
      <c r="C107" s="454">
        <v>9748799.7200000007</v>
      </c>
      <c r="D107" s="454">
        <v>1216216.76</v>
      </c>
      <c r="E107" s="454"/>
      <c r="F107" s="455"/>
      <c r="G107" s="454">
        <v>485625.9</v>
      </c>
      <c r="H107" s="454">
        <v>250695.5</v>
      </c>
      <c r="I107" s="454"/>
      <c r="J107" s="454">
        <v>310854.2</v>
      </c>
      <c r="K107" s="454">
        <v>123981.75</v>
      </c>
      <c r="L107" s="454">
        <v>1036909.9</v>
      </c>
      <c r="M107" s="344">
        <f t="shared" si="4"/>
        <v>13173083.73</v>
      </c>
      <c r="N107" s="458">
        <v>462952.75</v>
      </c>
      <c r="O107" s="458">
        <v>105942.3</v>
      </c>
      <c r="P107" s="458">
        <v>453425.85</v>
      </c>
      <c r="Q107" s="458">
        <v>7361.89</v>
      </c>
      <c r="R107" s="458">
        <v>245980.15</v>
      </c>
      <c r="S107" s="454">
        <v>71383.94</v>
      </c>
      <c r="T107" s="344">
        <f t="shared" si="5"/>
        <v>14520130.610000001</v>
      </c>
      <c r="U107" s="456">
        <v>-135362.1</v>
      </c>
      <c r="V107" s="458"/>
      <c r="W107" s="458">
        <v>-7060.05</v>
      </c>
      <c r="X107" s="462">
        <v>73</v>
      </c>
      <c r="Y107" s="463">
        <v>1</v>
      </c>
      <c r="Z107" s="464">
        <v>4855</v>
      </c>
      <c r="AA107" s="527"/>
      <c r="AB107" s="469">
        <v>250539</v>
      </c>
      <c r="AC107" s="307">
        <f>AB107/VPI!R107</f>
        <v>1.3951314829111714</v>
      </c>
      <c r="AD107" s="309">
        <f t="shared" si="6"/>
        <v>1241038</v>
      </c>
      <c r="AE107" s="307">
        <f>AD107/VPI!R107</f>
        <v>6.9107451745601054</v>
      </c>
      <c r="AF107" s="469">
        <v>1491577</v>
      </c>
      <c r="AG107" s="469">
        <v>540869</v>
      </c>
      <c r="AH107" s="469">
        <v>216518</v>
      </c>
      <c r="AI107" s="528"/>
      <c r="AJ107" s="464"/>
      <c r="AK107" s="307">
        <f>AJ107/VPI!R107</f>
        <v>0</v>
      </c>
      <c r="AL107" s="309">
        <f t="shared" si="7"/>
        <v>65670</v>
      </c>
      <c r="AM107" s="307">
        <f>AL107/VPI!R107</f>
        <v>0.36568472167118343</v>
      </c>
      <c r="AN107" s="464">
        <v>65670</v>
      </c>
      <c r="AO107" s="528"/>
      <c r="AP107" s="477">
        <v>13.443097728177493</v>
      </c>
      <c r="AR107" s="530">
        <v>0</v>
      </c>
    </row>
    <row r="108" spans="1:44" x14ac:dyDescent="0.25">
      <c r="A108" s="525">
        <v>5583</v>
      </c>
      <c r="B108" s="526" t="s">
        <v>318</v>
      </c>
      <c r="C108" s="454">
        <v>14503234.050000001</v>
      </c>
      <c r="D108" s="454">
        <v>1898919.74</v>
      </c>
      <c r="E108" s="454"/>
      <c r="F108" s="455"/>
      <c r="G108" s="454">
        <v>6497066.8499999996</v>
      </c>
      <c r="H108" s="454">
        <v>370230.2</v>
      </c>
      <c r="I108" s="454"/>
      <c r="J108" s="454">
        <v>1556964.22</v>
      </c>
      <c r="K108" s="454">
        <v>599154</v>
      </c>
      <c r="L108" s="454">
        <v>3044225.9</v>
      </c>
      <c r="M108" s="344">
        <f t="shared" si="4"/>
        <v>28469794.959999997</v>
      </c>
      <c r="N108" s="458">
        <v>3167974.65</v>
      </c>
      <c r="O108" s="458">
        <v>2119271</v>
      </c>
      <c r="P108" s="458">
        <v>2139149.4</v>
      </c>
      <c r="Q108" s="458">
        <v>222234.34</v>
      </c>
      <c r="R108" s="458">
        <v>1092036.55</v>
      </c>
      <c r="S108" s="454">
        <v>666796.73</v>
      </c>
      <c r="T108" s="344">
        <f t="shared" si="5"/>
        <v>37877257.629999995</v>
      </c>
      <c r="U108" s="456">
        <v>-375310.17</v>
      </c>
      <c r="V108" s="458"/>
      <c r="W108" s="458">
        <v>-5517.98</v>
      </c>
      <c r="X108" s="462">
        <v>63.5</v>
      </c>
      <c r="Y108" s="463">
        <v>1</v>
      </c>
      <c r="Z108" s="464">
        <v>10680</v>
      </c>
      <c r="AA108" s="527"/>
      <c r="AB108" s="469">
        <v>1000378</v>
      </c>
      <c r="AC108" s="307">
        <f>AB108/VPI!R108</f>
        <v>2.192146029655242</v>
      </c>
      <c r="AD108" s="309">
        <f t="shared" si="6"/>
        <v>2146648</v>
      </c>
      <c r="AE108" s="307">
        <f>AD108/VPI!R108</f>
        <v>4.7039877828854344</v>
      </c>
      <c r="AF108" s="469">
        <v>3147026</v>
      </c>
      <c r="AG108" s="469">
        <v>5335040</v>
      </c>
      <c r="AH108" s="469">
        <v>365911</v>
      </c>
      <c r="AI108" s="528"/>
      <c r="AJ108" s="464"/>
      <c r="AK108" s="307">
        <f>AJ108/VPI!R108</f>
        <v>0</v>
      </c>
      <c r="AL108" s="309">
        <f t="shared" si="7"/>
        <v>182947</v>
      </c>
      <c r="AM108" s="307">
        <f>AL108/VPI!R108</f>
        <v>0.40089500137681711</v>
      </c>
      <c r="AN108" s="464">
        <v>182947</v>
      </c>
      <c r="AO108" s="528"/>
      <c r="AP108" s="477">
        <v>14.187124590856268</v>
      </c>
      <c r="AR108" s="530">
        <v>1</v>
      </c>
    </row>
    <row r="109" spans="1:44" x14ac:dyDescent="0.25">
      <c r="A109" s="525">
        <v>5584</v>
      </c>
      <c r="B109" s="526" t="s">
        <v>319</v>
      </c>
      <c r="C109" s="454">
        <v>25079695.629999999</v>
      </c>
      <c r="D109" s="454">
        <v>4454826.8899999997</v>
      </c>
      <c r="E109" s="454"/>
      <c r="F109" s="455"/>
      <c r="G109" s="454">
        <v>597900.30000000005</v>
      </c>
      <c r="H109" s="454">
        <v>240146.3</v>
      </c>
      <c r="I109" s="454">
        <v>433651.65</v>
      </c>
      <c r="J109" s="454">
        <v>503221.37</v>
      </c>
      <c r="K109" s="454">
        <v>331856.09999999998</v>
      </c>
      <c r="L109" s="454">
        <v>2698147.3</v>
      </c>
      <c r="M109" s="344">
        <f t="shared" si="4"/>
        <v>34339445.539999999</v>
      </c>
      <c r="N109" s="458">
        <v>357373.9</v>
      </c>
      <c r="O109" s="458">
        <v>512242.8</v>
      </c>
      <c r="P109" s="458">
        <v>1357226.75</v>
      </c>
      <c r="Q109" s="458">
        <v>103047.62</v>
      </c>
      <c r="R109" s="458">
        <v>1128012.95</v>
      </c>
      <c r="S109" s="454">
        <v>81346.27</v>
      </c>
      <c r="T109" s="344">
        <f t="shared" si="5"/>
        <v>37878695.829999998</v>
      </c>
      <c r="U109" s="456">
        <v>-196707.33</v>
      </c>
      <c r="V109" s="458"/>
      <c r="W109" s="458">
        <v>-291699.46999999997</v>
      </c>
      <c r="X109" s="462">
        <v>64.5</v>
      </c>
      <c r="Y109" s="463">
        <v>1</v>
      </c>
      <c r="Z109" s="464">
        <v>9905</v>
      </c>
      <c r="AA109" s="527"/>
      <c r="AB109" s="469">
        <v>1181894</v>
      </c>
      <c r="AC109" s="307">
        <f>AB109/VPI!R109</f>
        <v>2.2397882767855974</v>
      </c>
      <c r="AD109" s="309">
        <f t="shared" si="6"/>
        <v>3236285</v>
      </c>
      <c r="AE109" s="307">
        <f>AD109/VPI!R109</f>
        <v>6.1330315606450974</v>
      </c>
      <c r="AF109" s="469">
        <v>4418179</v>
      </c>
      <c r="AG109" s="469">
        <v>5041060</v>
      </c>
      <c r="AH109" s="469">
        <v>925525</v>
      </c>
      <c r="AI109" s="528"/>
      <c r="AJ109" s="464">
        <v>3087</v>
      </c>
      <c r="AK109" s="307">
        <f>AJ109/VPI!R109</f>
        <v>5.850123962417221E-3</v>
      </c>
      <c r="AL109" s="309">
        <f t="shared" si="7"/>
        <v>304297</v>
      </c>
      <c r="AM109" s="307">
        <f>AL109/VPI!R109</f>
        <v>0.57666834188262817</v>
      </c>
      <c r="AN109" s="464">
        <v>307384</v>
      </c>
      <c r="AO109" s="528"/>
      <c r="AP109" s="477">
        <v>21.286516382221471</v>
      </c>
      <c r="AR109" s="530">
        <v>0</v>
      </c>
    </row>
    <row r="110" spans="1:44" x14ac:dyDescent="0.25">
      <c r="A110" s="525">
        <v>5585</v>
      </c>
      <c r="B110" s="526" t="s">
        <v>320</v>
      </c>
      <c r="C110" s="454">
        <v>5965267.3899999997</v>
      </c>
      <c r="D110" s="454">
        <v>4826214.22</v>
      </c>
      <c r="E110" s="454"/>
      <c r="F110" s="455"/>
      <c r="G110" s="454">
        <v>57566.6</v>
      </c>
      <c r="H110" s="454">
        <v>3559.45</v>
      </c>
      <c r="I110" s="454">
        <v>750925.89</v>
      </c>
      <c r="J110" s="454">
        <v>38020.800000000003</v>
      </c>
      <c r="K110" s="454">
        <v>12786</v>
      </c>
      <c r="L110" s="454">
        <v>951755.15</v>
      </c>
      <c r="M110" s="344">
        <f t="shared" si="4"/>
        <v>12606095.5</v>
      </c>
      <c r="N110" s="458">
        <v>1553.15</v>
      </c>
      <c r="O110" s="458">
        <v>3.8</v>
      </c>
      <c r="P110" s="458">
        <v>181871.15</v>
      </c>
      <c r="Q110" s="458">
        <v>228603.78</v>
      </c>
      <c r="R110" s="458">
        <v>307286.95</v>
      </c>
      <c r="S110" s="454">
        <v>5935.19</v>
      </c>
      <c r="T110" s="344">
        <f t="shared" si="5"/>
        <v>13331349.52</v>
      </c>
      <c r="U110" s="456">
        <v>-241199.24</v>
      </c>
      <c r="V110" s="458"/>
      <c r="W110" s="458">
        <v>-19646.27</v>
      </c>
      <c r="X110" s="462">
        <v>59</v>
      </c>
      <c r="Y110" s="463">
        <v>1.5</v>
      </c>
      <c r="Z110" s="464">
        <v>1482</v>
      </c>
      <c r="AA110" s="527"/>
      <c r="AB110" s="469"/>
      <c r="AC110" s="307">
        <f>AB110/VPI!R110</f>
        <v>0</v>
      </c>
      <c r="AD110" s="309">
        <f t="shared" si="6"/>
        <v>0</v>
      </c>
      <c r="AE110" s="307">
        <f>AD110/VPI!R110</f>
        <v>0</v>
      </c>
      <c r="AF110" s="469"/>
      <c r="AG110" s="469"/>
      <c r="AH110" s="469"/>
      <c r="AI110" s="528"/>
      <c r="AJ110" s="464"/>
      <c r="AK110" s="307">
        <f>AJ110/VPI!R110</f>
        <v>0</v>
      </c>
      <c r="AL110" s="309">
        <f t="shared" si="7"/>
        <v>0</v>
      </c>
      <c r="AM110" s="307">
        <f>AL110/VPI!R110</f>
        <v>0</v>
      </c>
      <c r="AN110" s="464"/>
      <c r="AO110" s="528"/>
      <c r="AP110" s="477">
        <v>48.139867713125156</v>
      </c>
      <c r="AR110" s="530">
        <v>0</v>
      </c>
    </row>
    <row r="111" spans="1:44" x14ac:dyDescent="0.25">
      <c r="A111" s="525">
        <v>5586</v>
      </c>
      <c r="B111" s="526" t="s">
        <v>108</v>
      </c>
      <c r="C111" s="480">
        <v>322053684.51999998</v>
      </c>
      <c r="D111" s="454">
        <v>50084443.509999998</v>
      </c>
      <c r="E111" s="454"/>
      <c r="F111" s="455"/>
      <c r="G111" s="454">
        <v>100213899.20999999</v>
      </c>
      <c r="H111" s="454">
        <v>8350072.5999999996</v>
      </c>
      <c r="I111" s="454">
        <v>5260439.42</v>
      </c>
      <c r="J111" s="454">
        <v>25515335.539999999</v>
      </c>
      <c r="K111" s="454">
        <v>6859959.75</v>
      </c>
      <c r="L111" s="454">
        <v>47536006</v>
      </c>
      <c r="M111" s="344">
        <f t="shared" si="4"/>
        <v>565873840.54999995</v>
      </c>
      <c r="N111" s="458">
        <v>16253442.75</v>
      </c>
      <c r="O111" s="458">
        <v>20473792.800000001</v>
      </c>
      <c r="P111" s="458">
        <v>10489039.550000001</v>
      </c>
      <c r="Q111" s="458">
        <v>1564389.62</v>
      </c>
      <c r="R111" s="458">
        <v>10094383.85</v>
      </c>
      <c r="S111" s="454">
        <v>10367463.859999999</v>
      </c>
      <c r="T111" s="344">
        <f t="shared" si="5"/>
        <v>635116352.9799999</v>
      </c>
      <c r="U111" s="456">
        <v>-7675123.0899999999</v>
      </c>
      <c r="V111" s="458"/>
      <c r="W111" s="458">
        <v>-2669875.0699999998</v>
      </c>
      <c r="X111" s="462">
        <v>78.5</v>
      </c>
      <c r="Y111" s="463">
        <v>1.5</v>
      </c>
      <c r="Z111" s="464">
        <v>145037</v>
      </c>
      <c r="AA111" s="527"/>
      <c r="AB111" s="469">
        <v>2802384</v>
      </c>
      <c r="AC111" s="307">
        <f>AB111/VPI!R111</f>
        <v>0.39880532657026535</v>
      </c>
      <c r="AD111" s="309">
        <f t="shared" si="6"/>
        <v>50590493</v>
      </c>
      <c r="AE111" s="307">
        <f>AD111/VPI!R111</f>
        <v>7.1994980281844754</v>
      </c>
      <c r="AF111" s="469">
        <v>53392877</v>
      </c>
      <c r="AG111" s="469">
        <v>74054951</v>
      </c>
      <c r="AH111" s="469">
        <v>2952528</v>
      </c>
      <c r="AI111" s="528"/>
      <c r="AJ111" s="464"/>
      <c r="AK111" s="307">
        <f>AJ111/VPI!R111</f>
        <v>0</v>
      </c>
      <c r="AL111" s="309">
        <f t="shared" si="7"/>
        <v>1540889</v>
      </c>
      <c r="AM111" s="307">
        <f>AL111/VPI!R111</f>
        <v>0.21928284662399214</v>
      </c>
      <c r="AN111" s="464">
        <v>1540889</v>
      </c>
      <c r="AO111" s="528"/>
      <c r="AP111" s="477">
        <v>7.8780736211345248</v>
      </c>
      <c r="AR111" s="530">
        <v>1</v>
      </c>
    </row>
    <row r="112" spans="1:44" x14ac:dyDescent="0.25">
      <c r="A112" s="525">
        <v>5587</v>
      </c>
      <c r="B112" s="526" t="s">
        <v>109</v>
      </c>
      <c r="C112" s="454">
        <v>25720005.079999998</v>
      </c>
      <c r="D112" s="454">
        <v>4766993.47</v>
      </c>
      <c r="E112" s="454"/>
      <c r="F112" s="455"/>
      <c r="G112" s="454">
        <v>2614830.7000000002</v>
      </c>
      <c r="H112" s="454">
        <v>475115.25</v>
      </c>
      <c r="I112" s="454">
        <v>106783.4</v>
      </c>
      <c r="J112" s="454">
        <v>470017.82</v>
      </c>
      <c r="K112" s="454">
        <v>354873.9</v>
      </c>
      <c r="L112" s="454">
        <v>3398665.7</v>
      </c>
      <c r="M112" s="344">
        <f t="shared" si="4"/>
        <v>37907285.32</v>
      </c>
      <c r="N112" s="458">
        <v>698780.8</v>
      </c>
      <c r="O112" s="458">
        <v>1315011.5</v>
      </c>
      <c r="P112" s="458">
        <v>2161285.85</v>
      </c>
      <c r="Q112" s="458">
        <v>40093.53</v>
      </c>
      <c r="R112" s="458">
        <v>1254648.8999999999</v>
      </c>
      <c r="S112" s="454">
        <v>299998.88</v>
      </c>
      <c r="T112" s="344">
        <f t="shared" si="5"/>
        <v>43677104.780000001</v>
      </c>
      <c r="U112" s="456">
        <v>-559042.57999999996</v>
      </c>
      <c r="V112" s="458"/>
      <c r="W112" s="458">
        <v>-33024.68</v>
      </c>
      <c r="X112" s="462">
        <v>72</v>
      </c>
      <c r="Y112" s="463">
        <v>1.2</v>
      </c>
      <c r="Z112" s="464">
        <v>9543</v>
      </c>
      <c r="AA112" s="527"/>
      <c r="AB112" s="469">
        <v>521979</v>
      </c>
      <c r="AC112" s="307">
        <f>AB112/VPI!R112</f>
        <v>1.0133091642879823</v>
      </c>
      <c r="AD112" s="309">
        <f t="shared" si="6"/>
        <v>2659198</v>
      </c>
      <c r="AE112" s="307">
        <f>AD112/VPI!R112</f>
        <v>5.1622569165737975</v>
      </c>
      <c r="AF112" s="469">
        <v>3181177</v>
      </c>
      <c r="AG112" s="469">
        <v>3577642</v>
      </c>
      <c r="AH112" s="469">
        <v>863217</v>
      </c>
      <c r="AI112" s="528"/>
      <c r="AJ112" s="464"/>
      <c r="AK112" s="307">
        <f>AJ112/VPI!R112</f>
        <v>0</v>
      </c>
      <c r="AL112" s="309">
        <f t="shared" si="7"/>
        <v>154682</v>
      </c>
      <c r="AM112" s="307">
        <f>AL112/VPI!R112</f>
        <v>0.30028159782365516</v>
      </c>
      <c r="AN112" s="464">
        <v>154682</v>
      </c>
      <c r="AO112" s="528"/>
      <c r="AP112" s="477">
        <v>22.193367387054948</v>
      </c>
      <c r="AR112" s="530">
        <v>0</v>
      </c>
    </row>
    <row r="113" spans="1:44" x14ac:dyDescent="0.25">
      <c r="A113" s="525">
        <v>5588</v>
      </c>
      <c r="B113" s="526" t="s">
        <v>110</v>
      </c>
      <c r="C113" s="454">
        <v>5887124.2800000003</v>
      </c>
      <c r="D113" s="454">
        <v>1947200.28</v>
      </c>
      <c r="E113" s="454"/>
      <c r="F113" s="455"/>
      <c r="G113" s="454">
        <v>401405.3</v>
      </c>
      <c r="H113" s="454">
        <v>425209.8</v>
      </c>
      <c r="I113" s="454">
        <v>407770.55</v>
      </c>
      <c r="J113" s="454">
        <v>389535.51</v>
      </c>
      <c r="K113" s="454">
        <v>50212.45</v>
      </c>
      <c r="L113" s="454">
        <v>405193.55</v>
      </c>
      <c r="M113" s="344">
        <f t="shared" si="4"/>
        <v>9913651.7200000007</v>
      </c>
      <c r="N113" s="458">
        <v>34364.300000000003</v>
      </c>
      <c r="O113" s="458">
        <v>128432.8</v>
      </c>
      <c r="P113" s="458">
        <v>478500</v>
      </c>
      <c r="Q113" s="458">
        <v>16960.46</v>
      </c>
      <c r="R113" s="458">
        <v>364204.2</v>
      </c>
      <c r="S113" s="454">
        <v>80262.259999999995</v>
      </c>
      <c r="T113" s="344">
        <f t="shared" si="5"/>
        <v>11016375.740000002</v>
      </c>
      <c r="U113" s="456">
        <v>-35078.17</v>
      </c>
      <c r="V113" s="458"/>
      <c r="W113" s="458">
        <v>-55499.1</v>
      </c>
      <c r="X113" s="462">
        <v>66.5</v>
      </c>
      <c r="Y113" s="463">
        <v>0.7</v>
      </c>
      <c r="Z113" s="464">
        <v>1512</v>
      </c>
      <c r="AA113" s="527"/>
      <c r="AB113" s="469">
        <v>72230</v>
      </c>
      <c r="AC113" s="307">
        <f>AB113/VPI!R113</f>
        <v>0.47585873350856311</v>
      </c>
      <c r="AD113" s="309">
        <f t="shared" si="6"/>
        <v>119773</v>
      </c>
      <c r="AE113" s="307">
        <f>AD113/VPI!R113</f>
        <v>0.78907694986184584</v>
      </c>
      <c r="AF113" s="469">
        <v>192003</v>
      </c>
      <c r="AG113" s="469">
        <v>640820</v>
      </c>
      <c r="AH113" s="469">
        <v>50025</v>
      </c>
      <c r="AI113" s="528"/>
      <c r="AJ113" s="464"/>
      <c r="AK113" s="307">
        <f>AJ113/VPI!R113</f>
        <v>0</v>
      </c>
      <c r="AL113" s="309">
        <f t="shared" si="7"/>
        <v>0</v>
      </c>
      <c r="AM113" s="307">
        <f>AL113/VPI!R113</f>
        <v>0</v>
      </c>
      <c r="AN113" s="464"/>
      <c r="AO113" s="528"/>
      <c r="AP113" s="477">
        <v>35.447250127743771</v>
      </c>
      <c r="AR113" s="530">
        <v>1</v>
      </c>
    </row>
    <row r="114" spans="1:44" x14ac:dyDescent="0.25">
      <c r="A114" s="525">
        <v>5589</v>
      </c>
      <c r="B114" s="526" t="s">
        <v>111</v>
      </c>
      <c r="C114" s="454">
        <v>20674422.289999999</v>
      </c>
      <c r="D114" s="454">
        <v>2279423.0699999998</v>
      </c>
      <c r="E114" s="454"/>
      <c r="F114" s="455"/>
      <c r="G114" s="454">
        <v>3938244.85</v>
      </c>
      <c r="H114" s="454">
        <v>425855.3</v>
      </c>
      <c r="I114" s="454">
        <v>41457.800000000003</v>
      </c>
      <c r="J114" s="454">
        <v>1356058.65</v>
      </c>
      <c r="K114" s="454">
        <v>733186.4</v>
      </c>
      <c r="L114" s="454">
        <v>3250037.55</v>
      </c>
      <c r="M114" s="344">
        <f t="shared" si="4"/>
        <v>32698685.91</v>
      </c>
      <c r="N114" s="458">
        <v>1500022</v>
      </c>
      <c r="O114" s="458">
        <v>1324232.3</v>
      </c>
      <c r="P114" s="458">
        <v>2442509.2999999998</v>
      </c>
      <c r="Q114" s="458">
        <v>133991.26999999999</v>
      </c>
      <c r="R114" s="458">
        <v>1007328.6</v>
      </c>
      <c r="S114" s="454">
        <v>423737.51</v>
      </c>
      <c r="T114" s="344">
        <f t="shared" si="5"/>
        <v>39530506.889999993</v>
      </c>
      <c r="U114" s="456">
        <v>-412325.2</v>
      </c>
      <c r="V114" s="458"/>
      <c r="W114" s="458">
        <v>-6712.2</v>
      </c>
      <c r="X114" s="462">
        <v>72.5</v>
      </c>
      <c r="Y114" s="463">
        <v>1.3</v>
      </c>
      <c r="Z114" s="464">
        <v>12766</v>
      </c>
      <c r="AA114" s="527"/>
      <c r="AB114" s="469">
        <v>1296408</v>
      </c>
      <c r="AC114" s="307">
        <f>AB114/VPI!R114</f>
        <v>2.9291769325047485</v>
      </c>
      <c r="AD114" s="309">
        <f t="shared" si="6"/>
        <v>2403171</v>
      </c>
      <c r="AE114" s="307">
        <f>AD114/VPI!R114</f>
        <v>5.4298593174867547</v>
      </c>
      <c r="AF114" s="469">
        <v>3699579</v>
      </c>
      <c r="AG114" s="469">
        <v>5047369</v>
      </c>
      <c r="AH114" s="469">
        <v>148693</v>
      </c>
      <c r="AI114" s="528"/>
      <c r="AJ114" s="464"/>
      <c r="AK114" s="307">
        <f>AJ114/VPI!R114</f>
        <v>0</v>
      </c>
      <c r="AL114" s="309">
        <f t="shared" si="7"/>
        <v>21492</v>
      </c>
      <c r="AM114" s="307">
        <f>AL114/VPI!R114</f>
        <v>4.8560229984227231E-2</v>
      </c>
      <c r="AN114" s="464">
        <v>21492</v>
      </c>
      <c r="AO114" s="528"/>
      <c r="AP114" s="477">
        <v>6.2709154664486384</v>
      </c>
      <c r="AR114" s="530">
        <v>1</v>
      </c>
    </row>
    <row r="115" spans="1:44" x14ac:dyDescent="0.25">
      <c r="A115" s="525">
        <v>5590</v>
      </c>
      <c r="B115" s="526" t="s">
        <v>112</v>
      </c>
      <c r="C115" s="454">
        <v>61920604.420000002</v>
      </c>
      <c r="D115" s="454">
        <v>17581907.670000002</v>
      </c>
      <c r="E115" s="454"/>
      <c r="F115" s="455"/>
      <c r="G115" s="454">
        <v>10444043.199999999</v>
      </c>
      <c r="H115" s="454">
        <v>1308273.6499999999</v>
      </c>
      <c r="I115" s="454">
        <v>2795829.37</v>
      </c>
      <c r="J115" s="454">
        <v>1217497.53</v>
      </c>
      <c r="K115" s="454">
        <v>507624.85</v>
      </c>
      <c r="L115" s="454">
        <v>4082169.45</v>
      </c>
      <c r="M115" s="344">
        <f t="shared" si="4"/>
        <v>99857950.140000015</v>
      </c>
      <c r="N115" s="458">
        <v>214274.9</v>
      </c>
      <c r="O115" s="458">
        <v>8023657.0999999996</v>
      </c>
      <c r="P115" s="458">
        <v>3492581.6</v>
      </c>
      <c r="Q115" s="458">
        <v>80856.44</v>
      </c>
      <c r="R115" s="458">
        <v>2955823.95</v>
      </c>
      <c r="S115" s="454">
        <v>1131914.4099999999</v>
      </c>
      <c r="T115" s="344">
        <f t="shared" si="5"/>
        <v>115757058.54000001</v>
      </c>
      <c r="U115" s="456">
        <v>-524514.77</v>
      </c>
      <c r="V115" s="458"/>
      <c r="W115" s="458">
        <v>-418804.27</v>
      </c>
      <c r="X115" s="462">
        <v>61</v>
      </c>
      <c r="Y115" s="463">
        <v>0.7</v>
      </c>
      <c r="Z115" s="464">
        <v>19545</v>
      </c>
      <c r="AA115" s="527"/>
      <c r="AB115" s="469">
        <v>2159123</v>
      </c>
      <c r="AC115" s="307">
        <f>AB115/VPI!R115</f>
        <v>1.2928004183177242</v>
      </c>
      <c r="AD115" s="309">
        <f t="shared" si="6"/>
        <v>3402910</v>
      </c>
      <c r="AE115" s="307">
        <f>AD115/VPI!R115</f>
        <v>2.0375325868408454</v>
      </c>
      <c r="AF115" s="469">
        <v>5562033</v>
      </c>
      <c r="AG115" s="469">
        <v>11164231</v>
      </c>
      <c r="AH115" s="469">
        <v>512325</v>
      </c>
      <c r="AI115" s="528"/>
      <c r="AJ115" s="464">
        <v>26216</v>
      </c>
      <c r="AK115" s="307">
        <f>AJ115/VPI!R115</f>
        <v>1.5697139888101536E-2</v>
      </c>
      <c r="AL115" s="309">
        <f t="shared" si="7"/>
        <v>562598</v>
      </c>
      <c r="AM115" s="307">
        <f>AL115/VPI!R115</f>
        <v>0.33686220272986528</v>
      </c>
      <c r="AN115" s="464">
        <v>588814</v>
      </c>
      <c r="AO115" s="528"/>
      <c r="AP115" s="477">
        <v>28.789199024967932</v>
      </c>
      <c r="AR115" s="530">
        <v>1</v>
      </c>
    </row>
    <row r="116" spans="1:44" x14ac:dyDescent="0.25">
      <c r="A116" s="525">
        <v>5591</v>
      </c>
      <c r="B116" s="526" t="s">
        <v>323</v>
      </c>
      <c r="C116" s="454">
        <v>29062449.09</v>
      </c>
      <c r="D116" s="454">
        <v>3021690.54</v>
      </c>
      <c r="E116" s="454"/>
      <c r="F116" s="455"/>
      <c r="G116" s="454">
        <v>8038078.8499999996</v>
      </c>
      <c r="H116" s="454">
        <v>603882.65</v>
      </c>
      <c r="I116" s="454"/>
      <c r="J116" s="454">
        <v>2691592.72</v>
      </c>
      <c r="K116" s="454">
        <v>778327.8</v>
      </c>
      <c r="L116" s="454">
        <v>5911385.6500000004</v>
      </c>
      <c r="M116" s="344">
        <f t="shared" si="4"/>
        <v>50107407.29999999</v>
      </c>
      <c r="N116" s="458">
        <v>3356012.3</v>
      </c>
      <c r="O116" s="458">
        <v>705377.6</v>
      </c>
      <c r="P116" s="458">
        <v>2011327.45</v>
      </c>
      <c r="Q116" s="458">
        <v>801053.57</v>
      </c>
      <c r="R116" s="458">
        <v>742784.25</v>
      </c>
      <c r="S116" s="454">
        <v>838649.79</v>
      </c>
      <c r="T116" s="344">
        <f t="shared" si="5"/>
        <v>58562612.25999999</v>
      </c>
      <c r="U116" s="456">
        <v>-1748786.41</v>
      </c>
      <c r="V116" s="458"/>
      <c r="W116" s="458">
        <v>-12462.05</v>
      </c>
      <c r="X116" s="462">
        <v>77</v>
      </c>
      <c r="Y116" s="463">
        <v>1.4</v>
      </c>
      <c r="Z116" s="464">
        <v>21568</v>
      </c>
      <c r="AA116" s="527"/>
      <c r="AB116" s="469">
        <v>1286716</v>
      </c>
      <c r="AC116" s="307">
        <f>AB116/VPI!R116</f>
        <v>2.0514182591604233</v>
      </c>
      <c r="AD116" s="309">
        <f t="shared" si="6"/>
        <v>3521530</v>
      </c>
      <c r="AE116" s="307">
        <f>AD116/VPI!R116</f>
        <v>5.6143942736246428</v>
      </c>
      <c r="AF116" s="469">
        <v>4808246</v>
      </c>
      <c r="AG116" s="469">
        <v>10639548</v>
      </c>
      <c r="AH116" s="469">
        <v>190405</v>
      </c>
      <c r="AI116" s="528"/>
      <c r="AJ116" s="464"/>
      <c r="AK116" s="307">
        <f>AJ116/VPI!R116</f>
        <v>0</v>
      </c>
      <c r="AL116" s="309">
        <f t="shared" si="7"/>
        <v>17888</v>
      </c>
      <c r="AM116" s="307">
        <f>AL116/VPI!R116</f>
        <v>2.8518934885290659E-2</v>
      </c>
      <c r="AN116" s="464">
        <v>17888</v>
      </c>
      <c r="AO116" s="528"/>
      <c r="AP116" s="477">
        <v>-11.927036887481123</v>
      </c>
      <c r="AR116" s="530">
        <v>1</v>
      </c>
    </row>
    <row r="117" spans="1:44" x14ac:dyDescent="0.25">
      <c r="A117" s="525">
        <v>5592</v>
      </c>
      <c r="B117" s="526" t="s">
        <v>191</v>
      </c>
      <c r="C117" s="454">
        <v>7295330.8499999996</v>
      </c>
      <c r="D117" s="454">
        <v>942381.27</v>
      </c>
      <c r="E117" s="454"/>
      <c r="F117" s="455"/>
      <c r="G117" s="454">
        <v>635158.15</v>
      </c>
      <c r="H117" s="454">
        <v>68643.8</v>
      </c>
      <c r="I117" s="454"/>
      <c r="J117" s="454">
        <v>361464.79</v>
      </c>
      <c r="K117" s="454">
        <v>187600.3</v>
      </c>
      <c r="L117" s="454">
        <v>1108655.6499999999</v>
      </c>
      <c r="M117" s="344">
        <f t="shared" si="4"/>
        <v>10599234.810000001</v>
      </c>
      <c r="N117" s="458">
        <v>474069.5</v>
      </c>
      <c r="O117" s="458">
        <v>4877.7</v>
      </c>
      <c r="P117" s="458">
        <v>979823</v>
      </c>
      <c r="Q117" s="458">
        <v>42061.35</v>
      </c>
      <c r="R117" s="458">
        <v>254078.9</v>
      </c>
      <c r="S117" s="454">
        <v>68331.55</v>
      </c>
      <c r="T117" s="344">
        <f t="shared" si="5"/>
        <v>12422476.810000001</v>
      </c>
      <c r="U117" s="456">
        <v>-126964.29</v>
      </c>
      <c r="V117" s="458"/>
      <c r="W117" s="458">
        <v>-7075.24</v>
      </c>
      <c r="X117" s="462">
        <v>70.5</v>
      </c>
      <c r="Y117" s="463">
        <v>1.25</v>
      </c>
      <c r="Z117" s="464">
        <v>4325</v>
      </c>
      <c r="AA117" s="527"/>
      <c r="AB117" s="469">
        <v>151728</v>
      </c>
      <c r="AC117" s="307">
        <f>AB117/VPI!R117</f>
        <v>1.0331245591226317</v>
      </c>
      <c r="AD117" s="309">
        <f t="shared" si="6"/>
        <v>781785</v>
      </c>
      <c r="AE117" s="307">
        <f>AD117/VPI!R117</f>
        <v>5.3232184135669529</v>
      </c>
      <c r="AF117" s="469">
        <v>933513</v>
      </c>
      <c r="AG117" s="469">
        <v>445921</v>
      </c>
      <c r="AH117" s="469">
        <v>50152</v>
      </c>
      <c r="AI117" s="528"/>
      <c r="AJ117" s="464"/>
      <c r="AK117" s="307">
        <f>AJ117/VPI!R117</f>
        <v>0</v>
      </c>
      <c r="AL117" s="309">
        <f t="shared" si="7"/>
        <v>8035</v>
      </c>
      <c r="AM117" s="307">
        <f>AL117/VPI!R117</f>
        <v>5.4710770804006811E-2</v>
      </c>
      <c r="AN117" s="464">
        <v>8035</v>
      </c>
      <c r="AO117" s="528"/>
      <c r="AP117" s="477">
        <v>11.609817753226588</v>
      </c>
      <c r="AR117" s="530">
        <v>0</v>
      </c>
    </row>
    <row r="118" spans="1:44" x14ac:dyDescent="0.25">
      <c r="A118" s="525">
        <v>5601</v>
      </c>
      <c r="B118" s="526" t="s">
        <v>253</v>
      </c>
      <c r="C118" s="454">
        <v>5660873.5599999996</v>
      </c>
      <c r="D118" s="454">
        <v>1066789.3</v>
      </c>
      <c r="E118" s="454"/>
      <c r="F118" s="455"/>
      <c r="G118" s="454">
        <v>94215.75</v>
      </c>
      <c r="H118" s="454">
        <v>17065.900000000001</v>
      </c>
      <c r="I118" s="454"/>
      <c r="J118" s="454">
        <v>160341.42000000001</v>
      </c>
      <c r="K118" s="454">
        <v>-11550.65</v>
      </c>
      <c r="L118" s="454">
        <v>531118.25</v>
      </c>
      <c r="M118" s="344">
        <f t="shared" si="4"/>
        <v>7518853.5299999993</v>
      </c>
      <c r="N118" s="458">
        <v>68693.5</v>
      </c>
      <c r="O118" s="458">
        <v>783330.3</v>
      </c>
      <c r="P118" s="458">
        <v>383839.4</v>
      </c>
      <c r="Q118" s="458">
        <v>5544.05</v>
      </c>
      <c r="R118" s="458">
        <v>337287.75</v>
      </c>
      <c r="S118" s="454">
        <v>10805.17</v>
      </c>
      <c r="T118" s="344">
        <f t="shared" si="5"/>
        <v>9108353.6999999993</v>
      </c>
      <c r="U118" s="456">
        <v>-34012.589999999997</v>
      </c>
      <c r="V118" s="458"/>
      <c r="W118" s="458">
        <v>-8264.7800000000007</v>
      </c>
      <c r="X118" s="462">
        <v>67.5</v>
      </c>
      <c r="Y118" s="463">
        <v>1</v>
      </c>
      <c r="Z118" s="464">
        <v>2263</v>
      </c>
      <c r="AA118" s="527"/>
      <c r="AB118" s="469">
        <v>178693</v>
      </c>
      <c r="AC118" s="307">
        <f>AB118/VPI!R118</f>
        <v>1.6097554544177246</v>
      </c>
      <c r="AD118" s="309">
        <f t="shared" si="6"/>
        <v>596464</v>
      </c>
      <c r="AE118" s="307">
        <f>AD118/VPI!R118</f>
        <v>5.3732444883896608</v>
      </c>
      <c r="AF118" s="469">
        <v>775157</v>
      </c>
      <c r="AG118" s="469">
        <v>218630</v>
      </c>
      <c r="AH118" s="469">
        <v>319732</v>
      </c>
      <c r="AI118" s="528"/>
      <c r="AJ118" s="464"/>
      <c r="AK118" s="307">
        <f>AJ118/VPI!R118</f>
        <v>0</v>
      </c>
      <c r="AL118" s="309">
        <f t="shared" si="7"/>
        <v>38147</v>
      </c>
      <c r="AM118" s="307">
        <f>AL118/VPI!R118</f>
        <v>0.34364715640608717</v>
      </c>
      <c r="AN118" s="464">
        <v>38147</v>
      </c>
      <c r="AO118" s="528"/>
      <c r="AP118" s="477">
        <v>23.583177283130308</v>
      </c>
      <c r="AR118" s="530">
        <v>1</v>
      </c>
    </row>
    <row r="119" spans="1:44" x14ac:dyDescent="0.25">
      <c r="A119" s="525">
        <v>5604</v>
      </c>
      <c r="B119" s="526" t="s">
        <v>128</v>
      </c>
      <c r="C119" s="454">
        <v>3566678.85</v>
      </c>
      <c r="D119" s="454">
        <v>688077.38</v>
      </c>
      <c r="E119" s="454"/>
      <c r="F119" s="455"/>
      <c r="G119" s="454">
        <v>270647.40000000002</v>
      </c>
      <c r="H119" s="454">
        <v>11126.6</v>
      </c>
      <c r="I119" s="454"/>
      <c r="J119" s="454">
        <v>75494.09</v>
      </c>
      <c r="K119" s="454">
        <v>33170.15</v>
      </c>
      <c r="L119" s="454">
        <v>443449.59999999998</v>
      </c>
      <c r="M119" s="344">
        <f t="shared" si="4"/>
        <v>5088644.07</v>
      </c>
      <c r="N119" s="458">
        <v>146412.75</v>
      </c>
      <c r="O119" s="458">
        <v>14392.4</v>
      </c>
      <c r="P119" s="458">
        <v>206732.85</v>
      </c>
      <c r="Q119" s="458">
        <v>56302.93</v>
      </c>
      <c r="R119" s="458">
        <v>117453.2</v>
      </c>
      <c r="S119" s="454">
        <v>27359.55</v>
      </c>
      <c r="T119" s="344">
        <f t="shared" si="5"/>
        <v>5657297.75</v>
      </c>
      <c r="U119" s="456">
        <v>-53283.07</v>
      </c>
      <c r="V119" s="458"/>
      <c r="W119" s="458">
        <v>-6296.83</v>
      </c>
      <c r="X119" s="462">
        <v>69</v>
      </c>
      <c r="Y119" s="463">
        <v>1</v>
      </c>
      <c r="Z119" s="464">
        <v>2088</v>
      </c>
      <c r="AA119" s="527"/>
      <c r="AB119" s="469">
        <v>107540</v>
      </c>
      <c r="AC119" s="307">
        <f>AB119/VPI!R119</f>
        <v>1.4513312578524027</v>
      </c>
      <c r="AD119" s="309">
        <f t="shared" si="6"/>
        <v>591428</v>
      </c>
      <c r="AE119" s="307">
        <f>AD119/VPI!R119</f>
        <v>7.9817550973510389</v>
      </c>
      <c r="AF119" s="469">
        <v>698968</v>
      </c>
      <c r="AG119" s="469">
        <v>138602</v>
      </c>
      <c r="AH119" s="469">
        <v>255746</v>
      </c>
      <c r="AI119" s="528"/>
      <c r="AJ119" s="464"/>
      <c r="AK119" s="307">
        <f>AJ119/VPI!R119</f>
        <v>0</v>
      </c>
      <c r="AL119" s="309">
        <f t="shared" si="7"/>
        <v>93588</v>
      </c>
      <c r="AM119" s="307">
        <f>AL119/VPI!R119</f>
        <v>1.2630387740365507</v>
      </c>
      <c r="AN119" s="464">
        <v>93588</v>
      </c>
      <c r="AO119" s="528"/>
      <c r="AP119" s="477">
        <v>17.18191857695728</v>
      </c>
      <c r="AR119" s="530">
        <v>0</v>
      </c>
    </row>
    <row r="120" spans="1:44" x14ac:dyDescent="0.25">
      <c r="A120" s="525">
        <v>5606</v>
      </c>
      <c r="B120" s="526" t="s">
        <v>129</v>
      </c>
      <c r="C120" s="454">
        <v>32919997.379999999</v>
      </c>
      <c r="D120" s="454">
        <v>9341242.8699999992</v>
      </c>
      <c r="E120" s="454"/>
      <c r="F120" s="455"/>
      <c r="G120" s="454">
        <v>1314401.3500000001</v>
      </c>
      <c r="H120" s="454">
        <v>2589866.2999999998</v>
      </c>
      <c r="I120" s="454">
        <v>1436146.26</v>
      </c>
      <c r="J120" s="454">
        <v>981714.27</v>
      </c>
      <c r="K120" s="454">
        <v>218366.5</v>
      </c>
      <c r="L120" s="454">
        <v>2535474.65</v>
      </c>
      <c r="M120" s="344">
        <f t="shared" si="4"/>
        <v>51337209.579999998</v>
      </c>
      <c r="N120" s="458">
        <v>103658.9</v>
      </c>
      <c r="O120" s="458">
        <v>2701235.1</v>
      </c>
      <c r="P120" s="458">
        <v>2351516.65</v>
      </c>
      <c r="Q120" s="458">
        <v>123575.82</v>
      </c>
      <c r="R120" s="458">
        <v>2867934.8</v>
      </c>
      <c r="S120" s="454">
        <v>379094.62</v>
      </c>
      <c r="T120" s="344">
        <f t="shared" si="5"/>
        <v>59864225.469999991</v>
      </c>
      <c r="U120" s="456">
        <v>-414761.94</v>
      </c>
      <c r="V120" s="458"/>
      <c r="W120" s="458">
        <v>-287189.69</v>
      </c>
      <c r="X120" s="462">
        <v>54</v>
      </c>
      <c r="Y120" s="463">
        <v>0.7</v>
      </c>
      <c r="Z120" s="464">
        <v>10750</v>
      </c>
      <c r="AA120" s="527"/>
      <c r="AB120" s="469">
        <v>950171</v>
      </c>
      <c r="AC120" s="307">
        <f>AB120/VPI!R120</f>
        <v>0.98247325824962617</v>
      </c>
      <c r="AD120" s="309">
        <f t="shared" si="6"/>
        <v>3536956</v>
      </c>
      <c r="AE120" s="307">
        <f>AD120/VPI!R120</f>
        <v>3.6571992679271044</v>
      </c>
      <c r="AF120" s="469">
        <v>4487127</v>
      </c>
      <c r="AG120" s="469">
        <v>5081201</v>
      </c>
      <c r="AH120" s="469">
        <v>953610</v>
      </c>
      <c r="AI120" s="528"/>
      <c r="AJ120" s="464"/>
      <c r="AK120" s="307">
        <f>AJ120/VPI!R120</f>
        <v>0</v>
      </c>
      <c r="AL120" s="309">
        <f t="shared" si="7"/>
        <v>327834</v>
      </c>
      <c r="AM120" s="307">
        <f>AL120/VPI!R120</f>
        <v>0.33897912917254674</v>
      </c>
      <c r="AN120" s="464">
        <v>327834</v>
      </c>
      <c r="AO120" s="528"/>
      <c r="AP120" s="477">
        <v>32.731717246997164</v>
      </c>
      <c r="AR120" s="530">
        <v>1</v>
      </c>
    </row>
    <row r="121" spans="1:44" x14ac:dyDescent="0.25">
      <c r="A121" s="525">
        <v>5607</v>
      </c>
      <c r="B121" s="526" t="s">
        <v>255</v>
      </c>
      <c r="C121" s="454">
        <v>5497339.0199999996</v>
      </c>
      <c r="D121" s="454">
        <v>974887.98</v>
      </c>
      <c r="E121" s="454"/>
      <c r="F121" s="455"/>
      <c r="G121" s="454">
        <v>1449361.5</v>
      </c>
      <c r="H121" s="454">
        <v>264796.65000000002</v>
      </c>
      <c r="I121" s="454">
        <v>11.45</v>
      </c>
      <c r="J121" s="454">
        <v>138733.53</v>
      </c>
      <c r="K121" s="454">
        <v>119426.25</v>
      </c>
      <c r="L121" s="454">
        <v>964677.05</v>
      </c>
      <c r="M121" s="344">
        <f t="shared" si="4"/>
        <v>9409233.4300000016</v>
      </c>
      <c r="N121" s="458">
        <v>235969.2</v>
      </c>
      <c r="O121" s="458">
        <v>28567.3</v>
      </c>
      <c r="P121" s="458">
        <v>195058.35</v>
      </c>
      <c r="Q121" s="458">
        <v>4373.21</v>
      </c>
      <c r="R121" s="458">
        <v>163170.20000000001</v>
      </c>
      <c r="S121" s="454">
        <v>166440.47</v>
      </c>
      <c r="T121" s="344">
        <f t="shared" si="5"/>
        <v>10202812.160000002</v>
      </c>
      <c r="U121" s="456">
        <v>-80267.149999999994</v>
      </c>
      <c r="V121" s="458"/>
      <c r="W121" s="458">
        <v>-4302.43</v>
      </c>
      <c r="X121" s="462">
        <v>68.5</v>
      </c>
      <c r="Y121" s="463">
        <v>1.1499999999999999</v>
      </c>
      <c r="Z121" s="464">
        <v>2976</v>
      </c>
      <c r="AA121" s="527"/>
      <c r="AB121" s="469">
        <v>363263</v>
      </c>
      <c r="AC121" s="307">
        <f>AB121/VPI!R121</f>
        <v>2.6557571803051219</v>
      </c>
      <c r="AD121" s="309">
        <f t="shared" si="6"/>
        <v>1203306</v>
      </c>
      <c r="AE121" s="307">
        <f>AD121/VPI!R121</f>
        <v>8.7971760118818452</v>
      </c>
      <c r="AF121" s="469">
        <v>1566569</v>
      </c>
      <c r="AG121" s="469">
        <v>369121</v>
      </c>
      <c r="AH121" s="469">
        <v>435873</v>
      </c>
      <c r="AI121" s="528"/>
      <c r="AJ121" s="464"/>
      <c r="AK121" s="307">
        <f>AJ121/VPI!R121</f>
        <v>0</v>
      </c>
      <c r="AL121" s="309">
        <f t="shared" si="7"/>
        <v>91109</v>
      </c>
      <c r="AM121" s="307">
        <f>AL121/VPI!R121</f>
        <v>0.66608319851022357</v>
      </c>
      <c r="AN121" s="464">
        <v>91109</v>
      </c>
      <c r="AO121" s="528"/>
      <c r="AP121" s="477">
        <v>22.304793166210946</v>
      </c>
      <c r="AR121" s="530">
        <v>1</v>
      </c>
    </row>
    <row r="122" spans="1:44" x14ac:dyDescent="0.25">
      <c r="A122" s="525">
        <v>5609</v>
      </c>
      <c r="B122" s="526" t="s">
        <v>114</v>
      </c>
      <c r="C122" s="454">
        <v>698488.63</v>
      </c>
      <c r="D122" s="454">
        <v>158017.29999999999</v>
      </c>
      <c r="E122" s="454"/>
      <c r="F122" s="455"/>
      <c r="G122" s="454">
        <v>17619.75</v>
      </c>
      <c r="H122" s="454">
        <v>724.6</v>
      </c>
      <c r="I122" s="454"/>
      <c r="J122" s="454">
        <v>26750.71</v>
      </c>
      <c r="K122" s="454">
        <v>1050.4000000000001</v>
      </c>
      <c r="L122" s="454">
        <v>64939.3</v>
      </c>
      <c r="M122" s="344">
        <f t="shared" si="4"/>
        <v>967590.69</v>
      </c>
      <c r="N122" s="458">
        <v>0</v>
      </c>
      <c r="O122" s="458"/>
      <c r="P122" s="458">
        <v>76825.899999999994</v>
      </c>
      <c r="Q122" s="458"/>
      <c r="R122" s="458">
        <v>39861.449999999997</v>
      </c>
      <c r="S122" s="454">
        <v>1780.29</v>
      </c>
      <c r="T122" s="344">
        <f t="shared" si="5"/>
        <v>1086058.33</v>
      </c>
      <c r="U122" s="456">
        <v>-1316.48</v>
      </c>
      <c r="V122" s="458"/>
      <c r="W122" s="458">
        <v>-428.86</v>
      </c>
      <c r="X122" s="462">
        <v>62</v>
      </c>
      <c r="Y122" s="463">
        <v>1</v>
      </c>
      <c r="Z122" s="464">
        <v>329</v>
      </c>
      <c r="AA122" s="527"/>
      <c r="AB122" s="469">
        <v>10892</v>
      </c>
      <c r="AC122" s="307">
        <f>AB122/VPI!R122</f>
        <v>0.69789800113192535</v>
      </c>
      <c r="AD122" s="309">
        <f t="shared" si="6"/>
        <v>115178</v>
      </c>
      <c r="AE122" s="307">
        <f>AD122/VPI!R122</f>
        <v>7.3799573975737145</v>
      </c>
      <c r="AF122" s="469">
        <v>126070</v>
      </c>
      <c r="AG122" s="469">
        <v>39951</v>
      </c>
      <c r="AH122" s="469">
        <v>39679</v>
      </c>
      <c r="AI122" s="528"/>
      <c r="AJ122" s="464"/>
      <c r="AK122" s="307">
        <f>AJ122/VPI!R122</f>
        <v>0</v>
      </c>
      <c r="AL122" s="309">
        <f t="shared" si="7"/>
        <v>22078</v>
      </c>
      <c r="AM122" s="307">
        <f>AL122/VPI!R122</f>
        <v>1.4146338660476172</v>
      </c>
      <c r="AN122" s="464">
        <v>22078</v>
      </c>
      <c r="AO122" s="528"/>
      <c r="AP122" s="477">
        <v>25.359061557561891</v>
      </c>
      <c r="AR122" s="530">
        <v>1</v>
      </c>
    </row>
    <row r="123" spans="1:44" x14ac:dyDescent="0.25">
      <c r="A123" s="525">
        <v>5610</v>
      </c>
      <c r="B123" s="526" t="s">
        <v>115</v>
      </c>
      <c r="C123" s="454">
        <v>1082409.18</v>
      </c>
      <c r="D123" s="454">
        <v>101834.34</v>
      </c>
      <c r="E123" s="454"/>
      <c r="F123" s="455"/>
      <c r="G123" s="454">
        <v>16012.25</v>
      </c>
      <c r="H123" s="454">
        <v>3752.8</v>
      </c>
      <c r="I123" s="454">
        <v>719.45</v>
      </c>
      <c r="J123" s="454">
        <v>-5028.79</v>
      </c>
      <c r="K123" s="454">
        <v>6811.15</v>
      </c>
      <c r="L123" s="454">
        <v>131464.35</v>
      </c>
      <c r="M123" s="344">
        <f t="shared" si="4"/>
        <v>1337974.73</v>
      </c>
      <c r="N123" s="458">
        <v>0</v>
      </c>
      <c r="O123" s="458">
        <v>21410.799999999999</v>
      </c>
      <c r="P123" s="458">
        <v>38672.449999999997</v>
      </c>
      <c r="Q123" s="458">
        <v>1127.55</v>
      </c>
      <c r="R123" s="458">
        <v>6135.1</v>
      </c>
      <c r="S123" s="454">
        <v>1919.14</v>
      </c>
      <c r="T123" s="344">
        <f t="shared" si="5"/>
        <v>1407239.77</v>
      </c>
      <c r="U123" s="456">
        <v>-7667.65</v>
      </c>
      <c r="V123" s="458"/>
      <c r="W123" s="458">
        <v>-2327.38</v>
      </c>
      <c r="X123" s="462">
        <v>74</v>
      </c>
      <c r="Y123" s="463">
        <v>1.2</v>
      </c>
      <c r="Z123" s="464">
        <v>389</v>
      </c>
      <c r="AA123" s="527"/>
      <c r="AB123" s="469">
        <v>23519</v>
      </c>
      <c r="AC123" s="307">
        <f>AB123/VPI!R123</f>
        <v>1.3294516646090244</v>
      </c>
      <c r="AD123" s="309">
        <f t="shared" si="6"/>
        <v>296991</v>
      </c>
      <c r="AE123" s="307">
        <f>AD123/VPI!R123</f>
        <v>16.787923777537259</v>
      </c>
      <c r="AF123" s="469">
        <v>320510</v>
      </c>
      <c r="AG123" s="469">
        <v>47917</v>
      </c>
      <c r="AH123" s="469">
        <v>48456</v>
      </c>
      <c r="AI123" s="528"/>
      <c r="AJ123" s="464"/>
      <c r="AK123" s="307">
        <f>AJ123/VPI!R123</f>
        <v>0</v>
      </c>
      <c r="AL123" s="309">
        <f t="shared" si="7"/>
        <v>19902</v>
      </c>
      <c r="AM123" s="307">
        <f>AL123/VPI!R123</f>
        <v>1.1249945588268551</v>
      </c>
      <c r="AN123" s="464">
        <v>19902</v>
      </c>
      <c r="AO123" s="528"/>
      <c r="AP123" s="477">
        <v>28.057423438341019</v>
      </c>
      <c r="AR123" s="530">
        <v>1</v>
      </c>
    </row>
    <row r="124" spans="1:44" x14ac:dyDescent="0.25">
      <c r="A124" s="525">
        <v>5611</v>
      </c>
      <c r="B124" s="526" t="s">
        <v>252</v>
      </c>
      <c r="C124" s="454">
        <v>7811113.75</v>
      </c>
      <c r="D124" s="454">
        <v>1725000.86</v>
      </c>
      <c r="E124" s="454"/>
      <c r="F124" s="455"/>
      <c r="G124" s="454">
        <v>257500.15</v>
      </c>
      <c r="H124" s="454">
        <v>49548.2</v>
      </c>
      <c r="I124" s="454">
        <v>123283.4</v>
      </c>
      <c r="J124" s="454">
        <v>175740.15</v>
      </c>
      <c r="K124" s="454">
        <v>28953.5</v>
      </c>
      <c r="L124" s="454">
        <v>890042.2</v>
      </c>
      <c r="M124" s="344">
        <f t="shared" si="4"/>
        <v>11061182.209999999</v>
      </c>
      <c r="N124" s="458">
        <v>157458</v>
      </c>
      <c r="O124" s="458">
        <v>415378.3</v>
      </c>
      <c r="P124" s="458">
        <v>564776.25</v>
      </c>
      <c r="Q124" s="458">
        <v>28219.57</v>
      </c>
      <c r="R124" s="458">
        <v>387356.1</v>
      </c>
      <c r="S124" s="454">
        <v>29813.63</v>
      </c>
      <c r="T124" s="344">
        <f t="shared" si="5"/>
        <v>12644184.060000001</v>
      </c>
      <c r="U124" s="456">
        <v>-104215.56</v>
      </c>
      <c r="V124" s="458"/>
      <c r="W124" s="458">
        <v>-13036.15</v>
      </c>
      <c r="X124" s="462">
        <v>69</v>
      </c>
      <c r="Y124" s="463">
        <v>1.2</v>
      </c>
      <c r="Z124" s="464">
        <v>3506</v>
      </c>
      <c r="AA124" s="527"/>
      <c r="AB124" s="469">
        <v>307720</v>
      </c>
      <c r="AC124" s="307">
        <f>AB124/VPI!R124</f>
        <v>1.9562757383325444</v>
      </c>
      <c r="AD124" s="309">
        <f t="shared" si="6"/>
        <v>1081126</v>
      </c>
      <c r="AE124" s="307">
        <f>AD124/VPI!R124</f>
        <v>6.8730682564685761</v>
      </c>
      <c r="AF124" s="469">
        <v>1388846</v>
      </c>
      <c r="AG124" s="469">
        <v>231092</v>
      </c>
      <c r="AH124" s="469">
        <v>420095</v>
      </c>
      <c r="AI124" s="528"/>
      <c r="AJ124" s="464"/>
      <c r="AK124" s="307">
        <f>AJ124/VPI!R124</f>
        <v>0</v>
      </c>
      <c r="AL124" s="309">
        <f t="shared" si="7"/>
        <v>-18949</v>
      </c>
      <c r="AM124" s="307">
        <f>AL124/VPI!R124</f>
        <v>-0.12046493229449949</v>
      </c>
      <c r="AN124" s="464">
        <v>-18949</v>
      </c>
      <c r="AO124" s="528"/>
      <c r="AP124" s="477">
        <v>19.603871974545882</v>
      </c>
      <c r="AR124" s="530">
        <v>1</v>
      </c>
    </row>
    <row r="125" spans="1:44" x14ac:dyDescent="0.25">
      <c r="A125" s="525">
        <v>5613</v>
      </c>
      <c r="B125" s="526" t="s">
        <v>341</v>
      </c>
      <c r="C125" s="454">
        <v>16013799.77</v>
      </c>
      <c r="D125" s="454">
        <v>4069813.77</v>
      </c>
      <c r="E125" s="454"/>
      <c r="F125" s="455"/>
      <c r="G125" s="454">
        <v>240585.1</v>
      </c>
      <c r="H125" s="454">
        <v>53926.35</v>
      </c>
      <c r="I125" s="454">
        <v>199848.82</v>
      </c>
      <c r="J125" s="454">
        <v>479887.92</v>
      </c>
      <c r="K125" s="454">
        <v>41653.949999999997</v>
      </c>
      <c r="L125" s="454">
        <v>2523743.75</v>
      </c>
      <c r="M125" s="344">
        <f t="shared" si="4"/>
        <v>23623259.430000003</v>
      </c>
      <c r="N125" s="458">
        <v>49424.6</v>
      </c>
      <c r="O125" s="458">
        <v>438905.3</v>
      </c>
      <c r="P125" s="458">
        <v>1093889.5</v>
      </c>
      <c r="Q125" s="458">
        <v>27445.13</v>
      </c>
      <c r="R125" s="458">
        <v>1157436.8999999999</v>
      </c>
      <c r="S125" s="454">
        <v>28596.33</v>
      </c>
      <c r="T125" s="344">
        <f t="shared" si="5"/>
        <v>26418957.190000001</v>
      </c>
      <c r="U125" s="456">
        <v>-120252.91</v>
      </c>
      <c r="V125" s="458"/>
      <c r="W125" s="458">
        <v>-75604.800000000003</v>
      </c>
      <c r="X125" s="462">
        <v>62.5</v>
      </c>
      <c r="Y125" s="463">
        <v>1.5</v>
      </c>
      <c r="Z125" s="464">
        <v>5465</v>
      </c>
      <c r="AA125" s="527"/>
      <c r="AB125" s="469"/>
      <c r="AC125" s="307">
        <f>AB125/VPI!R125</f>
        <v>0</v>
      </c>
      <c r="AD125" s="309">
        <f t="shared" si="6"/>
        <v>0</v>
      </c>
      <c r="AE125" s="307">
        <f>AD125/VPI!R125</f>
        <v>0</v>
      </c>
      <c r="AF125" s="469"/>
      <c r="AG125" s="469"/>
      <c r="AH125" s="469"/>
      <c r="AI125" s="528"/>
      <c r="AJ125" s="464"/>
      <c r="AK125" s="307">
        <f>AJ125/VPI!R125</f>
        <v>0</v>
      </c>
      <c r="AL125" s="309">
        <f t="shared" si="7"/>
        <v>0</v>
      </c>
      <c r="AM125" s="307">
        <f>AL125/VPI!R125</f>
        <v>0</v>
      </c>
      <c r="AN125" s="464"/>
      <c r="AO125" s="528"/>
      <c r="AP125" s="477">
        <v>28.836167316505296</v>
      </c>
      <c r="AR125" s="530">
        <v>1</v>
      </c>
    </row>
    <row r="126" spans="1:44" x14ac:dyDescent="0.25">
      <c r="A126" s="525">
        <v>5621</v>
      </c>
      <c r="B126" s="526" t="s">
        <v>332</v>
      </c>
      <c r="C126" s="454">
        <v>1201953.3500000001</v>
      </c>
      <c r="D126" s="454">
        <v>130176.71</v>
      </c>
      <c r="E126" s="454"/>
      <c r="F126" s="455"/>
      <c r="G126" s="454">
        <v>136614.1</v>
      </c>
      <c r="H126" s="454">
        <v>6938.2</v>
      </c>
      <c r="I126" s="454"/>
      <c r="J126" s="454">
        <v>43709.41</v>
      </c>
      <c r="K126" s="454">
        <v>34856.199999999997</v>
      </c>
      <c r="L126" s="454">
        <v>346048.25</v>
      </c>
      <c r="M126" s="344">
        <f t="shared" si="4"/>
        <v>1900296.22</v>
      </c>
      <c r="N126" s="458">
        <v>422976.25</v>
      </c>
      <c r="O126" s="458"/>
      <c r="P126" s="458">
        <v>50132.65</v>
      </c>
      <c r="Q126" s="458">
        <v>2979.81</v>
      </c>
      <c r="R126" s="458">
        <v>98856.7</v>
      </c>
      <c r="S126" s="454">
        <v>13938.57</v>
      </c>
      <c r="T126" s="344">
        <f t="shared" si="5"/>
        <v>2489180.1999999997</v>
      </c>
      <c r="U126" s="456">
        <v>-9007.27</v>
      </c>
      <c r="V126" s="458"/>
      <c r="W126" s="458">
        <v>-196</v>
      </c>
      <c r="X126" s="462">
        <v>60</v>
      </c>
      <c r="Y126" s="463">
        <v>1.1000000000000001</v>
      </c>
      <c r="Z126" s="464">
        <v>587</v>
      </c>
      <c r="AA126" s="527"/>
      <c r="AB126" s="469">
        <v>38886</v>
      </c>
      <c r="AC126" s="307">
        <f>AB126/VPI!R126</f>
        <v>1.2433225964063601</v>
      </c>
      <c r="AD126" s="309">
        <f t="shared" si="6"/>
        <v>246611</v>
      </c>
      <c r="AE126" s="307">
        <f>AD126/VPI!R126</f>
        <v>7.8850236286161826</v>
      </c>
      <c r="AF126" s="469">
        <v>285497</v>
      </c>
      <c r="AG126" s="469">
        <v>38688</v>
      </c>
      <c r="AH126" s="469">
        <v>56724</v>
      </c>
      <c r="AI126" s="528"/>
      <c r="AJ126" s="464"/>
      <c r="AK126" s="307">
        <f>AJ126/VPI!R126</f>
        <v>0</v>
      </c>
      <c r="AL126" s="309">
        <f t="shared" si="7"/>
        <v>16142</v>
      </c>
      <c r="AM126" s="307">
        <f>AL126/VPI!R126</f>
        <v>0.51611668341283401</v>
      </c>
      <c r="AN126" s="464">
        <v>16142</v>
      </c>
      <c r="AO126" s="528"/>
      <c r="AP126" s="477">
        <v>30.436671095480829</v>
      </c>
      <c r="AR126" s="530">
        <v>0</v>
      </c>
    </row>
    <row r="127" spans="1:44" x14ac:dyDescent="0.25">
      <c r="A127" s="525">
        <v>5622</v>
      </c>
      <c r="B127" s="526" t="s">
        <v>130</v>
      </c>
      <c r="C127" s="454">
        <v>1478842.63</v>
      </c>
      <c r="D127" s="454">
        <v>305289.31</v>
      </c>
      <c r="E127" s="454"/>
      <c r="F127" s="455"/>
      <c r="G127" s="454">
        <v>56632.4</v>
      </c>
      <c r="H127" s="454">
        <v>1151.5</v>
      </c>
      <c r="I127" s="454"/>
      <c r="J127" s="454">
        <v>16852.740000000002</v>
      </c>
      <c r="K127" s="454">
        <v>7305.7</v>
      </c>
      <c r="L127" s="454">
        <v>166780.5</v>
      </c>
      <c r="M127" s="344">
        <f t="shared" si="4"/>
        <v>2032854.7799999998</v>
      </c>
      <c r="N127" s="458">
        <v>38318.949999999997</v>
      </c>
      <c r="O127" s="458"/>
      <c r="P127" s="458">
        <v>19752.45</v>
      </c>
      <c r="Q127" s="458">
        <v>1641.12</v>
      </c>
      <c r="R127" s="458">
        <v>16061.2</v>
      </c>
      <c r="S127" s="454">
        <v>5610.67</v>
      </c>
      <c r="T127" s="344">
        <f t="shared" si="5"/>
        <v>2114239.17</v>
      </c>
      <c r="U127" s="456">
        <v>-23728.23</v>
      </c>
      <c r="V127" s="458"/>
      <c r="W127" s="458">
        <v>-456.3</v>
      </c>
      <c r="X127" s="462">
        <v>68</v>
      </c>
      <c r="Y127" s="463">
        <v>1</v>
      </c>
      <c r="Z127" s="464">
        <v>615</v>
      </c>
      <c r="AA127" s="527"/>
      <c r="AB127" s="469"/>
      <c r="AC127" s="307">
        <f>AB127/VPI!R127</f>
        <v>0</v>
      </c>
      <c r="AD127" s="309">
        <f t="shared" si="6"/>
        <v>110397</v>
      </c>
      <c r="AE127" s="307">
        <f>AD127/VPI!R127</f>
        <v>3.7238523370675582</v>
      </c>
      <c r="AF127" s="469">
        <v>110397</v>
      </c>
      <c r="AG127" s="469">
        <v>41098</v>
      </c>
      <c r="AH127" s="469">
        <v>64174</v>
      </c>
      <c r="AI127" s="528"/>
      <c r="AJ127" s="464"/>
      <c r="AK127" s="307">
        <f>AJ127/VPI!R127</f>
        <v>0</v>
      </c>
      <c r="AL127" s="309">
        <f t="shared" si="7"/>
        <v>16952</v>
      </c>
      <c r="AM127" s="307">
        <f>AL127/VPI!R127</f>
        <v>0.57181576327227412</v>
      </c>
      <c r="AN127" s="464">
        <v>16952</v>
      </c>
      <c r="AO127" s="528"/>
      <c r="AP127" s="477">
        <v>27.793398581443292</v>
      </c>
      <c r="AR127" s="530">
        <v>0</v>
      </c>
    </row>
    <row r="128" spans="1:44" x14ac:dyDescent="0.25">
      <c r="A128" s="525">
        <v>5623</v>
      </c>
      <c r="B128" s="526" t="s">
        <v>131</v>
      </c>
      <c r="C128" s="454">
        <v>2834579.17</v>
      </c>
      <c r="D128" s="454">
        <v>1602381.47</v>
      </c>
      <c r="E128" s="454"/>
      <c r="F128" s="455"/>
      <c r="G128" s="454">
        <v>67580</v>
      </c>
      <c r="H128" s="454">
        <v>248347.9</v>
      </c>
      <c r="I128" s="454">
        <v>207170.32</v>
      </c>
      <c r="J128" s="454">
        <v>72589.149999999994</v>
      </c>
      <c r="K128" s="454">
        <v>3516.8</v>
      </c>
      <c r="L128" s="454">
        <v>385973.2</v>
      </c>
      <c r="M128" s="344">
        <f t="shared" si="4"/>
        <v>5422138.0100000007</v>
      </c>
      <c r="N128" s="458">
        <v>10824.9</v>
      </c>
      <c r="O128" s="458">
        <v>4546.8</v>
      </c>
      <c r="P128" s="458">
        <v>247775</v>
      </c>
      <c r="Q128" s="458">
        <v>2792.39</v>
      </c>
      <c r="R128" s="458">
        <v>810358.3</v>
      </c>
      <c r="S128" s="454">
        <v>30675.81</v>
      </c>
      <c r="T128" s="344">
        <f t="shared" si="5"/>
        <v>6529111.21</v>
      </c>
      <c r="U128" s="456">
        <v>-5317.97</v>
      </c>
      <c r="V128" s="458"/>
      <c r="W128" s="458">
        <v>-113557.63</v>
      </c>
      <c r="X128" s="462">
        <v>52</v>
      </c>
      <c r="Y128" s="463">
        <v>1</v>
      </c>
      <c r="Z128" s="464">
        <v>686</v>
      </c>
      <c r="AA128" s="527"/>
      <c r="AB128" s="469"/>
      <c r="AC128" s="307">
        <f>AB128/VPI!R128</f>
        <v>0</v>
      </c>
      <c r="AD128" s="309">
        <f t="shared" si="6"/>
        <v>121394</v>
      </c>
      <c r="AE128" s="307">
        <f>AD128/VPI!R128</f>
        <v>1.182838044733159</v>
      </c>
      <c r="AF128" s="469">
        <v>121394</v>
      </c>
      <c r="AG128" s="469">
        <v>61312</v>
      </c>
      <c r="AH128" s="469">
        <v>68873</v>
      </c>
      <c r="AI128" s="528"/>
      <c r="AJ128" s="464"/>
      <c r="AK128" s="307">
        <f>AJ128/VPI!R128</f>
        <v>0</v>
      </c>
      <c r="AL128" s="309">
        <f t="shared" si="7"/>
        <v>19587</v>
      </c>
      <c r="AM128" s="307">
        <f>AL128/VPI!R128</f>
        <v>0.19085167950795251</v>
      </c>
      <c r="AN128" s="464">
        <v>19587</v>
      </c>
      <c r="AO128" s="528"/>
      <c r="AP128" s="477">
        <v>43.2551870448345</v>
      </c>
      <c r="AR128" s="530">
        <v>1</v>
      </c>
    </row>
    <row r="129" spans="1:122" x14ac:dyDescent="0.25">
      <c r="A129" s="525">
        <v>5624</v>
      </c>
      <c r="B129" s="526" t="s">
        <v>350</v>
      </c>
      <c r="C129" s="454">
        <v>20235231.640000001</v>
      </c>
      <c r="D129" s="454">
        <v>1653186.1</v>
      </c>
      <c r="E129" s="454"/>
      <c r="F129" s="455"/>
      <c r="G129" s="454">
        <v>1493741.45</v>
      </c>
      <c r="H129" s="454">
        <v>333458.2</v>
      </c>
      <c r="I129" s="454"/>
      <c r="J129" s="454">
        <v>1135485.5900000001</v>
      </c>
      <c r="K129" s="454">
        <v>605438.1</v>
      </c>
      <c r="L129" s="454">
        <v>3432958.4</v>
      </c>
      <c r="M129" s="344">
        <f t="shared" ref="M129:M191" si="8">SUM(C129:L129)</f>
        <v>28889499.48</v>
      </c>
      <c r="N129" s="458">
        <v>1643421.65</v>
      </c>
      <c r="O129" s="458">
        <v>118238.5</v>
      </c>
      <c r="P129" s="458">
        <v>1026139.85</v>
      </c>
      <c r="Q129" s="458">
        <v>53208.01</v>
      </c>
      <c r="R129" s="458">
        <v>384278.7</v>
      </c>
      <c r="S129" s="454">
        <v>177411.42</v>
      </c>
      <c r="T129" s="344">
        <f t="shared" ref="T129:T191" si="9">SUM(M129:S129)</f>
        <v>32292197.610000003</v>
      </c>
      <c r="U129" s="456">
        <v>-262739.84999999998</v>
      </c>
      <c r="V129" s="458"/>
      <c r="W129" s="458">
        <v>-4070.71</v>
      </c>
      <c r="X129" s="462">
        <v>62.5</v>
      </c>
      <c r="Y129" s="463">
        <v>1.25</v>
      </c>
      <c r="Z129" s="464">
        <v>11667</v>
      </c>
      <c r="AA129" s="527"/>
      <c r="AB129" s="469">
        <v>648861</v>
      </c>
      <c r="AC129" s="307">
        <f>AB129/VPI!R129</f>
        <v>1.4397777694548732</v>
      </c>
      <c r="AD129" s="309">
        <f t="shared" si="6"/>
        <v>2133517</v>
      </c>
      <c r="AE129" s="307">
        <f>AD129/VPI!R129</f>
        <v>4.7341269506936818</v>
      </c>
      <c r="AF129" s="469">
        <v>2782378</v>
      </c>
      <c r="AG129" s="469">
        <v>4170420</v>
      </c>
      <c r="AH129" s="469">
        <v>294183</v>
      </c>
      <c r="AI129" s="528"/>
      <c r="AJ129" s="464"/>
      <c r="AK129" s="307">
        <f>AJ129/VPI!R129</f>
        <v>0</v>
      </c>
      <c r="AL129" s="309">
        <f t="shared" si="7"/>
        <v>195528</v>
      </c>
      <c r="AM129" s="307">
        <f>AL129/VPI!R129</f>
        <v>0.43386313510285329</v>
      </c>
      <c r="AN129" s="464">
        <v>195528</v>
      </c>
      <c r="AO129" s="528"/>
      <c r="AP129" s="477">
        <v>12.120963000098179</v>
      </c>
      <c r="AR129" s="530">
        <v>1</v>
      </c>
    </row>
    <row r="130" spans="1:122" x14ac:dyDescent="0.25">
      <c r="A130" s="525">
        <v>5627</v>
      </c>
      <c r="B130" s="526" t="s">
        <v>220</v>
      </c>
      <c r="C130" s="454">
        <v>11271299.390000001</v>
      </c>
      <c r="D130" s="454">
        <v>561395.35</v>
      </c>
      <c r="E130" s="454"/>
      <c r="F130" s="455"/>
      <c r="G130" s="454">
        <v>771055.3</v>
      </c>
      <c r="H130" s="454">
        <v>183609.35</v>
      </c>
      <c r="I130" s="454"/>
      <c r="J130" s="454">
        <v>1165212.99</v>
      </c>
      <c r="K130" s="454">
        <v>391516.85</v>
      </c>
      <c r="L130" s="454">
        <v>2233677.5499999998</v>
      </c>
      <c r="M130" s="344">
        <f t="shared" si="8"/>
        <v>16577766.780000001</v>
      </c>
      <c r="N130" s="458">
        <v>420840.9</v>
      </c>
      <c r="O130" s="458">
        <v>384137.7</v>
      </c>
      <c r="P130" s="458">
        <v>1253033.5</v>
      </c>
      <c r="Q130" s="458">
        <v>63855.55</v>
      </c>
      <c r="R130" s="458">
        <v>216557.8</v>
      </c>
      <c r="S130" s="454">
        <v>92692.33</v>
      </c>
      <c r="T130" s="344">
        <f t="shared" si="9"/>
        <v>19008884.559999999</v>
      </c>
      <c r="U130" s="456">
        <v>-328321.56</v>
      </c>
      <c r="V130" s="458"/>
      <c r="W130" s="458">
        <v>-2828.74</v>
      </c>
      <c r="X130" s="462">
        <v>77.5</v>
      </c>
      <c r="Y130" s="463">
        <v>1.5</v>
      </c>
      <c r="Z130" s="464">
        <v>9771</v>
      </c>
      <c r="AA130" s="527"/>
      <c r="AB130" s="469">
        <v>930610</v>
      </c>
      <c r="AC130" s="307">
        <f>AB130/VPI!R130</f>
        <v>4.6059195047252004</v>
      </c>
      <c r="AD130" s="309">
        <f t="shared" si="6"/>
        <v>978168</v>
      </c>
      <c r="AE130" s="307">
        <f>AD130/VPI!R130</f>
        <v>4.8413009424979743</v>
      </c>
      <c r="AF130" s="469">
        <v>1908778</v>
      </c>
      <c r="AG130" s="469">
        <v>3709864</v>
      </c>
      <c r="AH130" s="469">
        <v>4655</v>
      </c>
      <c r="AI130" s="528"/>
      <c r="AJ130" s="464"/>
      <c r="AK130" s="307">
        <f>AJ130/VPI!R130</f>
        <v>0</v>
      </c>
      <c r="AL130" s="309">
        <f t="shared" si="7"/>
        <v>13016</v>
      </c>
      <c r="AM130" s="307">
        <f>AL130/VPI!R130</f>
        <v>6.4420808151108636E-2</v>
      </c>
      <c r="AN130" s="464">
        <v>13016</v>
      </c>
      <c r="AO130" s="528"/>
      <c r="AP130" s="477">
        <v>-25.195424850918631</v>
      </c>
      <c r="AR130" s="530">
        <v>1</v>
      </c>
    </row>
    <row r="131" spans="1:122" x14ac:dyDescent="0.25">
      <c r="A131" s="525">
        <v>5628</v>
      </c>
      <c r="B131" s="526" t="s">
        <v>221</v>
      </c>
      <c r="C131" s="454">
        <v>1811407.47</v>
      </c>
      <c r="D131" s="454">
        <v>0</v>
      </c>
      <c r="E131" s="454"/>
      <c r="F131" s="455"/>
      <c r="G131" s="454">
        <v>9123.1</v>
      </c>
      <c r="H131" s="454">
        <v>445.4</v>
      </c>
      <c r="I131" s="454"/>
      <c r="J131" s="454">
        <v>27022.27</v>
      </c>
      <c r="K131" s="454">
        <v>1308</v>
      </c>
      <c r="L131" s="454">
        <v>119180.9</v>
      </c>
      <c r="M131" s="344">
        <f t="shared" si="8"/>
        <v>1968487.14</v>
      </c>
      <c r="N131" s="458">
        <v>160.94999999999999</v>
      </c>
      <c r="O131" s="458">
        <v>0</v>
      </c>
      <c r="P131" s="458">
        <v>82830</v>
      </c>
      <c r="Q131" s="458">
        <v>7680.2</v>
      </c>
      <c r="R131" s="458">
        <v>145153.35</v>
      </c>
      <c r="S131" s="454">
        <v>929.08</v>
      </c>
      <c r="T131" s="344">
        <f t="shared" si="9"/>
        <v>2205240.7199999997</v>
      </c>
      <c r="U131" s="456">
        <v>-4143.33</v>
      </c>
      <c r="V131" s="458"/>
      <c r="W131" s="458">
        <v>-3452.15</v>
      </c>
      <c r="X131" s="462">
        <v>62</v>
      </c>
      <c r="Y131" s="463">
        <v>1</v>
      </c>
      <c r="Z131" s="464">
        <v>420</v>
      </c>
      <c r="AA131" s="527"/>
      <c r="AB131" s="469">
        <v>25486</v>
      </c>
      <c r="AC131" s="307">
        <f>AB131/VPI!R131</f>
        <v>0.80230070872674986</v>
      </c>
      <c r="AD131" s="309">
        <f t="shared" si="6"/>
        <v>20167</v>
      </c>
      <c r="AE131" s="307">
        <f>AD131/VPI!R131</f>
        <v>0.63485829054745213</v>
      </c>
      <c r="AF131" s="469">
        <v>45653</v>
      </c>
      <c r="AG131" s="469">
        <v>47077</v>
      </c>
      <c r="AH131" s="469">
        <v>37919</v>
      </c>
      <c r="AI131" s="528"/>
      <c r="AJ131" s="464"/>
      <c r="AK131" s="307">
        <f>AJ131/VPI!R131</f>
        <v>0</v>
      </c>
      <c r="AL131" s="309">
        <f t="shared" si="7"/>
        <v>2959</v>
      </c>
      <c r="AM131" s="307">
        <f>AL131/VPI!R131</f>
        <v>9.3149485879402527E-2</v>
      </c>
      <c r="AN131" s="464">
        <v>2959</v>
      </c>
      <c r="AO131" s="528"/>
      <c r="AP131" s="477">
        <v>33.566401105777373</v>
      </c>
      <c r="AR131" s="530">
        <v>0</v>
      </c>
    </row>
    <row r="132" spans="1:122" x14ac:dyDescent="0.25">
      <c r="A132" s="525">
        <v>5629</v>
      </c>
      <c r="B132" s="526" t="s">
        <v>134</v>
      </c>
      <c r="C132" s="454">
        <v>464816.51</v>
      </c>
      <c r="D132" s="454">
        <v>69527.03</v>
      </c>
      <c r="E132" s="454"/>
      <c r="F132" s="455"/>
      <c r="G132" s="454">
        <v>2714.15</v>
      </c>
      <c r="H132" s="454">
        <v>314.55</v>
      </c>
      <c r="I132" s="454"/>
      <c r="J132" s="454">
        <v>619.55999999999995</v>
      </c>
      <c r="K132" s="454">
        <v>537</v>
      </c>
      <c r="L132" s="454">
        <v>39424</v>
      </c>
      <c r="M132" s="344">
        <f t="shared" si="8"/>
        <v>577952.80000000016</v>
      </c>
      <c r="N132" s="458">
        <v>0</v>
      </c>
      <c r="O132" s="458"/>
      <c r="P132" s="458">
        <v>24640</v>
      </c>
      <c r="Q132" s="458"/>
      <c r="R132" s="458">
        <v>15709.2</v>
      </c>
      <c r="S132" s="454">
        <v>294.08</v>
      </c>
      <c r="T132" s="344">
        <f t="shared" si="9"/>
        <v>618596.08000000007</v>
      </c>
      <c r="U132" s="456">
        <v>-82.57</v>
      </c>
      <c r="V132" s="458"/>
      <c r="W132" s="458">
        <v>-101.75</v>
      </c>
      <c r="X132" s="462">
        <v>72</v>
      </c>
      <c r="Y132" s="463">
        <v>1</v>
      </c>
      <c r="Z132" s="464">
        <v>228</v>
      </c>
      <c r="AA132" s="527"/>
      <c r="AB132" s="469">
        <v>52078</v>
      </c>
      <c r="AC132" s="307">
        <f>AB132/VPI!R132</f>
        <v>6.4865228427871173</v>
      </c>
      <c r="AD132" s="309">
        <f t="shared" si="6"/>
        <v>63693</v>
      </c>
      <c r="AE132" s="307">
        <f>AD132/VPI!R132</f>
        <v>7.9332174704412592</v>
      </c>
      <c r="AF132" s="469">
        <v>115771</v>
      </c>
      <c r="AG132" s="469">
        <v>9772</v>
      </c>
      <c r="AH132" s="469">
        <v>32405</v>
      </c>
      <c r="AI132" s="528"/>
      <c r="AJ132" s="464"/>
      <c r="AK132" s="307">
        <f>AJ132/VPI!R132</f>
        <v>0</v>
      </c>
      <c r="AL132" s="309">
        <f t="shared" si="7"/>
        <v>640</v>
      </c>
      <c r="AM132" s="307">
        <f>AL132/VPI!R132</f>
        <v>7.9714555462647482E-2</v>
      </c>
      <c r="AN132" s="464">
        <v>640</v>
      </c>
      <c r="AO132" s="528"/>
      <c r="AP132" s="477">
        <v>28.702971394660402</v>
      </c>
      <c r="AR132" s="530">
        <v>0</v>
      </c>
    </row>
    <row r="133" spans="1:122" x14ac:dyDescent="0.25">
      <c r="A133" s="525">
        <v>5631</v>
      </c>
      <c r="B133" s="526" t="s">
        <v>135</v>
      </c>
      <c r="C133" s="454">
        <v>1968806.06</v>
      </c>
      <c r="D133" s="454">
        <v>501236.5</v>
      </c>
      <c r="E133" s="454"/>
      <c r="F133" s="455"/>
      <c r="G133" s="454">
        <v>3931.6</v>
      </c>
      <c r="H133" s="454">
        <v>2712.4</v>
      </c>
      <c r="I133" s="454">
        <v>295743.52</v>
      </c>
      <c r="J133" s="454">
        <v>56394.86</v>
      </c>
      <c r="K133" s="454">
        <v>2656.15</v>
      </c>
      <c r="L133" s="454">
        <v>226259.95</v>
      </c>
      <c r="M133" s="344">
        <f t="shared" si="8"/>
        <v>3057741.04</v>
      </c>
      <c r="N133" s="458">
        <v>2264.9</v>
      </c>
      <c r="O133" s="458">
        <v>1518</v>
      </c>
      <c r="P133" s="458">
        <v>70785</v>
      </c>
      <c r="Q133" s="458"/>
      <c r="R133" s="458">
        <v>84563.25</v>
      </c>
      <c r="S133" s="454">
        <v>645.12</v>
      </c>
      <c r="T133" s="344">
        <f t="shared" si="9"/>
        <v>3217517.31</v>
      </c>
      <c r="U133" s="456">
        <v>-7689.64</v>
      </c>
      <c r="V133" s="458"/>
      <c r="W133" s="458">
        <v>-4956.12</v>
      </c>
      <c r="X133" s="462">
        <v>65</v>
      </c>
      <c r="Y133" s="463">
        <v>1</v>
      </c>
      <c r="Z133" s="464">
        <v>742</v>
      </c>
      <c r="AA133" s="527"/>
      <c r="AB133" s="469"/>
      <c r="AC133" s="307">
        <f>AB133/VPI!R133</f>
        <v>0</v>
      </c>
      <c r="AD133" s="309">
        <f t="shared" si="6"/>
        <v>0</v>
      </c>
      <c r="AE133" s="307">
        <f>AD133/VPI!R133</f>
        <v>0</v>
      </c>
      <c r="AF133" s="469"/>
      <c r="AG133" s="469"/>
      <c r="AH133" s="469"/>
      <c r="AI133" s="528"/>
      <c r="AJ133" s="464"/>
      <c r="AK133" s="307">
        <f>AJ133/VPI!R133</f>
        <v>0</v>
      </c>
      <c r="AL133" s="309">
        <f t="shared" si="7"/>
        <v>0</v>
      </c>
      <c r="AM133" s="307">
        <f>AL133/VPI!R133</f>
        <v>0</v>
      </c>
      <c r="AN133" s="464"/>
      <c r="AO133" s="528"/>
      <c r="AP133" s="477">
        <v>32.153035734783018</v>
      </c>
      <c r="AR133" s="530">
        <v>0</v>
      </c>
    </row>
    <row r="134" spans="1:122" x14ac:dyDescent="0.25">
      <c r="A134" s="525">
        <v>5632</v>
      </c>
      <c r="B134" s="526" t="s">
        <v>136</v>
      </c>
      <c r="C134" s="454">
        <v>3776348.89</v>
      </c>
      <c r="D134" s="454">
        <v>617665.65</v>
      </c>
      <c r="E134" s="454"/>
      <c r="F134" s="455"/>
      <c r="G134" s="454">
        <v>217039.95</v>
      </c>
      <c r="H134" s="454">
        <v>19873.8</v>
      </c>
      <c r="I134" s="454"/>
      <c r="J134" s="454">
        <v>202088.63</v>
      </c>
      <c r="K134" s="454">
        <v>50413.2</v>
      </c>
      <c r="L134" s="454">
        <v>399465</v>
      </c>
      <c r="M134" s="344">
        <f t="shared" si="8"/>
        <v>5282895.12</v>
      </c>
      <c r="N134" s="458">
        <v>113781.05</v>
      </c>
      <c r="O134" s="458">
        <v>12398.2</v>
      </c>
      <c r="P134" s="458">
        <v>355230.25</v>
      </c>
      <c r="Q134" s="458">
        <v>4058.63</v>
      </c>
      <c r="R134" s="458">
        <v>276968</v>
      </c>
      <c r="S134" s="454">
        <v>23003.73</v>
      </c>
      <c r="T134" s="344">
        <f t="shared" si="9"/>
        <v>6068334.9800000004</v>
      </c>
      <c r="U134" s="456">
        <v>-44023.3</v>
      </c>
      <c r="V134" s="458"/>
      <c r="W134" s="458">
        <v>-199.83</v>
      </c>
      <c r="X134" s="462">
        <v>62</v>
      </c>
      <c r="Y134" s="463">
        <v>1</v>
      </c>
      <c r="Z134" s="464">
        <v>1837</v>
      </c>
      <c r="AA134" s="527"/>
      <c r="AB134" s="469"/>
      <c r="AC134" s="307">
        <f>AB134/VPI!R134</f>
        <v>0</v>
      </c>
      <c r="AD134" s="309">
        <f t="shared" si="6"/>
        <v>135316</v>
      </c>
      <c r="AE134" s="307">
        <f>AD134/VPI!R134</f>
        <v>1.5932425455530241</v>
      </c>
      <c r="AF134" s="469">
        <v>135316</v>
      </c>
      <c r="AG134" s="469">
        <v>616212</v>
      </c>
      <c r="AH134" s="469">
        <v>60361</v>
      </c>
      <c r="AI134" s="528"/>
      <c r="AJ134" s="464"/>
      <c r="AK134" s="307">
        <f>AJ134/VPI!R134</f>
        <v>0</v>
      </c>
      <c r="AL134" s="309">
        <f t="shared" si="7"/>
        <v>4544</v>
      </c>
      <c r="AM134" s="307">
        <f>AL134/VPI!R134</f>
        <v>5.3502129289906157E-2</v>
      </c>
      <c r="AN134" s="464">
        <v>4544</v>
      </c>
      <c r="AO134" s="528"/>
      <c r="AP134" s="477">
        <v>25.911849256487233</v>
      </c>
      <c r="AR134" s="530">
        <v>0</v>
      </c>
    </row>
    <row r="135" spans="1:122" x14ac:dyDescent="0.25">
      <c r="A135" s="525">
        <v>5633</v>
      </c>
      <c r="B135" s="526" t="s">
        <v>137</v>
      </c>
      <c r="C135" s="454">
        <v>6139372.4299999997</v>
      </c>
      <c r="D135" s="454">
        <v>1618365.5</v>
      </c>
      <c r="E135" s="454"/>
      <c r="F135" s="455"/>
      <c r="G135" s="454">
        <v>388237.95</v>
      </c>
      <c r="H135" s="454">
        <v>47586.95</v>
      </c>
      <c r="I135" s="454"/>
      <c r="J135" s="454">
        <v>281658.36</v>
      </c>
      <c r="K135" s="454">
        <v>45133.05</v>
      </c>
      <c r="L135" s="454">
        <v>747281.75</v>
      </c>
      <c r="M135" s="344">
        <f t="shared" si="8"/>
        <v>9267635.9900000002</v>
      </c>
      <c r="N135" s="458">
        <v>201321.55</v>
      </c>
      <c r="O135" s="458">
        <v>574735.30000000005</v>
      </c>
      <c r="P135" s="458">
        <v>294657.8</v>
      </c>
      <c r="Q135" s="458">
        <v>3391.4</v>
      </c>
      <c r="R135" s="458">
        <v>349375.65</v>
      </c>
      <c r="S135" s="454">
        <v>42317.51</v>
      </c>
      <c r="T135" s="344">
        <f t="shared" si="9"/>
        <v>10733435.200000003</v>
      </c>
      <c r="U135" s="456">
        <v>-13701.25</v>
      </c>
      <c r="V135" s="458"/>
      <c r="W135" s="458">
        <v>-54240.85</v>
      </c>
      <c r="X135" s="462">
        <v>60.5</v>
      </c>
      <c r="Y135" s="463">
        <v>1</v>
      </c>
      <c r="Z135" s="464">
        <v>3004</v>
      </c>
      <c r="AA135" s="527"/>
      <c r="AB135" s="469">
        <v>306330</v>
      </c>
      <c r="AC135" s="307">
        <f>AB135/VPI!R135</f>
        <v>2.00456003928785</v>
      </c>
      <c r="AD135" s="309">
        <f t="shared" ref="AD135:AD198" si="10">AF135-AB135</f>
        <v>919767</v>
      </c>
      <c r="AE135" s="307">
        <f>AD135/VPI!R135</f>
        <v>6.0187646448459757</v>
      </c>
      <c r="AF135" s="469">
        <v>1226097</v>
      </c>
      <c r="AG135" s="469">
        <v>1055153</v>
      </c>
      <c r="AH135" s="469">
        <v>100282</v>
      </c>
      <c r="AI135" s="528"/>
      <c r="AJ135" s="464"/>
      <c r="AK135" s="307">
        <f>AJ135/VPI!R135</f>
        <v>0</v>
      </c>
      <c r="AL135" s="309">
        <f t="shared" ref="AL135:AL198" si="11">+AN135-AJ135</f>
        <v>32265</v>
      </c>
      <c r="AM135" s="307">
        <f>AL135/VPI!R135</f>
        <v>0.21113547372971134</v>
      </c>
      <c r="AN135" s="464">
        <v>32265</v>
      </c>
      <c r="AO135" s="528"/>
      <c r="AP135" s="477">
        <v>25.315155682724178</v>
      </c>
      <c r="AR135" s="530">
        <v>0</v>
      </c>
    </row>
    <row r="136" spans="1:122" x14ac:dyDescent="0.25">
      <c r="A136" s="525">
        <v>5634</v>
      </c>
      <c r="B136" s="526" t="s">
        <v>138</v>
      </c>
      <c r="C136" s="454">
        <v>8845607.4399999995</v>
      </c>
      <c r="D136" s="454">
        <v>1498075.02</v>
      </c>
      <c r="E136" s="454"/>
      <c r="F136" s="455"/>
      <c r="G136" s="454">
        <v>110720.95</v>
      </c>
      <c r="H136" s="454">
        <v>49765.9</v>
      </c>
      <c r="I136" s="454">
        <v>38803.65</v>
      </c>
      <c r="J136" s="454">
        <v>60968.01</v>
      </c>
      <c r="K136" s="454">
        <v>12635.9</v>
      </c>
      <c r="L136" s="454">
        <v>794835.05</v>
      </c>
      <c r="M136" s="344">
        <f t="shared" si="8"/>
        <v>11411411.92</v>
      </c>
      <c r="N136" s="458">
        <v>77372.350000000006</v>
      </c>
      <c r="O136" s="458">
        <v>415175.4</v>
      </c>
      <c r="P136" s="458">
        <v>269865.2</v>
      </c>
      <c r="Q136" s="458">
        <v>5572.93</v>
      </c>
      <c r="R136" s="458">
        <v>337994.3</v>
      </c>
      <c r="S136" s="454">
        <v>15582.87</v>
      </c>
      <c r="T136" s="344">
        <f t="shared" si="9"/>
        <v>12532974.969999999</v>
      </c>
      <c r="U136" s="456">
        <v>-47795.45</v>
      </c>
      <c r="V136" s="458"/>
      <c r="W136" s="458">
        <v>-11931.9</v>
      </c>
      <c r="X136" s="462">
        <v>66</v>
      </c>
      <c r="Y136" s="463">
        <v>1</v>
      </c>
      <c r="Z136" s="464">
        <v>3218</v>
      </c>
      <c r="AA136" s="527"/>
      <c r="AB136" s="469">
        <v>274715</v>
      </c>
      <c r="AC136" s="307">
        <f>AB136/VPI!R136</f>
        <v>1.594253450336611</v>
      </c>
      <c r="AD136" s="309">
        <f t="shared" si="10"/>
        <v>456430</v>
      </c>
      <c r="AE136" s="307">
        <f>AD136/VPI!R136</f>
        <v>2.6488000376285945</v>
      </c>
      <c r="AF136" s="469">
        <v>731145</v>
      </c>
      <c r="AG136" s="469">
        <v>633766</v>
      </c>
      <c r="AH136" s="469">
        <v>261593</v>
      </c>
      <c r="AI136" s="528"/>
      <c r="AJ136" s="464"/>
      <c r="AK136" s="307">
        <f>AJ136/VPI!R136</f>
        <v>0</v>
      </c>
      <c r="AL136" s="309">
        <f t="shared" si="11"/>
        <v>32630</v>
      </c>
      <c r="AM136" s="307">
        <f>AL136/VPI!R136</f>
        <v>0.18936166603383003</v>
      </c>
      <c r="AN136" s="464">
        <v>32630</v>
      </c>
      <c r="AO136" s="528"/>
      <c r="AP136" s="477">
        <v>27.230048163983827</v>
      </c>
      <c r="AR136" s="530">
        <v>0</v>
      </c>
    </row>
    <row r="137" spans="1:122" x14ac:dyDescent="0.25">
      <c r="A137" s="525">
        <v>5635</v>
      </c>
      <c r="B137" s="526" t="s">
        <v>139</v>
      </c>
      <c r="C137" s="454">
        <v>19550861.109999999</v>
      </c>
      <c r="D137" s="454">
        <v>2683133.56</v>
      </c>
      <c r="E137" s="454"/>
      <c r="F137" s="455"/>
      <c r="G137" s="454">
        <v>6047900.5</v>
      </c>
      <c r="H137" s="454">
        <v>717616.8</v>
      </c>
      <c r="I137" s="454">
        <v>97844.85</v>
      </c>
      <c r="J137" s="454">
        <v>1192526.4099999999</v>
      </c>
      <c r="K137" s="454">
        <v>534402.4</v>
      </c>
      <c r="L137" s="454">
        <v>3413515</v>
      </c>
      <c r="M137" s="344">
        <f t="shared" si="8"/>
        <v>34237800.629999995</v>
      </c>
      <c r="N137" s="458">
        <v>2741842.5</v>
      </c>
      <c r="O137" s="458">
        <v>677637.6</v>
      </c>
      <c r="P137" s="458">
        <v>1511585.9</v>
      </c>
      <c r="Q137" s="458">
        <v>93353.73</v>
      </c>
      <c r="R137" s="458">
        <v>1210193.45</v>
      </c>
      <c r="S137" s="454">
        <v>656907.72</v>
      </c>
      <c r="T137" s="344">
        <f t="shared" si="9"/>
        <v>41129321.529999994</v>
      </c>
      <c r="U137" s="456">
        <v>-342073.74</v>
      </c>
      <c r="V137" s="458"/>
      <c r="W137" s="458">
        <v>-21914.28</v>
      </c>
      <c r="X137" s="462">
        <v>62.5</v>
      </c>
      <c r="Y137" s="463">
        <v>1.2</v>
      </c>
      <c r="Z137" s="464">
        <v>13391</v>
      </c>
      <c r="AA137" s="527"/>
      <c r="AB137" s="469">
        <v>1059589</v>
      </c>
      <c r="AC137" s="307">
        <f>AB137/VPI!R137</f>
        <v>1.9446193302431325</v>
      </c>
      <c r="AD137" s="309">
        <f t="shared" si="10"/>
        <v>3090166</v>
      </c>
      <c r="AE137" s="307">
        <f>AD137/VPI!R137</f>
        <v>5.6712522848577134</v>
      </c>
      <c r="AF137" s="469">
        <v>4149755</v>
      </c>
      <c r="AG137" s="469">
        <v>5756769</v>
      </c>
      <c r="AH137" s="469">
        <v>192504</v>
      </c>
      <c r="AI137" s="528"/>
      <c r="AJ137" s="464"/>
      <c r="AK137" s="307">
        <f>AJ137/VPI!R137</f>
        <v>0</v>
      </c>
      <c r="AL137" s="309">
        <f t="shared" si="11"/>
        <v>93712</v>
      </c>
      <c r="AM137" s="307">
        <f>AL137/VPI!R137</f>
        <v>0.17198571019116321</v>
      </c>
      <c r="AN137" s="464">
        <v>93712</v>
      </c>
      <c r="AO137" s="528"/>
      <c r="AP137" s="477">
        <v>9.1915299195519413</v>
      </c>
      <c r="AR137" s="530">
        <v>1</v>
      </c>
    </row>
    <row r="138" spans="1:122" x14ac:dyDescent="0.25">
      <c r="A138" s="525">
        <v>5636</v>
      </c>
      <c r="B138" s="526" t="s">
        <v>140</v>
      </c>
      <c r="C138" s="454">
        <v>6566839.5800000001</v>
      </c>
      <c r="D138" s="454">
        <v>981435.12</v>
      </c>
      <c r="E138" s="454"/>
      <c r="F138" s="455"/>
      <c r="G138" s="454">
        <v>2740743.75</v>
      </c>
      <c r="H138" s="454">
        <v>239711.85</v>
      </c>
      <c r="I138" s="454">
        <v>29870.9</v>
      </c>
      <c r="J138" s="454">
        <v>618581.61</v>
      </c>
      <c r="K138" s="454">
        <v>253826.55</v>
      </c>
      <c r="L138" s="454">
        <v>1211954.45</v>
      </c>
      <c r="M138" s="344">
        <f t="shared" si="8"/>
        <v>12642963.809999999</v>
      </c>
      <c r="N138" s="458">
        <v>726740.75</v>
      </c>
      <c r="O138" s="458">
        <v>-79855.5</v>
      </c>
      <c r="P138" s="458">
        <v>166563.70000000001</v>
      </c>
      <c r="Q138" s="458">
        <v>36641.5</v>
      </c>
      <c r="R138" s="458">
        <v>186813.7</v>
      </c>
      <c r="S138" s="454">
        <v>289394.78000000003</v>
      </c>
      <c r="T138" s="344">
        <f t="shared" si="9"/>
        <v>13969262.739999996</v>
      </c>
      <c r="U138" s="456">
        <v>-96486.06</v>
      </c>
      <c r="V138" s="458"/>
      <c r="W138" s="458">
        <v>-2545.9</v>
      </c>
      <c r="X138" s="462">
        <v>60</v>
      </c>
      <c r="Y138" s="463">
        <v>1</v>
      </c>
      <c r="Z138" s="464">
        <v>2966</v>
      </c>
      <c r="AA138" s="527"/>
      <c r="AB138" s="469">
        <v>17032</v>
      </c>
      <c r="AC138" s="307">
        <f>AB138/VPI!R138</f>
        <v>7.940346003016871E-2</v>
      </c>
      <c r="AD138" s="309">
        <f t="shared" si="10"/>
        <v>478616</v>
      </c>
      <c r="AE138" s="307">
        <f>AD138/VPI!R138</f>
        <v>2.2313155487200107</v>
      </c>
      <c r="AF138" s="469">
        <v>495648</v>
      </c>
      <c r="AG138" s="469">
        <v>325746</v>
      </c>
      <c r="AH138" s="469">
        <v>313810</v>
      </c>
      <c r="AI138" s="528"/>
      <c r="AJ138" s="464"/>
      <c r="AK138" s="307">
        <f>AJ138/VPI!R138</f>
        <v>0</v>
      </c>
      <c r="AL138" s="309">
        <f t="shared" si="11"/>
        <v>24092</v>
      </c>
      <c r="AM138" s="307">
        <f>AL138/VPI!R138</f>
        <v>0.11231729444849838</v>
      </c>
      <c r="AN138" s="464">
        <v>24092</v>
      </c>
      <c r="AO138" s="528"/>
      <c r="AP138" s="477">
        <v>34.033229766096014</v>
      </c>
      <c r="AR138" s="530">
        <v>0</v>
      </c>
    </row>
    <row r="139" spans="1:122" x14ac:dyDescent="0.25">
      <c r="A139" s="525">
        <v>5637</v>
      </c>
      <c r="B139" s="526" t="s">
        <v>141</v>
      </c>
      <c r="C139" s="454">
        <v>2159513.3199999998</v>
      </c>
      <c r="D139" s="454">
        <v>246201.69</v>
      </c>
      <c r="E139" s="454"/>
      <c r="F139" s="455"/>
      <c r="G139" s="454">
        <v>33096.9</v>
      </c>
      <c r="H139" s="454">
        <v>3660.6</v>
      </c>
      <c r="I139" s="454"/>
      <c r="J139" s="454">
        <v>86585.42</v>
      </c>
      <c r="K139" s="454">
        <v>10082.950000000001</v>
      </c>
      <c r="L139" s="454">
        <v>311865.45</v>
      </c>
      <c r="M139" s="344">
        <f t="shared" si="8"/>
        <v>2851006.33</v>
      </c>
      <c r="N139" s="458">
        <v>318475.84999999998</v>
      </c>
      <c r="O139" s="458">
        <v>21821.9</v>
      </c>
      <c r="P139" s="458">
        <v>40087.25</v>
      </c>
      <c r="Q139" s="458">
        <v>43413.46</v>
      </c>
      <c r="R139" s="458">
        <v>197524.1</v>
      </c>
      <c r="S139" s="454">
        <v>3569.06</v>
      </c>
      <c r="T139" s="344">
        <f t="shared" si="9"/>
        <v>3475897.95</v>
      </c>
      <c r="U139" s="456">
        <v>-60150.57</v>
      </c>
      <c r="V139" s="458"/>
      <c r="W139" s="458">
        <v>-958.19</v>
      </c>
      <c r="X139" s="462">
        <v>73</v>
      </c>
      <c r="Y139" s="463">
        <v>1.5</v>
      </c>
      <c r="Z139" s="464">
        <v>1100</v>
      </c>
      <c r="AA139" s="527"/>
      <c r="AB139" s="469">
        <v>14396</v>
      </c>
      <c r="AC139" s="307">
        <f>AB139/VPI!R139</f>
        <v>0.3845359909518774</v>
      </c>
      <c r="AD139" s="309">
        <f t="shared" si="10"/>
        <v>2549809</v>
      </c>
      <c r="AE139" s="307">
        <f>AD139/VPI!R139</f>
        <v>68.108733714435644</v>
      </c>
      <c r="AF139" s="469">
        <v>2564205</v>
      </c>
      <c r="AG139" s="469">
        <v>70415</v>
      </c>
      <c r="AH139" s="469">
        <v>125487</v>
      </c>
      <c r="AI139" s="528"/>
      <c r="AJ139" s="464"/>
      <c r="AK139" s="307">
        <f>AJ139/VPI!R139</f>
        <v>0</v>
      </c>
      <c r="AL139" s="309">
        <f t="shared" si="11"/>
        <v>-2766</v>
      </c>
      <c r="AM139" s="307">
        <f>AL139/VPI!R139</f>
        <v>-7.3883478117038964E-2</v>
      </c>
      <c r="AN139" s="464">
        <v>-2766</v>
      </c>
      <c r="AO139" s="528"/>
      <c r="AP139" s="477">
        <v>19.203555787039846</v>
      </c>
      <c r="AR139" s="530">
        <v>0</v>
      </c>
    </row>
    <row r="140" spans="1:122" x14ac:dyDescent="0.25">
      <c r="A140" s="525">
        <v>5638</v>
      </c>
      <c r="B140" s="526" t="s">
        <v>142</v>
      </c>
      <c r="C140" s="454">
        <v>5464264.6900000004</v>
      </c>
      <c r="D140" s="454">
        <v>1076653.73</v>
      </c>
      <c r="E140" s="454"/>
      <c r="F140" s="455"/>
      <c r="G140" s="454">
        <v>575828.35</v>
      </c>
      <c r="H140" s="454">
        <v>86353.3</v>
      </c>
      <c r="I140" s="454">
        <v>359927.65</v>
      </c>
      <c r="J140" s="454">
        <v>214366.07</v>
      </c>
      <c r="K140" s="454">
        <v>73791.600000000006</v>
      </c>
      <c r="L140" s="454">
        <v>747999.2</v>
      </c>
      <c r="M140" s="344">
        <f t="shared" si="8"/>
        <v>8599184.5899999999</v>
      </c>
      <c r="N140" s="458">
        <v>336838.5</v>
      </c>
      <c r="O140" s="458">
        <v>3205539.9</v>
      </c>
      <c r="P140" s="458">
        <v>271544.7</v>
      </c>
      <c r="Q140" s="458">
        <v>33556.519999999997</v>
      </c>
      <c r="R140" s="458">
        <v>397088.55</v>
      </c>
      <c r="S140" s="454">
        <v>64296.18</v>
      </c>
      <c r="T140" s="344">
        <f t="shared" si="9"/>
        <v>12908048.939999999</v>
      </c>
      <c r="U140" s="456">
        <v>-90449.22</v>
      </c>
      <c r="V140" s="458"/>
      <c r="W140" s="458">
        <v>-6196.64</v>
      </c>
      <c r="X140" s="462">
        <v>55</v>
      </c>
      <c r="Y140" s="463">
        <v>1</v>
      </c>
      <c r="Z140" s="464">
        <v>2733</v>
      </c>
      <c r="AA140" s="527"/>
      <c r="AB140" s="469">
        <v>48012</v>
      </c>
      <c r="AC140" s="307">
        <f>AB140/VPI!R140</f>
        <v>0.30703951343293684</v>
      </c>
      <c r="AD140" s="309">
        <f t="shared" si="10"/>
        <v>635256</v>
      </c>
      <c r="AE140" s="307">
        <f>AD140/VPI!R140</f>
        <v>4.062498815824247</v>
      </c>
      <c r="AF140" s="469">
        <v>683268</v>
      </c>
      <c r="AG140" s="469">
        <v>1148376</v>
      </c>
      <c r="AH140" s="469">
        <v>77422</v>
      </c>
      <c r="AI140" s="528"/>
      <c r="AJ140" s="464"/>
      <c r="AK140" s="307">
        <f>AJ140/VPI!R140</f>
        <v>0</v>
      </c>
      <c r="AL140" s="309">
        <f t="shared" si="11"/>
        <v>39330</v>
      </c>
      <c r="AM140" s="307">
        <f>AL140/VPI!R140</f>
        <v>0.25151762191363419</v>
      </c>
      <c r="AN140" s="464">
        <v>39330</v>
      </c>
      <c r="AO140" s="528"/>
      <c r="AP140" s="477">
        <v>28.89215735317735</v>
      </c>
      <c r="AR140" s="530">
        <v>0</v>
      </c>
    </row>
    <row r="141" spans="1:122" x14ac:dyDescent="0.25">
      <c r="A141" s="525">
        <v>5639</v>
      </c>
      <c r="B141" s="526" t="s">
        <v>143</v>
      </c>
      <c r="C141" s="454">
        <v>2525851.4900000002</v>
      </c>
      <c r="D141" s="454">
        <v>618411</v>
      </c>
      <c r="E141" s="454"/>
      <c r="F141" s="455"/>
      <c r="G141" s="454">
        <v>37116.5</v>
      </c>
      <c r="H141" s="454">
        <v>4758.6000000000004</v>
      </c>
      <c r="I141" s="454"/>
      <c r="J141" s="454">
        <v>-3253.93</v>
      </c>
      <c r="K141" s="454">
        <v>2936.85</v>
      </c>
      <c r="L141" s="454">
        <v>273740.15000000002</v>
      </c>
      <c r="M141" s="344">
        <f t="shared" si="8"/>
        <v>3459560.66</v>
      </c>
      <c r="N141" s="458">
        <v>28955.75</v>
      </c>
      <c r="O141" s="458">
        <v>130260.8</v>
      </c>
      <c r="P141" s="458">
        <v>106368.35</v>
      </c>
      <c r="Q141" s="458"/>
      <c r="R141" s="458">
        <v>284490.15000000002</v>
      </c>
      <c r="S141" s="454">
        <v>4065.97</v>
      </c>
      <c r="T141" s="344">
        <f t="shared" si="9"/>
        <v>4013701.68</v>
      </c>
      <c r="U141" s="456">
        <v>-141.01</v>
      </c>
      <c r="V141" s="458"/>
      <c r="W141" s="458">
        <v>-3112.05</v>
      </c>
      <c r="X141" s="462">
        <v>61</v>
      </c>
      <c r="Y141" s="463">
        <v>1.25</v>
      </c>
      <c r="Z141" s="464">
        <v>838</v>
      </c>
      <c r="AA141" s="527"/>
      <c r="AB141" s="469"/>
      <c r="AC141" s="307">
        <f>AB141/VPI!R141</f>
        <v>0</v>
      </c>
      <c r="AD141" s="309">
        <f t="shared" si="10"/>
        <v>0</v>
      </c>
      <c r="AE141" s="307">
        <f>AD141/VPI!R141</f>
        <v>0</v>
      </c>
      <c r="AF141" s="469"/>
      <c r="AG141" s="469"/>
      <c r="AH141" s="469"/>
      <c r="AI141" s="528"/>
      <c r="AJ141" s="464"/>
      <c r="AK141" s="307">
        <f>AJ141/VPI!R141</f>
        <v>0</v>
      </c>
      <c r="AL141" s="309">
        <f t="shared" si="11"/>
        <v>0</v>
      </c>
      <c r="AM141" s="307">
        <f>AL141/VPI!R141</f>
        <v>0</v>
      </c>
      <c r="AN141" s="464"/>
      <c r="AO141" s="528"/>
      <c r="AP141" s="477">
        <v>31.141854351673729</v>
      </c>
      <c r="AR141" s="530">
        <v>0</v>
      </c>
    </row>
    <row r="142" spans="1:122" x14ac:dyDescent="0.25">
      <c r="A142" s="525">
        <v>5640</v>
      </c>
      <c r="B142" s="526" t="s">
        <v>144</v>
      </c>
      <c r="C142" s="454">
        <v>2782789.43</v>
      </c>
      <c r="D142" s="454">
        <v>700984.76</v>
      </c>
      <c r="E142" s="454"/>
      <c r="F142" s="455"/>
      <c r="G142" s="454">
        <v>62802.85</v>
      </c>
      <c r="H142" s="454">
        <v>4304.25</v>
      </c>
      <c r="I142" s="454">
        <v>83927.5</v>
      </c>
      <c r="J142" s="454">
        <v>27925.02</v>
      </c>
      <c r="K142" s="454">
        <v>10925.25</v>
      </c>
      <c r="L142" s="454">
        <v>222430.4</v>
      </c>
      <c r="M142" s="344">
        <f t="shared" si="8"/>
        <v>3896089.4600000004</v>
      </c>
      <c r="N142" s="458">
        <v>29199.95</v>
      </c>
      <c r="O142" s="458">
        <v>12558.5</v>
      </c>
      <c r="P142" s="458">
        <v>54256.95</v>
      </c>
      <c r="Q142" s="458"/>
      <c r="R142" s="458">
        <v>93210.75</v>
      </c>
      <c r="S142" s="454">
        <v>6515.93</v>
      </c>
      <c r="T142" s="344">
        <f t="shared" si="9"/>
        <v>4091831.540000001</v>
      </c>
      <c r="U142" s="456">
        <v>-3269.91</v>
      </c>
      <c r="V142" s="458"/>
      <c r="W142" s="458">
        <v>-6192.41</v>
      </c>
      <c r="X142" s="462">
        <v>61.5</v>
      </c>
      <c r="Y142" s="463">
        <v>1</v>
      </c>
      <c r="Z142" s="464">
        <v>719</v>
      </c>
      <c r="AA142" s="527"/>
      <c r="AB142" s="469">
        <v>87537</v>
      </c>
      <c r="AC142" s="307">
        <f>AB142/VPI!R142</f>
        <v>1.3828224144868122</v>
      </c>
      <c r="AD142" s="309">
        <f t="shared" si="10"/>
        <v>29638</v>
      </c>
      <c r="AE142" s="307">
        <f>AD142/VPI!R142</f>
        <v>0.46819163005997622</v>
      </c>
      <c r="AF142" s="469">
        <v>117175</v>
      </c>
      <c r="AG142" s="469">
        <v>176561</v>
      </c>
      <c r="AH142" s="469">
        <v>100407</v>
      </c>
      <c r="AI142" s="528"/>
      <c r="AJ142" s="464"/>
      <c r="AK142" s="307">
        <f>AJ142/VPI!R142</f>
        <v>0</v>
      </c>
      <c r="AL142" s="309">
        <f t="shared" si="11"/>
        <v>7362</v>
      </c>
      <c r="AM142" s="307">
        <f>AL142/VPI!R142</f>
        <v>0.11629754978411314</v>
      </c>
      <c r="AN142" s="464">
        <v>7362</v>
      </c>
      <c r="AO142" s="528"/>
      <c r="AP142" s="477">
        <v>34.16377931238695</v>
      </c>
      <c r="AR142" s="530">
        <v>1</v>
      </c>
    </row>
    <row r="143" spans="1:122" s="532" customFormat="1" x14ac:dyDescent="0.25">
      <c r="A143" s="525">
        <v>5642</v>
      </c>
      <c r="B143" s="526" t="s">
        <v>145</v>
      </c>
      <c r="C143" s="454">
        <v>41893624.140000001</v>
      </c>
      <c r="D143" s="454">
        <v>6174159.8399999999</v>
      </c>
      <c r="E143" s="454"/>
      <c r="F143" s="455"/>
      <c r="G143" s="454">
        <v>14572650.5</v>
      </c>
      <c r="H143" s="454">
        <v>404853.55</v>
      </c>
      <c r="I143" s="454">
        <v>784003.89</v>
      </c>
      <c r="J143" s="454">
        <v>1851940.75</v>
      </c>
      <c r="K143" s="454">
        <v>558613.25</v>
      </c>
      <c r="L143" s="454">
        <v>3984145.55</v>
      </c>
      <c r="M143" s="344">
        <f t="shared" si="8"/>
        <v>70223991.469999999</v>
      </c>
      <c r="N143" s="458">
        <v>1929869.5</v>
      </c>
      <c r="O143" s="458">
        <v>3514804.3</v>
      </c>
      <c r="P143" s="458">
        <v>2265533.2999999998</v>
      </c>
      <c r="Q143" s="458">
        <v>220850.25</v>
      </c>
      <c r="R143" s="458">
        <v>2579786.65</v>
      </c>
      <c r="S143" s="454">
        <v>1452206.8</v>
      </c>
      <c r="T143" s="344">
        <f t="shared" si="9"/>
        <v>82187042.269999996</v>
      </c>
      <c r="U143" s="456">
        <v>-623325.84</v>
      </c>
      <c r="V143" s="458"/>
      <c r="W143" s="458">
        <v>-120425.5</v>
      </c>
      <c r="X143" s="462">
        <v>67</v>
      </c>
      <c r="Y143" s="463">
        <v>1</v>
      </c>
      <c r="Z143" s="464">
        <v>17715</v>
      </c>
      <c r="AA143" s="527"/>
      <c r="AB143" s="469">
        <v>857370</v>
      </c>
      <c r="AC143" s="307">
        <f>AB143/VPI!R143</f>
        <v>0.80732435848589879</v>
      </c>
      <c r="AD143" s="309">
        <f t="shared" si="10"/>
        <v>3899617</v>
      </c>
      <c r="AE143" s="307">
        <f>AD143/VPI!R143</f>
        <v>3.6719920137930009</v>
      </c>
      <c r="AF143" s="469">
        <v>4756987</v>
      </c>
      <c r="AG143" s="469">
        <v>6323659</v>
      </c>
      <c r="AH143" s="469">
        <v>107123</v>
      </c>
      <c r="AI143" s="528"/>
      <c r="AJ143" s="464"/>
      <c r="AK143" s="307">
        <f>AJ143/VPI!R143</f>
        <v>0</v>
      </c>
      <c r="AL143" s="309">
        <f t="shared" si="11"/>
        <v>43796</v>
      </c>
      <c r="AM143" s="307">
        <f>AL143/VPI!R143</f>
        <v>4.1239578716596594E-2</v>
      </c>
      <c r="AN143" s="464">
        <v>43796</v>
      </c>
      <c r="AO143" s="528"/>
      <c r="AP143" s="477">
        <v>22.503610901033994</v>
      </c>
      <c r="AQ143" s="456"/>
      <c r="AR143" s="530">
        <v>1</v>
      </c>
      <c r="AT143" s="456"/>
      <c r="AU143" s="456"/>
      <c r="AV143" s="456"/>
      <c r="AW143" s="456"/>
      <c r="AX143" s="456"/>
      <c r="AY143" s="456"/>
      <c r="AZ143" s="456"/>
      <c r="BA143" s="456"/>
      <c r="BB143" s="456"/>
      <c r="BC143" s="456"/>
      <c r="BD143" s="456"/>
      <c r="BE143" s="456"/>
      <c r="BF143" s="456"/>
      <c r="BG143" s="456"/>
      <c r="BH143" s="456"/>
      <c r="BI143" s="456"/>
      <c r="BJ143" s="456"/>
      <c r="BK143" s="456"/>
      <c r="BL143" s="456"/>
      <c r="BM143" s="456"/>
      <c r="BN143" s="456"/>
      <c r="BO143" s="456"/>
      <c r="BP143" s="456"/>
      <c r="BQ143" s="456"/>
      <c r="BR143" s="456"/>
      <c r="BS143" s="456"/>
      <c r="BT143" s="456"/>
      <c r="BU143" s="456"/>
      <c r="BV143" s="456"/>
      <c r="BW143" s="456"/>
      <c r="BX143" s="456"/>
      <c r="BY143" s="456"/>
      <c r="BZ143" s="456"/>
      <c r="CA143" s="456"/>
      <c r="CB143" s="456"/>
      <c r="CC143" s="456"/>
      <c r="CD143" s="456"/>
      <c r="CE143" s="456"/>
      <c r="CF143" s="456"/>
      <c r="CG143" s="456"/>
      <c r="CH143" s="456"/>
      <c r="CI143" s="456"/>
      <c r="CJ143" s="456"/>
      <c r="CK143" s="456"/>
      <c r="CL143" s="456"/>
      <c r="CM143" s="456"/>
      <c r="CN143" s="456"/>
      <c r="CO143" s="456"/>
      <c r="CP143" s="456"/>
      <c r="CQ143" s="456"/>
      <c r="CR143" s="456"/>
      <c r="CS143" s="456"/>
      <c r="CT143" s="456"/>
      <c r="CU143" s="456"/>
      <c r="CV143" s="456"/>
      <c r="CW143" s="456"/>
      <c r="CX143" s="456"/>
      <c r="CY143" s="456"/>
      <c r="CZ143" s="456"/>
      <c r="DA143" s="456"/>
      <c r="DB143" s="456"/>
      <c r="DC143" s="456"/>
      <c r="DD143" s="456"/>
      <c r="DE143" s="456"/>
      <c r="DF143" s="456"/>
      <c r="DG143" s="456"/>
      <c r="DH143" s="456"/>
      <c r="DI143" s="456"/>
      <c r="DJ143" s="456"/>
      <c r="DK143" s="456"/>
      <c r="DL143" s="456"/>
      <c r="DM143" s="456"/>
      <c r="DN143" s="456"/>
      <c r="DO143" s="456"/>
      <c r="DP143" s="456"/>
      <c r="DQ143" s="456"/>
      <c r="DR143" s="456"/>
    </row>
    <row r="144" spans="1:122" x14ac:dyDescent="0.25">
      <c r="A144" s="525">
        <v>5643</v>
      </c>
      <c r="B144" s="526" t="s">
        <v>146</v>
      </c>
      <c r="C144" s="454">
        <v>11613724.810000001</v>
      </c>
      <c r="D144" s="454">
        <v>2475189.2000000002</v>
      </c>
      <c r="E144" s="454"/>
      <c r="F144" s="455"/>
      <c r="G144" s="454">
        <v>575035.19999999995</v>
      </c>
      <c r="H144" s="454">
        <v>52846.6</v>
      </c>
      <c r="I144" s="454">
        <v>379589.83</v>
      </c>
      <c r="J144" s="454">
        <v>303391.63</v>
      </c>
      <c r="K144" s="454">
        <v>84856.15</v>
      </c>
      <c r="L144" s="454">
        <v>1183178.55</v>
      </c>
      <c r="M144" s="344">
        <f t="shared" si="8"/>
        <v>16667811.970000003</v>
      </c>
      <c r="N144" s="458">
        <v>238052.1</v>
      </c>
      <c r="O144" s="458">
        <v>1606263.6</v>
      </c>
      <c r="P144" s="458">
        <v>458879.7</v>
      </c>
      <c r="Q144" s="458">
        <v>20632.07</v>
      </c>
      <c r="R144" s="458">
        <v>555506.6</v>
      </c>
      <c r="S144" s="454">
        <v>60965.75</v>
      </c>
      <c r="T144" s="344">
        <f t="shared" si="9"/>
        <v>19608111.790000007</v>
      </c>
      <c r="U144" s="456">
        <v>-162002.88</v>
      </c>
      <c r="V144" s="458"/>
      <c r="W144" s="458">
        <v>-32986.31</v>
      </c>
      <c r="X144" s="462">
        <v>65</v>
      </c>
      <c r="Y144" s="463">
        <v>1</v>
      </c>
      <c r="Z144" s="464">
        <v>5273</v>
      </c>
      <c r="AA144" s="527"/>
      <c r="AB144" s="469">
        <v>3380</v>
      </c>
      <c r="AC144" s="307">
        <f>AB144/VPI!R144</f>
        <v>1.3271379609625236E-2</v>
      </c>
      <c r="AD144" s="309">
        <f t="shared" si="10"/>
        <v>173512</v>
      </c>
      <c r="AE144" s="307">
        <f>AD144/VPI!R144</f>
        <v>0.68128509432701001</v>
      </c>
      <c r="AF144" s="469">
        <v>176892</v>
      </c>
      <c r="AG144" s="469">
        <v>1331992</v>
      </c>
      <c r="AH144" s="469">
        <v>107043</v>
      </c>
      <c r="AI144" s="528"/>
      <c r="AJ144" s="464"/>
      <c r="AK144" s="307">
        <f>AJ144/VPI!R144</f>
        <v>0</v>
      </c>
      <c r="AL144" s="309">
        <f t="shared" si="11"/>
        <v>8416</v>
      </c>
      <c r="AM144" s="307">
        <f>AL144/VPI!R144</f>
        <v>3.3044949939232536E-2</v>
      </c>
      <c r="AN144" s="464">
        <v>8416</v>
      </c>
      <c r="AO144" s="528"/>
      <c r="AP144" s="477">
        <v>21.935920807015393</v>
      </c>
      <c r="AR144" s="530">
        <v>1</v>
      </c>
    </row>
    <row r="145" spans="1:44" x14ac:dyDescent="0.25">
      <c r="A145" s="525">
        <v>5645</v>
      </c>
      <c r="B145" s="526" t="s">
        <v>262</v>
      </c>
      <c r="C145" s="454">
        <v>1032189.42</v>
      </c>
      <c r="D145" s="454">
        <v>179562.29</v>
      </c>
      <c r="E145" s="454"/>
      <c r="F145" s="455"/>
      <c r="G145" s="454">
        <v>137472.20000000001</v>
      </c>
      <c r="H145" s="454">
        <v>27914.3</v>
      </c>
      <c r="I145" s="454"/>
      <c r="J145" s="454">
        <v>29681.03</v>
      </c>
      <c r="K145" s="454">
        <v>22293</v>
      </c>
      <c r="L145" s="454">
        <v>165921.60000000001</v>
      </c>
      <c r="M145" s="344">
        <f t="shared" si="8"/>
        <v>1595033.84</v>
      </c>
      <c r="N145" s="458">
        <v>85593.2</v>
      </c>
      <c r="O145" s="458">
        <v>24272.5</v>
      </c>
      <c r="P145" s="458">
        <v>65907.75</v>
      </c>
      <c r="Q145" s="458">
        <v>981.23</v>
      </c>
      <c r="R145" s="458">
        <v>17589</v>
      </c>
      <c r="S145" s="454">
        <v>16058.62</v>
      </c>
      <c r="T145" s="344">
        <f t="shared" si="9"/>
        <v>1805436.1400000001</v>
      </c>
      <c r="U145" s="456">
        <v>-23955.19</v>
      </c>
      <c r="V145" s="458"/>
      <c r="W145" s="458">
        <v>-2830.48</v>
      </c>
      <c r="X145" s="462">
        <v>56</v>
      </c>
      <c r="Y145" s="463">
        <v>1</v>
      </c>
      <c r="Z145" s="464">
        <v>454</v>
      </c>
      <c r="AA145" s="527"/>
      <c r="AB145" s="469">
        <v>28223</v>
      </c>
      <c r="AC145" s="307">
        <f>AB145/VPI!R145</f>
        <v>0.99697214642421872</v>
      </c>
      <c r="AD145" s="309">
        <f t="shared" si="10"/>
        <v>60770</v>
      </c>
      <c r="AE145" s="307">
        <f>AD145/VPI!R145</f>
        <v>2.1466887764659948</v>
      </c>
      <c r="AF145" s="469">
        <v>88993</v>
      </c>
      <c r="AG145" s="469">
        <v>30923</v>
      </c>
      <c r="AH145" s="469">
        <v>38905</v>
      </c>
      <c r="AI145" s="528"/>
      <c r="AJ145" s="464"/>
      <c r="AK145" s="307">
        <f>AJ145/VPI!R145</f>
        <v>0</v>
      </c>
      <c r="AL145" s="309">
        <f t="shared" si="11"/>
        <v>5991</v>
      </c>
      <c r="AM145" s="307">
        <f>AL145/VPI!R145</f>
        <v>0.21163094388362308</v>
      </c>
      <c r="AN145" s="464">
        <v>5991</v>
      </c>
      <c r="AO145" s="528"/>
      <c r="AP145" s="477">
        <v>30.307581065727511</v>
      </c>
      <c r="AR145" s="530">
        <v>0</v>
      </c>
    </row>
    <row r="146" spans="1:44" x14ac:dyDescent="0.25">
      <c r="A146" s="525">
        <v>5646</v>
      </c>
      <c r="B146" s="526" t="s">
        <v>263</v>
      </c>
      <c r="C146" s="454">
        <v>13673030.1</v>
      </c>
      <c r="D146" s="454">
        <v>3330999.02</v>
      </c>
      <c r="E146" s="454"/>
      <c r="F146" s="455"/>
      <c r="G146" s="454">
        <v>2059685.4</v>
      </c>
      <c r="H146" s="454">
        <v>4972169.5999999996</v>
      </c>
      <c r="I146" s="454">
        <v>616588.51</v>
      </c>
      <c r="J146" s="454">
        <v>616636.19999999995</v>
      </c>
      <c r="K146" s="454">
        <v>75821.05</v>
      </c>
      <c r="L146" s="454">
        <v>2161833.35</v>
      </c>
      <c r="M146" s="344">
        <f t="shared" si="8"/>
        <v>27506763.23</v>
      </c>
      <c r="N146" s="458">
        <v>649084.35</v>
      </c>
      <c r="O146" s="458">
        <v>408666.5</v>
      </c>
      <c r="P146" s="458">
        <v>741233.6</v>
      </c>
      <c r="Q146" s="458">
        <v>18754.23</v>
      </c>
      <c r="R146" s="458">
        <v>511886</v>
      </c>
      <c r="S146" s="454">
        <v>682775.05</v>
      </c>
      <c r="T146" s="344">
        <f t="shared" si="9"/>
        <v>30519162.960000005</v>
      </c>
      <c r="U146" s="456">
        <v>-253692.95</v>
      </c>
      <c r="V146" s="458"/>
      <c r="W146" s="458">
        <v>-112171.63</v>
      </c>
      <c r="X146" s="462">
        <v>59</v>
      </c>
      <c r="Y146" s="463">
        <v>1.2</v>
      </c>
      <c r="Z146" s="464">
        <v>5868</v>
      </c>
      <c r="AA146" s="527"/>
      <c r="AB146" s="469"/>
      <c r="AC146" s="307">
        <f>AB146/VPI!R146</f>
        <v>0</v>
      </c>
      <c r="AD146" s="309">
        <f t="shared" si="10"/>
        <v>0</v>
      </c>
      <c r="AE146" s="307">
        <f>AD146/VPI!R146</f>
        <v>0</v>
      </c>
      <c r="AF146" s="469"/>
      <c r="AG146" s="469"/>
      <c r="AH146" s="469"/>
      <c r="AI146" s="528"/>
      <c r="AJ146" s="464"/>
      <c r="AK146" s="307">
        <f>AJ146/VPI!R146</f>
        <v>0</v>
      </c>
      <c r="AL146" s="309">
        <f t="shared" si="11"/>
        <v>0</v>
      </c>
      <c r="AM146" s="307">
        <f>AL146/VPI!R146</f>
        <v>0</v>
      </c>
      <c r="AN146" s="464"/>
      <c r="AO146" s="528"/>
      <c r="AP146" s="477">
        <v>34.209075754740432</v>
      </c>
      <c r="AR146" s="530">
        <v>1</v>
      </c>
    </row>
    <row r="147" spans="1:44" x14ac:dyDescent="0.25">
      <c r="A147" s="525">
        <v>5648</v>
      </c>
      <c r="B147" s="526" t="s">
        <v>264</v>
      </c>
      <c r="C147" s="454">
        <v>16109908.109999999</v>
      </c>
      <c r="D147" s="454">
        <v>4049354.36</v>
      </c>
      <c r="E147" s="454"/>
      <c r="F147" s="455"/>
      <c r="G147" s="454">
        <v>645198.55000000005</v>
      </c>
      <c r="H147" s="454">
        <v>120545.7</v>
      </c>
      <c r="I147" s="454">
        <v>200450.09</v>
      </c>
      <c r="J147" s="454">
        <v>522049</v>
      </c>
      <c r="K147" s="454">
        <v>197240.75</v>
      </c>
      <c r="L147" s="454">
        <v>1472095.11</v>
      </c>
      <c r="M147" s="344">
        <f t="shared" si="8"/>
        <v>23316841.669999998</v>
      </c>
      <c r="N147" s="458">
        <v>97070.399999999994</v>
      </c>
      <c r="O147" s="458">
        <v>249387.3</v>
      </c>
      <c r="P147" s="458">
        <v>676617.7</v>
      </c>
      <c r="Q147" s="458">
        <v>9006.44</v>
      </c>
      <c r="R147" s="458">
        <v>1131563</v>
      </c>
      <c r="S147" s="454">
        <v>74351.850000000006</v>
      </c>
      <c r="T147" s="344">
        <f t="shared" si="9"/>
        <v>25554838.359999999</v>
      </c>
      <c r="U147" s="456">
        <v>-313611.81</v>
      </c>
      <c r="V147" s="458"/>
      <c r="W147" s="458">
        <v>-86160.14</v>
      </c>
      <c r="X147" s="462">
        <v>55</v>
      </c>
      <c r="Y147" s="463">
        <v>0.8</v>
      </c>
      <c r="Z147" s="464">
        <v>5157</v>
      </c>
      <c r="AA147" s="527"/>
      <c r="AB147" s="469">
        <v>516002</v>
      </c>
      <c r="AC147" s="307">
        <f>AB147/VPI!R147</f>
        <v>1.2144625693680222</v>
      </c>
      <c r="AD147" s="309">
        <f t="shared" si="10"/>
        <v>465437</v>
      </c>
      <c r="AE147" s="307">
        <f>AD147/VPI!R147</f>
        <v>1.0954527596771797</v>
      </c>
      <c r="AF147" s="469">
        <v>981439</v>
      </c>
      <c r="AG147" s="469">
        <v>2271567</v>
      </c>
      <c r="AH147" s="469">
        <v>73444</v>
      </c>
      <c r="AI147" s="528"/>
      <c r="AJ147" s="464"/>
      <c r="AK147" s="307">
        <f>AJ147/VPI!R147</f>
        <v>0</v>
      </c>
      <c r="AL147" s="309">
        <f t="shared" si="11"/>
        <v>44137</v>
      </c>
      <c r="AM147" s="307">
        <f>AL147/VPI!R147</f>
        <v>0.10388086562493246</v>
      </c>
      <c r="AN147" s="464">
        <v>44137</v>
      </c>
      <c r="AO147" s="528"/>
      <c r="AP147" s="477">
        <v>31.148753456916502</v>
      </c>
      <c r="AR147" s="530">
        <v>1</v>
      </c>
    </row>
    <row r="148" spans="1:44" x14ac:dyDescent="0.25">
      <c r="A148" s="525">
        <v>5649</v>
      </c>
      <c r="B148" s="526" t="s">
        <v>265</v>
      </c>
      <c r="C148" s="454">
        <v>4625396.22</v>
      </c>
      <c r="D148" s="454">
        <v>199120.72</v>
      </c>
      <c r="E148" s="454"/>
      <c r="F148" s="455"/>
      <c r="G148" s="454">
        <v>19557975.649999999</v>
      </c>
      <c r="H148" s="454">
        <v>215196.2</v>
      </c>
      <c r="I148" s="454"/>
      <c r="J148" s="454">
        <v>510061.44</v>
      </c>
      <c r="K148" s="454">
        <v>78106.100000000006</v>
      </c>
      <c r="L148" s="454">
        <v>603710.65</v>
      </c>
      <c r="M148" s="344">
        <f t="shared" si="8"/>
        <v>25789566.979999997</v>
      </c>
      <c r="N148" s="458">
        <v>276035.34999999998</v>
      </c>
      <c r="O148" s="458">
        <v>89818.7</v>
      </c>
      <c r="P148" s="458">
        <v>158494.75</v>
      </c>
      <c r="Q148" s="458">
        <v>11111.34</v>
      </c>
      <c r="R148" s="458">
        <v>331261.95</v>
      </c>
      <c r="S148" s="454">
        <v>1919925.53</v>
      </c>
      <c r="T148" s="344">
        <f t="shared" si="9"/>
        <v>28576214.599999998</v>
      </c>
      <c r="U148" s="456">
        <v>-70671.37</v>
      </c>
      <c r="V148" s="458"/>
      <c r="W148" s="458">
        <v>-3440.5</v>
      </c>
      <c r="X148" s="462">
        <v>64</v>
      </c>
      <c r="Y148" s="463">
        <v>1</v>
      </c>
      <c r="Z148" s="464">
        <v>1934</v>
      </c>
      <c r="AA148" s="527"/>
      <c r="AB148" s="469"/>
      <c r="AC148" s="307">
        <f>AB148/VPI!R148</f>
        <v>0</v>
      </c>
      <c r="AD148" s="309">
        <f t="shared" si="10"/>
        <v>0</v>
      </c>
      <c r="AE148" s="307">
        <f>AD148/VPI!R148</f>
        <v>0</v>
      </c>
      <c r="AF148" s="469"/>
      <c r="AG148" s="469"/>
      <c r="AH148" s="469"/>
      <c r="AI148" s="528"/>
      <c r="AJ148" s="464"/>
      <c r="AK148" s="307">
        <f>AJ148/VPI!R148</f>
        <v>0</v>
      </c>
      <c r="AL148" s="309">
        <f t="shared" si="11"/>
        <v>0</v>
      </c>
      <c r="AM148" s="307">
        <f>AL148/VPI!R148</f>
        <v>0</v>
      </c>
      <c r="AN148" s="464"/>
      <c r="AO148" s="528"/>
      <c r="AP148" s="477">
        <v>46.61225223421669</v>
      </c>
      <c r="AR148" s="530">
        <v>1</v>
      </c>
    </row>
    <row r="149" spans="1:44" x14ac:dyDescent="0.25">
      <c r="A149" s="533">
        <v>5650</v>
      </c>
      <c r="B149" s="526" t="s">
        <v>266</v>
      </c>
      <c r="C149" s="454">
        <v>2372261</v>
      </c>
      <c r="D149" s="454">
        <v>4111686.95</v>
      </c>
      <c r="E149" s="454"/>
      <c r="F149" s="455"/>
      <c r="G149" s="454">
        <v>2246.8000000000002</v>
      </c>
      <c r="H149" s="454">
        <v>319.8</v>
      </c>
      <c r="I149" s="454"/>
      <c r="J149" s="454">
        <v>-1496.06</v>
      </c>
      <c r="K149" s="454"/>
      <c r="L149" s="454">
        <v>58064</v>
      </c>
      <c r="M149" s="344">
        <f t="shared" si="8"/>
        <v>6543082.4900000002</v>
      </c>
      <c r="N149" s="458">
        <v>230.65</v>
      </c>
      <c r="O149" s="458"/>
      <c r="P149" s="458">
        <v>19112.5</v>
      </c>
      <c r="Q149" s="458"/>
      <c r="R149" s="458">
        <v>18664.150000000001</v>
      </c>
      <c r="S149" s="454">
        <v>249.21</v>
      </c>
      <c r="T149" s="344">
        <f t="shared" si="9"/>
        <v>6581339.0000000009</v>
      </c>
      <c r="U149" s="456">
        <v>-215.07</v>
      </c>
      <c r="V149" s="458"/>
      <c r="W149" s="458">
        <v>-4868.8500000000004</v>
      </c>
      <c r="X149" s="462">
        <v>56</v>
      </c>
      <c r="Y149" s="463">
        <v>1.25</v>
      </c>
      <c r="Z149" s="464">
        <v>185</v>
      </c>
      <c r="AA149" s="527"/>
      <c r="AB149" s="469"/>
      <c r="AC149" s="307">
        <f>AB149/VPI!R149</f>
        <v>0</v>
      </c>
      <c r="AD149" s="309">
        <f t="shared" si="10"/>
        <v>0</v>
      </c>
      <c r="AE149" s="307">
        <f>AD149/VPI!R149</f>
        <v>0</v>
      </c>
      <c r="AF149" s="469"/>
      <c r="AG149" s="469"/>
      <c r="AH149" s="469"/>
      <c r="AI149" s="528"/>
      <c r="AJ149" s="464"/>
      <c r="AK149" s="307">
        <f>AJ149/VPI!R149</f>
        <v>0</v>
      </c>
      <c r="AL149" s="309">
        <f t="shared" si="11"/>
        <v>0</v>
      </c>
      <c r="AM149" s="307">
        <f>AL149/VPI!R149</f>
        <v>0</v>
      </c>
      <c r="AN149" s="464"/>
      <c r="AO149" s="528"/>
      <c r="AP149" s="477">
        <v>59.092240340432852</v>
      </c>
      <c r="AR149" s="530">
        <v>0</v>
      </c>
    </row>
    <row r="150" spans="1:44" x14ac:dyDescent="0.25">
      <c r="A150" s="525">
        <v>5651</v>
      </c>
      <c r="B150" s="526" t="s">
        <v>267</v>
      </c>
      <c r="C150" s="454">
        <v>1937570.99</v>
      </c>
      <c r="D150" s="454">
        <v>344649.03</v>
      </c>
      <c r="E150" s="454"/>
      <c r="F150" s="455"/>
      <c r="G150" s="454">
        <v>1009519.8</v>
      </c>
      <c r="H150" s="454">
        <v>846.8</v>
      </c>
      <c r="I150" s="454"/>
      <c r="J150" s="454">
        <v>20193.48</v>
      </c>
      <c r="K150" s="454">
        <v>44565.4</v>
      </c>
      <c r="L150" s="454">
        <v>392515.1</v>
      </c>
      <c r="M150" s="344">
        <f t="shared" si="8"/>
        <v>3749860.6</v>
      </c>
      <c r="N150" s="458">
        <v>287281.55</v>
      </c>
      <c r="O150" s="458">
        <v>11051.2</v>
      </c>
      <c r="P150" s="458">
        <v>144240.85</v>
      </c>
      <c r="Q150" s="458">
        <v>6600.52</v>
      </c>
      <c r="R150" s="458">
        <v>116693.7</v>
      </c>
      <c r="S150" s="454">
        <v>98105.44</v>
      </c>
      <c r="T150" s="344">
        <f t="shared" si="9"/>
        <v>4413833.8600000003</v>
      </c>
      <c r="U150" s="456">
        <v>-60795.19</v>
      </c>
      <c r="V150" s="458"/>
      <c r="W150" s="458">
        <v>-1279.4000000000001</v>
      </c>
      <c r="X150" s="462">
        <v>60.5</v>
      </c>
      <c r="Y150" s="463">
        <v>1</v>
      </c>
      <c r="Z150" s="464">
        <v>955</v>
      </c>
      <c r="AA150" s="527"/>
      <c r="AB150" s="469">
        <v>18802</v>
      </c>
      <c r="AC150" s="307">
        <f>AB150/VPI!R150</f>
        <v>0.29994025274099656</v>
      </c>
      <c r="AD150" s="309">
        <f t="shared" si="10"/>
        <v>118333</v>
      </c>
      <c r="AE150" s="307">
        <f>AD150/VPI!R150</f>
        <v>1.8877156646952635</v>
      </c>
      <c r="AF150" s="469">
        <v>137135</v>
      </c>
      <c r="AG150" s="469">
        <v>351761</v>
      </c>
      <c r="AH150" s="469">
        <v>31260</v>
      </c>
      <c r="AI150" s="528"/>
      <c r="AJ150" s="464"/>
      <c r="AK150" s="307">
        <f>AJ150/VPI!R150</f>
        <v>0</v>
      </c>
      <c r="AL150" s="309">
        <f t="shared" si="11"/>
        <v>23892</v>
      </c>
      <c r="AM150" s="307">
        <f>AL150/VPI!R150</f>
        <v>0.38113884259588821</v>
      </c>
      <c r="AN150" s="464">
        <v>23892</v>
      </c>
      <c r="AO150" s="528"/>
      <c r="AP150" s="477">
        <v>31.549441592257047</v>
      </c>
      <c r="AR150" s="530">
        <v>1</v>
      </c>
    </row>
    <row r="151" spans="1:44" x14ac:dyDescent="0.25">
      <c r="A151" s="525">
        <v>5652</v>
      </c>
      <c r="B151" s="526" t="s">
        <v>178</v>
      </c>
      <c r="C151" s="454">
        <v>1588717.14</v>
      </c>
      <c r="D151" s="454">
        <v>284078.37</v>
      </c>
      <c r="E151" s="454"/>
      <c r="F151" s="455"/>
      <c r="G151" s="454">
        <v>37184.75</v>
      </c>
      <c r="H151" s="454">
        <v>1395.05</v>
      </c>
      <c r="I151" s="454"/>
      <c r="J151" s="454">
        <v>7952.77</v>
      </c>
      <c r="K151" s="454">
        <v>1419.15</v>
      </c>
      <c r="L151" s="454">
        <v>145267.9</v>
      </c>
      <c r="M151" s="344">
        <f t="shared" si="8"/>
        <v>2066015.1299999997</v>
      </c>
      <c r="N151" s="458">
        <v>1364.05</v>
      </c>
      <c r="O151" s="458">
        <v>229759.7</v>
      </c>
      <c r="P151" s="458">
        <v>87138.9</v>
      </c>
      <c r="Q151" s="458"/>
      <c r="R151" s="458">
        <v>24380.85</v>
      </c>
      <c r="S151" s="454">
        <v>3746</v>
      </c>
      <c r="T151" s="344">
        <f t="shared" si="9"/>
        <v>2412404.63</v>
      </c>
      <c r="U151" s="456">
        <v>-21015.65</v>
      </c>
      <c r="V151" s="458"/>
      <c r="W151" s="458">
        <v>-1563.9</v>
      </c>
      <c r="X151" s="462">
        <v>74</v>
      </c>
      <c r="Y151" s="463">
        <v>1.2</v>
      </c>
      <c r="Z151" s="464">
        <v>602</v>
      </c>
      <c r="AA151" s="527"/>
      <c r="AB151" s="469">
        <v>8897</v>
      </c>
      <c r="AC151" s="307">
        <f>AB151/VPI!R151</f>
        <v>0.32545115068333375</v>
      </c>
      <c r="AD151" s="309">
        <f t="shared" si="10"/>
        <v>273879</v>
      </c>
      <c r="AE151" s="307">
        <f>AD151/VPI!R151</f>
        <v>10.018459671574774</v>
      </c>
      <c r="AF151" s="469">
        <v>282776</v>
      </c>
      <c r="AG151" s="469">
        <v>54351</v>
      </c>
      <c r="AH151" s="469">
        <v>76626</v>
      </c>
      <c r="AI151" s="528"/>
      <c r="AJ151" s="464"/>
      <c r="AK151" s="307">
        <f>AJ151/VPI!R151</f>
        <v>0</v>
      </c>
      <c r="AL151" s="309">
        <f t="shared" si="11"/>
        <v>6737</v>
      </c>
      <c r="AM151" s="307">
        <f>AL151/VPI!R151</f>
        <v>0.2464386200015308</v>
      </c>
      <c r="AN151" s="464">
        <v>6737</v>
      </c>
      <c r="AO151" s="528"/>
      <c r="AP151" s="477">
        <v>27.297323095545721</v>
      </c>
      <c r="AR151" s="530">
        <v>0</v>
      </c>
    </row>
    <row r="152" spans="1:44" x14ac:dyDescent="0.25">
      <c r="A152" s="525">
        <v>5653</v>
      </c>
      <c r="B152" s="526" t="s">
        <v>179</v>
      </c>
      <c r="C152" s="454">
        <v>3249687.08</v>
      </c>
      <c r="D152" s="454">
        <v>983690.04</v>
      </c>
      <c r="E152" s="454"/>
      <c r="F152" s="455"/>
      <c r="G152" s="454">
        <v>7426.5</v>
      </c>
      <c r="H152" s="454">
        <v>-1392.7</v>
      </c>
      <c r="I152" s="454">
        <v>134403.9</v>
      </c>
      <c r="J152" s="454">
        <v>19540.990000000002</v>
      </c>
      <c r="K152" s="454">
        <v>3354.4</v>
      </c>
      <c r="L152" s="454">
        <v>218847.7</v>
      </c>
      <c r="M152" s="344">
        <f t="shared" si="8"/>
        <v>4615557.9100000011</v>
      </c>
      <c r="N152" s="458">
        <v>1912.6</v>
      </c>
      <c r="O152" s="458">
        <v>1782</v>
      </c>
      <c r="P152" s="458">
        <v>215656.1</v>
      </c>
      <c r="Q152" s="458">
        <v>1076.05</v>
      </c>
      <c r="R152" s="458">
        <v>145267.65</v>
      </c>
      <c r="S152" s="454">
        <v>585.87</v>
      </c>
      <c r="T152" s="344">
        <f t="shared" si="9"/>
        <v>4981838.1800000006</v>
      </c>
      <c r="U152" s="456">
        <v>-6209.28</v>
      </c>
      <c r="V152" s="458"/>
      <c r="W152" s="458">
        <v>-53946.7</v>
      </c>
      <c r="X152" s="462">
        <v>60.5</v>
      </c>
      <c r="Y152" s="463">
        <v>0.8</v>
      </c>
      <c r="Z152" s="464">
        <v>838</v>
      </c>
      <c r="AA152" s="527"/>
      <c r="AB152" s="469"/>
      <c r="AC152" s="307">
        <f>AB152/VPI!R152</f>
        <v>0</v>
      </c>
      <c r="AD152" s="309">
        <f t="shared" si="10"/>
        <v>0</v>
      </c>
      <c r="AE152" s="307">
        <f>AD152/VPI!R152</f>
        <v>0</v>
      </c>
      <c r="AF152" s="469"/>
      <c r="AG152" s="469"/>
      <c r="AH152" s="469"/>
      <c r="AI152" s="528"/>
      <c r="AJ152" s="464"/>
      <c r="AK152" s="307">
        <f>AJ152/VPI!R152</f>
        <v>0</v>
      </c>
      <c r="AL152" s="309">
        <f t="shared" si="11"/>
        <v>0</v>
      </c>
      <c r="AM152" s="307">
        <f>AL152/VPI!R152</f>
        <v>0</v>
      </c>
      <c r="AN152" s="464"/>
      <c r="AO152" s="528"/>
      <c r="AP152" s="477">
        <v>34.841900819245524</v>
      </c>
      <c r="AR152" s="530">
        <v>0</v>
      </c>
    </row>
    <row r="153" spans="1:44" x14ac:dyDescent="0.25">
      <c r="A153" s="525">
        <v>5654</v>
      </c>
      <c r="B153" s="526" t="s">
        <v>180</v>
      </c>
      <c r="C153" s="454">
        <v>1299477.26</v>
      </c>
      <c r="D153" s="454">
        <v>293205.63</v>
      </c>
      <c r="E153" s="454"/>
      <c r="F153" s="455"/>
      <c r="G153" s="454">
        <v>23003</v>
      </c>
      <c r="H153" s="454">
        <v>276.64999999999998</v>
      </c>
      <c r="I153" s="454"/>
      <c r="J153" s="454">
        <v>14851.54</v>
      </c>
      <c r="K153" s="454">
        <v>1902.5</v>
      </c>
      <c r="L153" s="454">
        <v>119734.1</v>
      </c>
      <c r="M153" s="344">
        <f t="shared" si="8"/>
        <v>1752450.6800000002</v>
      </c>
      <c r="N153" s="458">
        <v>6294.85</v>
      </c>
      <c r="O153" s="458"/>
      <c r="P153" s="458">
        <v>42575.65</v>
      </c>
      <c r="Q153" s="458">
        <v>1714.61</v>
      </c>
      <c r="R153" s="458">
        <v>85570.2</v>
      </c>
      <c r="S153" s="454">
        <v>2260.4</v>
      </c>
      <c r="T153" s="344">
        <f t="shared" si="9"/>
        <v>1890866.3900000001</v>
      </c>
      <c r="U153" s="456">
        <v>-2452.8200000000002</v>
      </c>
      <c r="V153" s="458"/>
      <c r="W153" s="458">
        <v>-286.89999999999998</v>
      </c>
      <c r="X153" s="462">
        <v>76</v>
      </c>
      <c r="Y153" s="463">
        <v>1</v>
      </c>
      <c r="Z153" s="464">
        <v>548</v>
      </c>
      <c r="AA153" s="527"/>
      <c r="AB153" s="469">
        <v>15783</v>
      </c>
      <c r="AC153" s="307">
        <f>AB153/VPI!R153</f>
        <v>0.68399247101235561</v>
      </c>
      <c r="AD153" s="309">
        <f t="shared" si="10"/>
        <v>303292</v>
      </c>
      <c r="AE153" s="307">
        <f>AD153/VPI!R153</f>
        <v>13.14385379954884</v>
      </c>
      <c r="AF153" s="469">
        <v>319075</v>
      </c>
      <c r="AG153" s="469">
        <v>38219</v>
      </c>
      <c r="AH153" s="469">
        <v>87781</v>
      </c>
      <c r="AI153" s="528"/>
      <c r="AJ153" s="464"/>
      <c r="AK153" s="307">
        <f>AJ153/VPI!R153</f>
        <v>0</v>
      </c>
      <c r="AL153" s="309">
        <f t="shared" si="11"/>
        <v>20967</v>
      </c>
      <c r="AM153" s="307">
        <f>AL153/VPI!R153</f>
        <v>0.90865298990787935</v>
      </c>
      <c r="AN153" s="464">
        <v>20967</v>
      </c>
      <c r="AO153" s="528"/>
      <c r="AP153" s="477">
        <v>20.763848977217442</v>
      </c>
      <c r="AR153" s="530">
        <v>0</v>
      </c>
    </row>
    <row r="154" spans="1:44" x14ac:dyDescent="0.25">
      <c r="A154" s="525">
        <v>5655</v>
      </c>
      <c r="B154" s="526" t="s">
        <v>181</v>
      </c>
      <c r="C154" s="454">
        <v>5325493.59</v>
      </c>
      <c r="D154" s="454">
        <v>1036758.38</v>
      </c>
      <c r="E154" s="454"/>
      <c r="F154" s="455"/>
      <c r="G154" s="454">
        <v>81065.5</v>
      </c>
      <c r="H154" s="454">
        <v>3934.9</v>
      </c>
      <c r="I154" s="454">
        <v>81684.5</v>
      </c>
      <c r="J154" s="454">
        <v>49412.46</v>
      </c>
      <c r="K154" s="454">
        <v>226.95</v>
      </c>
      <c r="L154" s="454">
        <v>454328.75</v>
      </c>
      <c r="M154" s="344">
        <f t="shared" si="8"/>
        <v>7032905.0300000003</v>
      </c>
      <c r="N154" s="458">
        <v>89065.25</v>
      </c>
      <c r="O154" s="458">
        <v>40834.199999999997</v>
      </c>
      <c r="P154" s="458">
        <v>249588</v>
      </c>
      <c r="Q154" s="458">
        <v>10191.64</v>
      </c>
      <c r="R154" s="458">
        <v>363607.9</v>
      </c>
      <c r="S154" s="454">
        <v>8253.33</v>
      </c>
      <c r="T154" s="344">
        <f t="shared" si="9"/>
        <v>7794445.3500000006</v>
      </c>
      <c r="U154" s="456">
        <v>-40185.379999999997</v>
      </c>
      <c r="V154" s="458"/>
      <c r="W154" s="458">
        <v>-15995.6</v>
      </c>
      <c r="X154" s="462">
        <v>70</v>
      </c>
      <c r="Y154" s="463">
        <v>1</v>
      </c>
      <c r="Z154" s="464">
        <v>1502</v>
      </c>
      <c r="AA154" s="527"/>
      <c r="AB154" s="469"/>
      <c r="AC154" s="307">
        <f>AB154/VPI!R154</f>
        <v>0</v>
      </c>
      <c r="AD154" s="309">
        <f t="shared" si="10"/>
        <v>0</v>
      </c>
      <c r="AE154" s="307">
        <f>AD154/VPI!R154</f>
        <v>0</v>
      </c>
      <c r="AF154" s="469"/>
      <c r="AG154" s="469"/>
      <c r="AH154" s="469"/>
      <c r="AI154" s="534"/>
      <c r="AJ154" s="464"/>
      <c r="AK154" s="307">
        <f>AJ154/VPI!R154</f>
        <v>0</v>
      </c>
      <c r="AL154" s="309">
        <f t="shared" si="11"/>
        <v>0</v>
      </c>
      <c r="AM154" s="307">
        <f>AL154/VPI!R154</f>
        <v>0</v>
      </c>
      <c r="AN154" s="464"/>
      <c r="AO154" s="534"/>
      <c r="AP154" s="477">
        <v>28.470011514051194</v>
      </c>
      <c r="AR154" s="530">
        <v>0</v>
      </c>
    </row>
    <row r="155" spans="1:44" x14ac:dyDescent="0.25">
      <c r="A155" s="525">
        <v>5656</v>
      </c>
      <c r="B155" s="526" t="s">
        <v>393</v>
      </c>
      <c r="C155" s="454">
        <v>9022994.2300000004</v>
      </c>
      <c r="D155" s="454">
        <v>1444519.82</v>
      </c>
      <c r="E155" s="454"/>
      <c r="F155" s="455"/>
      <c r="G155" s="454">
        <v>234562.05</v>
      </c>
      <c r="H155" s="454">
        <v>175520.25</v>
      </c>
      <c r="I155" s="454">
        <v>220262.15</v>
      </c>
      <c r="J155" s="454">
        <v>263072.17</v>
      </c>
      <c r="K155" s="454">
        <v>29329.75</v>
      </c>
      <c r="L155" s="454">
        <v>930796.5</v>
      </c>
      <c r="M155" s="344">
        <f t="shared" si="8"/>
        <v>12321056.920000002</v>
      </c>
      <c r="N155" s="454">
        <v>88449.4</v>
      </c>
      <c r="O155" s="454">
        <v>165098.6</v>
      </c>
      <c r="P155" s="454">
        <v>298144.55</v>
      </c>
      <c r="Q155" s="454">
        <v>85170.59</v>
      </c>
      <c r="R155" s="454">
        <v>413861.45</v>
      </c>
      <c r="S155" s="454">
        <v>39817.97</v>
      </c>
      <c r="T155" s="344">
        <f t="shared" si="9"/>
        <v>13411599.480000002</v>
      </c>
      <c r="U155" s="454">
        <v>-90353.99</v>
      </c>
      <c r="V155" s="454"/>
      <c r="W155" s="454">
        <v>-10940.09</v>
      </c>
      <c r="X155" s="454">
        <v>71</v>
      </c>
      <c r="Y155" s="465">
        <v>1</v>
      </c>
      <c r="Z155" s="464">
        <v>4387</v>
      </c>
      <c r="AA155" s="531"/>
      <c r="AB155" s="470">
        <v>230291</v>
      </c>
      <c r="AC155" s="307">
        <f>AB155/VPI!R155</f>
        <v>1.3245030596565921</v>
      </c>
      <c r="AD155" s="309">
        <f t="shared" si="10"/>
        <v>1713948</v>
      </c>
      <c r="AE155" s="307">
        <f>AD155/VPI!R155</f>
        <v>9.8576556187271613</v>
      </c>
      <c r="AF155" s="470">
        <v>1944239</v>
      </c>
      <c r="AG155" s="470">
        <v>484492</v>
      </c>
      <c r="AH155" s="470">
        <v>687221</v>
      </c>
      <c r="AI155" s="531"/>
      <c r="AJ155" s="454"/>
      <c r="AK155" s="307">
        <f>AJ155/VPI!R155</f>
        <v>0</v>
      </c>
      <c r="AL155" s="309">
        <f t="shared" si="11"/>
        <v>248438</v>
      </c>
      <c r="AM155" s="307">
        <f>AL155/VPI!R155</f>
        <v>1.4288742987566359</v>
      </c>
      <c r="AN155" s="470">
        <v>248438</v>
      </c>
      <c r="AO155" s="531"/>
      <c r="AP155" s="477">
        <v>15.808570133988869</v>
      </c>
      <c r="AQ155" s="454"/>
      <c r="AR155" s="530">
        <v>0</v>
      </c>
    </row>
    <row r="156" spans="1:44" x14ac:dyDescent="0.25">
      <c r="A156" s="525">
        <v>5661</v>
      </c>
      <c r="B156" s="526" t="s">
        <v>182</v>
      </c>
      <c r="C156" s="454">
        <v>613125.71</v>
      </c>
      <c r="D156" s="454">
        <v>52080.02</v>
      </c>
      <c r="E156" s="454"/>
      <c r="F156" s="455"/>
      <c r="G156" s="454">
        <v>-797.2</v>
      </c>
      <c r="H156" s="454">
        <v>79.400000000000006</v>
      </c>
      <c r="I156" s="454"/>
      <c r="J156" s="454">
        <v>2760.69</v>
      </c>
      <c r="K156" s="454">
        <v>555</v>
      </c>
      <c r="L156" s="454">
        <v>64029.4</v>
      </c>
      <c r="M156" s="344">
        <f t="shared" si="8"/>
        <v>731833.02</v>
      </c>
      <c r="N156" s="458">
        <v>15880.3</v>
      </c>
      <c r="O156" s="458"/>
      <c r="P156" s="458">
        <v>44454.400000000001</v>
      </c>
      <c r="Q156" s="458"/>
      <c r="R156" s="458">
        <v>10967.95</v>
      </c>
      <c r="S156" s="454">
        <v>-69.7</v>
      </c>
      <c r="T156" s="344">
        <f t="shared" si="9"/>
        <v>803065.97000000009</v>
      </c>
      <c r="U156" s="456">
        <v>-11685.16</v>
      </c>
      <c r="V156" s="458"/>
      <c r="W156" s="458">
        <v>-13.15</v>
      </c>
      <c r="X156" s="462">
        <v>71.5</v>
      </c>
      <c r="Y156" s="463">
        <v>1</v>
      </c>
      <c r="Z156" s="464">
        <v>368</v>
      </c>
      <c r="AA156" s="527"/>
      <c r="AB156" s="469">
        <v>2246</v>
      </c>
      <c r="AC156" s="307">
        <f>AB156/VPI!R156</f>
        <v>0.22302014091755412</v>
      </c>
      <c r="AD156" s="309">
        <f t="shared" si="10"/>
        <v>27125</v>
      </c>
      <c r="AE156" s="307">
        <f>AD156/VPI!R156</f>
        <v>2.6934200010635156</v>
      </c>
      <c r="AF156" s="469">
        <v>29371</v>
      </c>
      <c r="AG156" s="469">
        <v>13969</v>
      </c>
      <c r="AH156" s="469">
        <v>38203</v>
      </c>
      <c r="AI156" s="534"/>
      <c r="AJ156" s="464"/>
      <c r="AK156" s="307">
        <f>AJ156/VPI!R156</f>
        <v>0</v>
      </c>
      <c r="AL156" s="309">
        <f t="shared" si="11"/>
        <v>24807</v>
      </c>
      <c r="AM156" s="307">
        <f>AL156/VPI!R156</f>
        <v>2.4632505056730922</v>
      </c>
      <c r="AN156" s="464">
        <v>24807</v>
      </c>
      <c r="AO156" s="534"/>
      <c r="AP156" s="477">
        <v>8.1283356219956389</v>
      </c>
      <c r="AR156" s="530">
        <v>0</v>
      </c>
    </row>
    <row r="157" spans="1:44" x14ac:dyDescent="0.25">
      <c r="A157" s="525">
        <v>5663</v>
      </c>
      <c r="B157" s="526" t="s">
        <v>183</v>
      </c>
      <c r="C157" s="454">
        <v>387699.32</v>
      </c>
      <c r="D157" s="454">
        <v>28140.51</v>
      </c>
      <c r="E157" s="454"/>
      <c r="F157" s="455">
        <v>1470</v>
      </c>
      <c r="G157" s="454">
        <v>4657.8999999999996</v>
      </c>
      <c r="H157" s="454">
        <v>862.2</v>
      </c>
      <c r="I157" s="454"/>
      <c r="J157" s="454">
        <v>-610.38</v>
      </c>
      <c r="K157" s="454">
        <v>325.2</v>
      </c>
      <c r="L157" s="454">
        <v>38157.65</v>
      </c>
      <c r="M157" s="344">
        <f t="shared" si="8"/>
        <v>460702.40000000008</v>
      </c>
      <c r="N157" s="458">
        <v>0</v>
      </c>
      <c r="O157" s="458">
        <v>4.3</v>
      </c>
      <c r="P157" s="458">
        <v>6722.1</v>
      </c>
      <c r="Q157" s="458"/>
      <c r="R157" s="458">
        <v>20111.099999999999</v>
      </c>
      <c r="S157" s="454">
        <v>535.99</v>
      </c>
      <c r="T157" s="344">
        <f t="shared" si="9"/>
        <v>488075.89</v>
      </c>
      <c r="U157" s="456">
        <v>-2287.7399999999998</v>
      </c>
      <c r="V157" s="458"/>
      <c r="W157" s="458">
        <v>0</v>
      </c>
      <c r="X157" s="462">
        <v>78.5</v>
      </c>
      <c r="Y157" s="463">
        <v>1</v>
      </c>
      <c r="Z157" s="464">
        <v>262</v>
      </c>
      <c r="AA157" s="527"/>
      <c r="AB157" s="469"/>
      <c r="AC157" s="307">
        <f>AB157/VPI!R157</f>
        <v>0</v>
      </c>
      <c r="AD157" s="309">
        <f t="shared" si="10"/>
        <v>34819</v>
      </c>
      <c r="AE157" s="307">
        <f>AD157/VPI!R157</f>
        <v>5.9555237583822995</v>
      </c>
      <c r="AF157" s="469">
        <v>34819</v>
      </c>
      <c r="AG157" s="469">
        <v>9251</v>
      </c>
      <c r="AH157" s="469">
        <v>14446</v>
      </c>
      <c r="AI157" s="534"/>
      <c r="AJ157" s="464"/>
      <c r="AK157" s="307">
        <f>AJ157/VPI!R157</f>
        <v>0</v>
      </c>
      <c r="AL157" s="309">
        <f t="shared" si="11"/>
        <v>3296</v>
      </c>
      <c r="AM157" s="307">
        <f>AL157/VPI!R157</f>
        <v>0.56375560204566644</v>
      </c>
      <c r="AN157" s="464">
        <v>3296</v>
      </c>
      <c r="AO157" s="534"/>
      <c r="AP157" s="477">
        <v>7.8168776986001696</v>
      </c>
      <c r="AR157" s="530">
        <v>0</v>
      </c>
    </row>
    <row r="158" spans="1:44" x14ac:dyDescent="0.25">
      <c r="A158" s="525">
        <v>5665</v>
      </c>
      <c r="B158" s="526" t="s">
        <v>85</v>
      </c>
      <c r="C158" s="454">
        <v>377176.22</v>
      </c>
      <c r="D158" s="454">
        <v>44148.45</v>
      </c>
      <c r="E158" s="454"/>
      <c r="F158" s="455"/>
      <c r="G158" s="454">
        <v>2076.25</v>
      </c>
      <c r="H158" s="454">
        <v>59.4</v>
      </c>
      <c r="I158" s="454"/>
      <c r="J158" s="454">
        <v>10725.07</v>
      </c>
      <c r="K158" s="454">
        <v>54.5</v>
      </c>
      <c r="L158" s="454">
        <v>30870.799999999999</v>
      </c>
      <c r="M158" s="344">
        <f t="shared" si="8"/>
        <v>465110.69</v>
      </c>
      <c r="N158" s="458">
        <v>0</v>
      </c>
      <c r="O158" s="458"/>
      <c r="P158" s="458">
        <v>4418.7</v>
      </c>
      <c r="Q158" s="458"/>
      <c r="R158" s="458">
        <v>192.5</v>
      </c>
      <c r="S158" s="454">
        <v>207.37</v>
      </c>
      <c r="T158" s="344">
        <f t="shared" si="9"/>
        <v>469929.26</v>
      </c>
      <c r="U158" s="456">
        <v>-6607.48</v>
      </c>
      <c r="V158" s="458"/>
      <c r="W158" s="458">
        <v>0</v>
      </c>
      <c r="X158" s="462">
        <v>70</v>
      </c>
      <c r="Y158" s="463">
        <v>1</v>
      </c>
      <c r="Z158" s="464">
        <v>229</v>
      </c>
      <c r="AA158" s="527"/>
      <c r="AB158" s="469"/>
      <c r="AC158" s="307">
        <f>AB158/VPI!R158</f>
        <v>0</v>
      </c>
      <c r="AD158" s="309">
        <f t="shared" si="10"/>
        <v>19082</v>
      </c>
      <c r="AE158" s="307">
        <f>AD158/VPI!R158</f>
        <v>2.9119450438662215</v>
      </c>
      <c r="AF158" s="469">
        <v>19082</v>
      </c>
      <c r="AG158" s="469">
        <v>8772</v>
      </c>
      <c r="AH158" s="469">
        <v>11360</v>
      </c>
      <c r="AI158" s="534"/>
      <c r="AJ158" s="464"/>
      <c r="AK158" s="307">
        <f>AJ158/VPI!R158</f>
        <v>0</v>
      </c>
      <c r="AL158" s="309">
        <f t="shared" si="11"/>
        <v>28639</v>
      </c>
      <c r="AM158" s="307">
        <f>AL158/VPI!R158</f>
        <v>4.3703591924999854</v>
      </c>
      <c r="AN158" s="464">
        <v>28639</v>
      </c>
      <c r="AO158" s="534"/>
      <c r="AP158" s="477">
        <v>6.0621051606976728</v>
      </c>
      <c r="AR158" s="530">
        <v>0</v>
      </c>
    </row>
    <row r="159" spans="1:44" x14ac:dyDescent="0.25">
      <c r="A159" s="525">
        <v>5669</v>
      </c>
      <c r="B159" s="526" t="s">
        <v>86</v>
      </c>
      <c r="C159" s="454">
        <v>507882.57</v>
      </c>
      <c r="D159" s="454">
        <v>133949.88</v>
      </c>
      <c r="E159" s="454"/>
      <c r="F159" s="455"/>
      <c r="G159" s="454">
        <v>11760.65</v>
      </c>
      <c r="H159" s="454">
        <v>471</v>
      </c>
      <c r="I159" s="454"/>
      <c r="J159" s="454">
        <v>-4523.49</v>
      </c>
      <c r="K159" s="454">
        <v>255.9</v>
      </c>
      <c r="L159" s="454">
        <v>25284</v>
      </c>
      <c r="M159" s="344">
        <f t="shared" si="8"/>
        <v>675080.51</v>
      </c>
      <c r="N159" s="458">
        <v>0</v>
      </c>
      <c r="O159" s="458">
        <v>9630</v>
      </c>
      <c r="P159" s="458">
        <v>37945</v>
      </c>
      <c r="Q159" s="458">
        <v>4718.57</v>
      </c>
      <c r="R159" s="458">
        <v>13575.75</v>
      </c>
      <c r="S159" s="454">
        <v>1187.6600000000001</v>
      </c>
      <c r="T159" s="344">
        <f t="shared" si="9"/>
        <v>742137.49</v>
      </c>
      <c r="U159" s="456">
        <v>-6201.35</v>
      </c>
      <c r="V159" s="458"/>
      <c r="W159" s="458">
        <v>-47.7</v>
      </c>
      <c r="X159" s="462">
        <v>73</v>
      </c>
      <c r="Y159" s="463">
        <v>0.5</v>
      </c>
      <c r="Z159" s="464">
        <v>308</v>
      </c>
      <c r="AA159" s="527"/>
      <c r="AB159" s="469">
        <v>13441</v>
      </c>
      <c r="AC159" s="307">
        <f>AB159/VPI!R159</f>
        <v>1.4016608542515301</v>
      </c>
      <c r="AD159" s="309">
        <f t="shared" si="10"/>
        <v>41848</v>
      </c>
      <c r="AE159" s="307">
        <f>AD159/VPI!R159</f>
        <v>4.3640133493577888</v>
      </c>
      <c r="AF159" s="469">
        <v>55289</v>
      </c>
      <c r="AG159" s="469">
        <v>22851</v>
      </c>
      <c r="AH159" s="469">
        <v>17046</v>
      </c>
      <c r="AI159" s="534"/>
      <c r="AJ159" s="464"/>
      <c r="AK159" s="307">
        <f>AJ159/VPI!R159</f>
        <v>0</v>
      </c>
      <c r="AL159" s="309">
        <f t="shared" si="11"/>
        <v>1214</v>
      </c>
      <c r="AM159" s="307">
        <f>AL159/VPI!R159</f>
        <v>0.12659893438444741</v>
      </c>
      <c r="AN159" s="464">
        <v>1214</v>
      </c>
      <c r="AO159" s="534"/>
      <c r="AP159" s="477">
        <v>13.289165686654417</v>
      </c>
      <c r="AR159" s="530">
        <v>0</v>
      </c>
    </row>
    <row r="160" spans="1:44" x14ac:dyDescent="0.25">
      <c r="A160" s="525">
        <v>5671</v>
      </c>
      <c r="B160" s="526" t="s">
        <v>87</v>
      </c>
      <c r="C160" s="454">
        <v>397391.7</v>
      </c>
      <c r="D160" s="454">
        <v>36746.660000000003</v>
      </c>
      <c r="E160" s="454"/>
      <c r="F160" s="455">
        <v>990</v>
      </c>
      <c r="G160" s="454">
        <v>-4249.1499999999996</v>
      </c>
      <c r="H160" s="454">
        <v>3275.2</v>
      </c>
      <c r="I160" s="454"/>
      <c r="J160" s="454">
        <v>8703.07</v>
      </c>
      <c r="K160" s="454">
        <v>267</v>
      </c>
      <c r="L160" s="454">
        <v>39136.699999999997</v>
      </c>
      <c r="M160" s="344">
        <f t="shared" si="8"/>
        <v>482261.18</v>
      </c>
      <c r="N160" s="458">
        <v>0</v>
      </c>
      <c r="O160" s="458"/>
      <c r="P160" s="458">
        <v>2311.8000000000002</v>
      </c>
      <c r="Q160" s="458">
        <v>1596.4</v>
      </c>
      <c r="R160" s="458">
        <v>1747.4</v>
      </c>
      <c r="S160" s="454">
        <v>-94.57</v>
      </c>
      <c r="T160" s="344">
        <f t="shared" si="9"/>
        <v>487822.21</v>
      </c>
      <c r="U160" s="456">
        <v>-9746.84</v>
      </c>
      <c r="V160" s="458"/>
      <c r="W160" s="458">
        <v>0</v>
      </c>
      <c r="X160" s="462">
        <v>78</v>
      </c>
      <c r="Y160" s="463">
        <v>1</v>
      </c>
      <c r="Z160" s="464">
        <v>240</v>
      </c>
      <c r="AA160" s="527"/>
      <c r="AB160" s="469"/>
      <c r="AC160" s="307">
        <f>AB160/VPI!R160</f>
        <v>0</v>
      </c>
      <c r="AD160" s="309">
        <f t="shared" si="10"/>
        <v>49172</v>
      </c>
      <c r="AE160" s="307">
        <f>AD160/VPI!R160</f>
        <v>8.0913189100700933</v>
      </c>
      <c r="AF160" s="469">
        <v>49172</v>
      </c>
      <c r="AG160" s="469">
        <v>9325</v>
      </c>
      <c r="AH160" s="469">
        <v>15688</v>
      </c>
      <c r="AI160" s="534"/>
      <c r="AJ160" s="464"/>
      <c r="AK160" s="307">
        <f>AJ160/VPI!R160</f>
        <v>0</v>
      </c>
      <c r="AL160" s="309">
        <f t="shared" si="11"/>
        <v>9666</v>
      </c>
      <c r="AM160" s="307">
        <f>AL160/VPI!R160</f>
        <v>1.590553334921043</v>
      </c>
      <c r="AN160" s="464">
        <v>9666</v>
      </c>
      <c r="AO160" s="534"/>
      <c r="AP160" s="477">
        <v>13.288358078975982</v>
      </c>
      <c r="AR160" s="530">
        <v>0</v>
      </c>
    </row>
    <row r="161" spans="1:44" x14ac:dyDescent="0.25">
      <c r="A161" s="525">
        <v>5673</v>
      </c>
      <c r="B161" s="526" t="s">
        <v>88</v>
      </c>
      <c r="C161" s="454">
        <v>606899.81999999995</v>
      </c>
      <c r="D161" s="454">
        <v>80829.440000000002</v>
      </c>
      <c r="E161" s="454"/>
      <c r="F161" s="455">
        <v>2260</v>
      </c>
      <c r="G161" s="454">
        <v>2268.6</v>
      </c>
      <c r="H161" s="454">
        <v>815.7</v>
      </c>
      <c r="I161" s="454"/>
      <c r="J161" s="454">
        <v>5784.85</v>
      </c>
      <c r="K161" s="454">
        <v>408</v>
      </c>
      <c r="L161" s="454">
        <v>30042.9</v>
      </c>
      <c r="M161" s="344">
        <f t="shared" si="8"/>
        <v>729309.30999999994</v>
      </c>
      <c r="N161" s="458">
        <v>11947.95</v>
      </c>
      <c r="O161" s="458">
        <v>10383.799999999999</v>
      </c>
      <c r="P161" s="458">
        <v>16702.05</v>
      </c>
      <c r="Q161" s="458"/>
      <c r="R161" s="458">
        <v>24389.599999999999</v>
      </c>
      <c r="S161" s="454">
        <v>299.48</v>
      </c>
      <c r="T161" s="344">
        <f t="shared" si="9"/>
        <v>793032.19</v>
      </c>
      <c r="U161" s="456">
        <v>-12987.47</v>
      </c>
      <c r="V161" s="458"/>
      <c r="W161" s="458">
        <v>-44.5</v>
      </c>
      <c r="X161" s="462">
        <v>73.5</v>
      </c>
      <c r="Y161" s="463">
        <v>0.6</v>
      </c>
      <c r="Z161" s="464">
        <v>373</v>
      </c>
      <c r="AA161" s="527"/>
      <c r="AB161" s="469">
        <v>13171</v>
      </c>
      <c r="AC161" s="307">
        <f>AB161/VPI!R161</f>
        <v>1.3142294011358211</v>
      </c>
      <c r="AD161" s="309">
        <f t="shared" si="10"/>
        <v>898944</v>
      </c>
      <c r="AE161" s="307">
        <f>AD161/VPI!R161</f>
        <v>89.698476560218623</v>
      </c>
      <c r="AF161" s="469">
        <v>912115</v>
      </c>
      <c r="AG161" s="469">
        <v>13895</v>
      </c>
      <c r="AH161" s="469">
        <v>20569</v>
      </c>
      <c r="AI161" s="534"/>
      <c r="AJ161" s="464">
        <v>3633</v>
      </c>
      <c r="AK161" s="307">
        <f>AJ161/VPI!R161</f>
        <v>0.36250819332825435</v>
      </c>
      <c r="AL161" s="309">
        <f t="shared" si="11"/>
        <v>44482</v>
      </c>
      <c r="AM161" s="307">
        <f>AL161/VPI!R161</f>
        <v>4.43850521762384</v>
      </c>
      <c r="AN161" s="464">
        <v>48115</v>
      </c>
      <c r="AO161" s="534"/>
      <c r="AP161" s="477">
        <v>11.458701268743154</v>
      </c>
      <c r="AR161" s="530">
        <v>0</v>
      </c>
    </row>
    <row r="162" spans="1:44" x14ac:dyDescent="0.25">
      <c r="A162" s="525">
        <v>5674</v>
      </c>
      <c r="B162" s="526" t="s">
        <v>89</v>
      </c>
      <c r="C162" s="454">
        <v>265329.15999999997</v>
      </c>
      <c r="D162" s="454">
        <v>26096.5</v>
      </c>
      <c r="E162" s="454"/>
      <c r="F162" s="455"/>
      <c r="G162" s="454">
        <v>207.55</v>
      </c>
      <c r="H162" s="454">
        <v>196.8</v>
      </c>
      <c r="I162" s="454"/>
      <c r="J162" s="454">
        <v>479.32</v>
      </c>
      <c r="K162" s="454">
        <v>64.099999999999994</v>
      </c>
      <c r="L162" s="454">
        <v>16113.85</v>
      </c>
      <c r="M162" s="344">
        <f t="shared" si="8"/>
        <v>308487.27999999991</v>
      </c>
      <c r="N162" s="458">
        <v>0</v>
      </c>
      <c r="O162" s="458">
        <v>2084.6999999999998</v>
      </c>
      <c r="P162" s="458">
        <v>3908.65</v>
      </c>
      <c r="Q162" s="458">
        <v>983.85</v>
      </c>
      <c r="R162" s="458"/>
      <c r="S162" s="454">
        <v>39.26</v>
      </c>
      <c r="T162" s="344">
        <f t="shared" si="9"/>
        <v>315503.73999999993</v>
      </c>
      <c r="U162" s="456">
        <v>-1968.82</v>
      </c>
      <c r="V162" s="458"/>
      <c r="W162" s="458">
        <v>-145.1</v>
      </c>
      <c r="X162" s="462">
        <v>75</v>
      </c>
      <c r="Y162" s="463">
        <v>0.7</v>
      </c>
      <c r="Z162" s="464">
        <v>146</v>
      </c>
      <c r="AA162" s="527"/>
      <c r="AB162" s="469">
        <v>16535</v>
      </c>
      <c r="AC162" s="307">
        <f>AB162/VPI!R162</f>
        <v>3.9456427232291906</v>
      </c>
      <c r="AD162" s="309">
        <f t="shared" si="10"/>
        <v>23775</v>
      </c>
      <c r="AE162" s="307">
        <f>AD162/VPI!R162</f>
        <v>5.6732782428045967</v>
      </c>
      <c r="AF162" s="469">
        <v>40310</v>
      </c>
      <c r="AG162" s="469">
        <v>5233</v>
      </c>
      <c r="AH162" s="469">
        <v>7000</v>
      </c>
      <c r="AI162" s="534"/>
      <c r="AJ162" s="464"/>
      <c r="AK162" s="307">
        <f>AJ162/VPI!R162</f>
        <v>0</v>
      </c>
      <c r="AL162" s="309">
        <f t="shared" si="11"/>
        <v>1218</v>
      </c>
      <c r="AM162" s="307">
        <f>AL162/VPI!R162</f>
        <v>0.2906436550887907</v>
      </c>
      <c r="AN162" s="464">
        <v>1218</v>
      </c>
      <c r="AO162" s="534"/>
      <c r="AP162" s="477">
        <v>10.256044136518003</v>
      </c>
      <c r="AR162" s="530">
        <v>0</v>
      </c>
    </row>
    <row r="163" spans="1:44" x14ac:dyDescent="0.25">
      <c r="A163" s="525">
        <v>5675</v>
      </c>
      <c r="B163" s="526" t="s">
        <v>90</v>
      </c>
      <c r="C163" s="454">
        <v>4693072.7699999996</v>
      </c>
      <c r="D163" s="454">
        <v>640095.79</v>
      </c>
      <c r="E163" s="454"/>
      <c r="F163" s="455"/>
      <c r="G163" s="454">
        <v>295087.8</v>
      </c>
      <c r="H163" s="454">
        <v>28289.15</v>
      </c>
      <c r="I163" s="454"/>
      <c r="J163" s="454">
        <v>321167.15000000002</v>
      </c>
      <c r="K163" s="454">
        <v>82770.850000000006</v>
      </c>
      <c r="L163" s="454">
        <v>791799.55</v>
      </c>
      <c r="M163" s="344">
        <f t="shared" si="8"/>
        <v>6852283.0599999996</v>
      </c>
      <c r="N163" s="458">
        <v>28361.3</v>
      </c>
      <c r="O163" s="458">
        <v>390655.6</v>
      </c>
      <c r="P163" s="458">
        <v>721178.85</v>
      </c>
      <c r="Q163" s="458">
        <v>27495.8</v>
      </c>
      <c r="R163" s="458">
        <v>217618.95</v>
      </c>
      <c r="S163" s="454">
        <v>31399.09</v>
      </c>
      <c r="T163" s="344">
        <f t="shared" si="9"/>
        <v>8268992.6499999985</v>
      </c>
      <c r="U163" s="456">
        <v>-147515.85</v>
      </c>
      <c r="V163" s="458"/>
      <c r="W163" s="458">
        <v>-4439.3</v>
      </c>
      <c r="X163" s="462">
        <v>69.5</v>
      </c>
      <c r="Y163" s="463">
        <v>1.1000000000000001</v>
      </c>
      <c r="Z163" s="464">
        <v>4734</v>
      </c>
      <c r="AA163" s="527"/>
      <c r="AB163" s="469">
        <v>234550</v>
      </c>
      <c r="AC163" s="307">
        <f>AB163/VPI!R163</f>
        <v>2.4376607549509015</v>
      </c>
      <c r="AD163" s="309">
        <f t="shared" si="10"/>
        <v>609934</v>
      </c>
      <c r="AE163" s="307">
        <f>AD163/VPI!R163</f>
        <v>6.3389988271593394</v>
      </c>
      <c r="AF163" s="469">
        <v>844484</v>
      </c>
      <c r="AG163" s="469">
        <v>423768</v>
      </c>
      <c r="AH163" s="469">
        <v>319726</v>
      </c>
      <c r="AI163" s="534"/>
      <c r="AJ163" s="464">
        <v>12007</v>
      </c>
      <c r="AK163" s="307">
        <f>AJ163/VPI!R163</f>
        <v>0.12478786051884661</v>
      </c>
      <c r="AL163" s="309">
        <f t="shared" si="11"/>
        <v>17543</v>
      </c>
      <c r="AM163" s="307">
        <f>AL163/VPI!R163</f>
        <v>0.1823230979497065</v>
      </c>
      <c r="AN163" s="464">
        <v>29550</v>
      </c>
      <c r="AO163" s="534"/>
      <c r="AP163" s="477">
        <v>-12.157880386329715</v>
      </c>
      <c r="AR163" s="530">
        <v>0</v>
      </c>
    </row>
    <row r="164" spans="1:44" x14ac:dyDescent="0.25">
      <c r="A164" s="525">
        <v>5678</v>
      </c>
      <c r="B164" s="526" t="s">
        <v>91</v>
      </c>
      <c r="C164" s="454">
        <v>7716365.1699999999</v>
      </c>
      <c r="D164" s="454">
        <v>845067.95</v>
      </c>
      <c r="E164" s="454"/>
      <c r="F164" s="455">
        <v>37340</v>
      </c>
      <c r="G164" s="454">
        <v>704362.25</v>
      </c>
      <c r="H164" s="454">
        <v>29539.95</v>
      </c>
      <c r="I164" s="454"/>
      <c r="J164" s="454">
        <v>531327.39</v>
      </c>
      <c r="K164" s="454">
        <v>102426.75</v>
      </c>
      <c r="L164" s="454">
        <v>946375.75</v>
      </c>
      <c r="M164" s="344">
        <f t="shared" si="8"/>
        <v>10912805.209999999</v>
      </c>
      <c r="N164" s="458">
        <v>234496.25</v>
      </c>
      <c r="O164" s="458">
        <v>256457.3</v>
      </c>
      <c r="P164" s="458">
        <v>796538.45</v>
      </c>
      <c r="Q164" s="458">
        <v>89255</v>
      </c>
      <c r="R164" s="458">
        <v>311601.75</v>
      </c>
      <c r="S164" s="454">
        <v>71106.97</v>
      </c>
      <c r="T164" s="344">
        <f t="shared" si="9"/>
        <v>12672260.93</v>
      </c>
      <c r="U164" s="456">
        <v>-590882.02</v>
      </c>
      <c r="V164" s="458"/>
      <c r="W164" s="458">
        <v>-5506.68</v>
      </c>
      <c r="X164" s="462">
        <v>72.5</v>
      </c>
      <c r="Y164" s="463">
        <v>1</v>
      </c>
      <c r="Z164" s="464">
        <v>6651</v>
      </c>
      <c r="AA164" s="527"/>
      <c r="AB164" s="469">
        <v>492520</v>
      </c>
      <c r="AC164" s="307">
        <f>AB164/VPI!R164</f>
        <v>3.408270974533385</v>
      </c>
      <c r="AD164" s="309">
        <f t="shared" si="10"/>
        <v>1390399</v>
      </c>
      <c r="AE164" s="307">
        <f>AD164/VPI!R164</f>
        <v>9.621653038902469</v>
      </c>
      <c r="AF164" s="469">
        <v>1882919</v>
      </c>
      <c r="AG164" s="469">
        <v>587415</v>
      </c>
      <c r="AH164" s="469">
        <v>456684</v>
      </c>
      <c r="AI164" s="534"/>
      <c r="AJ164" s="464"/>
      <c r="AK164" s="307">
        <f>AJ164/VPI!R164</f>
        <v>0</v>
      </c>
      <c r="AL164" s="309">
        <f t="shared" si="11"/>
        <v>93743</v>
      </c>
      <c r="AM164" s="307">
        <f>AL164/VPI!R164</f>
        <v>0.64870776002128461</v>
      </c>
      <c r="AN164" s="464">
        <v>93743</v>
      </c>
      <c r="AO164" s="534"/>
      <c r="AP164" s="477">
        <v>-18.495036556990321</v>
      </c>
      <c r="AR164" s="530">
        <v>0</v>
      </c>
    </row>
    <row r="165" spans="1:44" x14ac:dyDescent="0.25">
      <c r="A165" s="525">
        <v>5680</v>
      </c>
      <c r="B165" s="526" t="s">
        <v>92</v>
      </c>
      <c r="C165" s="454">
        <v>525836.01</v>
      </c>
      <c r="D165" s="454">
        <v>85065.14</v>
      </c>
      <c r="E165" s="454"/>
      <c r="F165" s="455"/>
      <c r="G165" s="454">
        <v>26544</v>
      </c>
      <c r="H165" s="454">
        <v>3747.5</v>
      </c>
      <c r="I165" s="454"/>
      <c r="J165" s="454">
        <v>1595.03</v>
      </c>
      <c r="K165" s="454">
        <v>4302.95</v>
      </c>
      <c r="L165" s="454">
        <v>94304.8</v>
      </c>
      <c r="M165" s="344">
        <f t="shared" si="8"/>
        <v>741395.43</v>
      </c>
      <c r="N165" s="458">
        <v>0</v>
      </c>
      <c r="O165" s="458">
        <v>7775.8</v>
      </c>
      <c r="P165" s="458">
        <v>138.05000000000001</v>
      </c>
      <c r="Q165" s="458">
        <v>255.18</v>
      </c>
      <c r="R165" s="458">
        <v>290.14999999999998</v>
      </c>
      <c r="S165" s="454">
        <v>2941.23</v>
      </c>
      <c r="T165" s="344">
        <f t="shared" si="9"/>
        <v>752795.8400000002</v>
      </c>
      <c r="U165" s="456">
        <v>-4218</v>
      </c>
      <c r="V165" s="458"/>
      <c r="W165" s="458">
        <v>0.01</v>
      </c>
      <c r="X165" s="462">
        <v>78</v>
      </c>
      <c r="Y165" s="463">
        <v>1.5</v>
      </c>
      <c r="Z165" s="464">
        <v>341</v>
      </c>
      <c r="AA165" s="527"/>
      <c r="AB165" s="469">
        <v>33740</v>
      </c>
      <c r="AC165" s="307">
        <f>AB165/VPI!R165</f>
        <v>3.7121957028032622</v>
      </c>
      <c r="AD165" s="309">
        <f t="shared" si="10"/>
        <v>24705</v>
      </c>
      <c r="AE165" s="307">
        <f>AD165/VPI!R165</f>
        <v>2.7181326270822344</v>
      </c>
      <c r="AF165" s="469">
        <v>58445</v>
      </c>
      <c r="AG165" s="469">
        <v>16409</v>
      </c>
      <c r="AH165" s="469">
        <v>33432</v>
      </c>
      <c r="AI165" s="534"/>
      <c r="AJ165" s="464"/>
      <c r="AK165" s="307">
        <f>AJ165/VPI!R165</f>
        <v>0</v>
      </c>
      <c r="AL165" s="309">
        <f t="shared" si="11"/>
        <v>27555</v>
      </c>
      <c r="AM165" s="307">
        <f>AL165/VPI!R165</f>
        <v>3.0316998396782417</v>
      </c>
      <c r="AN165" s="464">
        <v>27555</v>
      </c>
      <c r="AO165" s="534"/>
      <c r="AP165" s="477">
        <v>-0.88037421231224489</v>
      </c>
      <c r="AR165" s="530">
        <v>0</v>
      </c>
    </row>
    <row r="166" spans="1:44" x14ac:dyDescent="0.25">
      <c r="A166" s="525">
        <v>5683</v>
      </c>
      <c r="B166" s="526" t="s">
        <v>93</v>
      </c>
      <c r="C166" s="454">
        <v>178689.7</v>
      </c>
      <c r="D166" s="454">
        <v>23634.06</v>
      </c>
      <c r="E166" s="454"/>
      <c r="F166" s="455"/>
      <c r="G166" s="454">
        <v>4230.3</v>
      </c>
      <c r="H166" s="454">
        <v>821.9</v>
      </c>
      <c r="I166" s="454"/>
      <c r="J166" s="454">
        <v>7917.69</v>
      </c>
      <c r="K166" s="454">
        <v>2570.5</v>
      </c>
      <c r="L166" s="454">
        <v>34391.050000000003</v>
      </c>
      <c r="M166" s="344">
        <f t="shared" si="8"/>
        <v>252255.2</v>
      </c>
      <c r="N166" s="458">
        <v>627.1</v>
      </c>
      <c r="O166" s="458">
        <v>41994.5</v>
      </c>
      <c r="P166" s="458">
        <v>35586.1</v>
      </c>
      <c r="Q166" s="458">
        <v>330.95</v>
      </c>
      <c r="R166" s="458">
        <v>65312.05</v>
      </c>
      <c r="S166" s="454">
        <v>490.56</v>
      </c>
      <c r="T166" s="344">
        <f t="shared" si="9"/>
        <v>396596.46</v>
      </c>
      <c r="U166" s="456">
        <v>-7232.93</v>
      </c>
      <c r="V166" s="458"/>
      <c r="W166" s="458">
        <v>0</v>
      </c>
      <c r="X166" s="462">
        <v>72.5</v>
      </c>
      <c r="Y166" s="463">
        <v>1</v>
      </c>
      <c r="Z166" s="464">
        <v>231</v>
      </c>
      <c r="AA166" s="527"/>
      <c r="AB166" s="469">
        <v>16000</v>
      </c>
      <c r="AC166" s="307">
        <f>AB166/VPI!R166</f>
        <v>4.7184435579374826</v>
      </c>
      <c r="AD166" s="309">
        <f t="shared" si="10"/>
        <v>17734</v>
      </c>
      <c r="AE166" s="307">
        <f>AD166/VPI!R166</f>
        <v>5.2298048785289577</v>
      </c>
      <c r="AF166" s="469">
        <v>33734</v>
      </c>
      <c r="AG166" s="469">
        <v>8330</v>
      </c>
      <c r="AH166" s="469">
        <v>12876</v>
      </c>
      <c r="AI166" s="534"/>
      <c r="AJ166" s="464"/>
      <c r="AK166" s="307">
        <f>AJ166/VPI!R166</f>
        <v>0</v>
      </c>
      <c r="AL166" s="309">
        <f t="shared" si="11"/>
        <v>-841</v>
      </c>
      <c r="AM166" s="307">
        <f>AL166/VPI!R166</f>
        <v>-0.24801318951408893</v>
      </c>
      <c r="AN166" s="464">
        <v>-841</v>
      </c>
      <c r="AO166" s="534"/>
      <c r="AP166" s="477">
        <v>11.034601948835615</v>
      </c>
      <c r="AR166" s="530">
        <v>0</v>
      </c>
    </row>
    <row r="167" spans="1:44" x14ac:dyDescent="0.25">
      <c r="A167" s="525">
        <v>5684</v>
      </c>
      <c r="B167" s="526" t="s">
        <v>94</v>
      </c>
      <c r="C167" s="454">
        <v>485214.47</v>
      </c>
      <c r="D167" s="454">
        <v>145147.76999999999</v>
      </c>
      <c r="E167" s="454"/>
      <c r="F167" s="455"/>
      <c r="G167" s="454">
        <v>1863.2</v>
      </c>
      <c r="H167" s="454">
        <v>7.8</v>
      </c>
      <c r="I167" s="454"/>
      <c r="J167" s="454">
        <v>10299.94</v>
      </c>
      <c r="K167" s="454"/>
      <c r="L167" s="454">
        <v>10912.5</v>
      </c>
      <c r="M167" s="344">
        <f t="shared" si="8"/>
        <v>653445.67999999993</v>
      </c>
      <c r="N167" s="458">
        <v>0</v>
      </c>
      <c r="O167" s="458"/>
      <c r="P167" s="458">
        <v>38.5</v>
      </c>
      <c r="Q167" s="458"/>
      <c r="R167" s="458"/>
      <c r="S167" s="454">
        <v>181.67</v>
      </c>
      <c r="T167" s="344">
        <f t="shared" si="9"/>
        <v>653665.85</v>
      </c>
      <c r="U167" s="456">
        <v>-24.06</v>
      </c>
      <c r="V167" s="458"/>
      <c r="W167" s="458">
        <v>0</v>
      </c>
      <c r="X167" s="462">
        <v>65</v>
      </c>
      <c r="Y167" s="463">
        <v>0.8</v>
      </c>
      <c r="Z167" s="464">
        <v>90</v>
      </c>
      <c r="AA167" s="527"/>
      <c r="AB167" s="469"/>
      <c r="AC167" s="307">
        <f>AB167/VPI!R167</f>
        <v>0</v>
      </c>
      <c r="AD167" s="309">
        <f t="shared" si="10"/>
        <v>2298</v>
      </c>
      <c r="AE167" s="307">
        <f>AD167/VPI!R167</f>
        <v>0.22758319438358746</v>
      </c>
      <c r="AF167" s="469">
        <v>2298</v>
      </c>
      <c r="AG167" s="469">
        <v>3243</v>
      </c>
      <c r="AH167" s="469">
        <v>3996</v>
      </c>
      <c r="AI167" s="534"/>
      <c r="AJ167" s="464"/>
      <c r="AK167" s="307">
        <f>AJ167/VPI!R167</f>
        <v>0</v>
      </c>
      <c r="AL167" s="309">
        <f t="shared" si="11"/>
        <v>160</v>
      </c>
      <c r="AM167" s="307">
        <f>AL167/VPI!R167</f>
        <v>1.5845653220789378E-2</v>
      </c>
      <c r="AN167" s="464">
        <v>160</v>
      </c>
      <c r="AO167" s="534"/>
      <c r="AP167" s="477">
        <v>30.345066956028045</v>
      </c>
      <c r="AR167" s="530">
        <v>0</v>
      </c>
    </row>
    <row r="168" spans="1:44" x14ac:dyDescent="0.25">
      <c r="A168" s="525">
        <v>5688</v>
      </c>
      <c r="B168" s="526" t="s">
        <v>95</v>
      </c>
      <c r="C168" s="454">
        <v>260854.31</v>
      </c>
      <c r="D168" s="454">
        <v>48257.36</v>
      </c>
      <c r="E168" s="454"/>
      <c r="F168" s="455"/>
      <c r="G168" s="454">
        <v>-1972.6</v>
      </c>
      <c r="H168" s="454">
        <v>489.95</v>
      </c>
      <c r="I168" s="454"/>
      <c r="J168" s="454">
        <v>6988.15</v>
      </c>
      <c r="K168" s="454">
        <v>105</v>
      </c>
      <c r="L168" s="454">
        <v>25641</v>
      </c>
      <c r="M168" s="344">
        <f t="shared" si="8"/>
        <v>340363.17000000004</v>
      </c>
      <c r="N168" s="458">
        <v>0</v>
      </c>
      <c r="O168" s="458">
        <v>1634.4</v>
      </c>
      <c r="P168" s="458">
        <v>28810.15</v>
      </c>
      <c r="Q168" s="458"/>
      <c r="R168" s="458"/>
      <c r="S168" s="454">
        <v>-143.96</v>
      </c>
      <c r="T168" s="344">
        <f t="shared" si="9"/>
        <v>370663.76000000007</v>
      </c>
      <c r="U168" s="456">
        <v>-4834.29</v>
      </c>
      <c r="V168" s="458"/>
      <c r="W168" s="458">
        <v>-34.25</v>
      </c>
      <c r="X168" s="462">
        <v>65</v>
      </c>
      <c r="Y168" s="463">
        <v>1</v>
      </c>
      <c r="Z168" s="464">
        <v>151</v>
      </c>
      <c r="AA168" s="527"/>
      <c r="AB168" s="469"/>
      <c r="AC168" s="307">
        <f>AB168/VPI!R168</f>
        <v>0</v>
      </c>
      <c r="AD168" s="309">
        <f t="shared" si="10"/>
        <v>41952</v>
      </c>
      <c r="AE168" s="307">
        <f>AD168/VPI!R168</f>
        <v>8.1314285133230833</v>
      </c>
      <c r="AF168" s="469">
        <v>41952</v>
      </c>
      <c r="AG168" s="469">
        <v>9178</v>
      </c>
      <c r="AH168" s="469">
        <v>20259</v>
      </c>
      <c r="AI168" s="534"/>
      <c r="AJ168" s="464"/>
      <c r="AK168" s="307">
        <f>AJ168/VPI!R168</f>
        <v>0</v>
      </c>
      <c r="AL168" s="309">
        <f t="shared" si="11"/>
        <v>-1722</v>
      </c>
      <c r="AM168" s="307">
        <f>AL168/VPI!R168</f>
        <v>-0.33377002049824439</v>
      </c>
      <c r="AN168" s="464">
        <v>-1722</v>
      </c>
      <c r="AO168" s="534"/>
      <c r="AP168" s="477">
        <v>16.965925913454971</v>
      </c>
      <c r="AR168" s="530">
        <v>0</v>
      </c>
    </row>
    <row r="169" spans="1:44" x14ac:dyDescent="0.25">
      <c r="A169" s="525">
        <v>5690</v>
      </c>
      <c r="B169" s="526" t="s">
        <v>96</v>
      </c>
      <c r="C169" s="454">
        <v>214596.89</v>
      </c>
      <c r="D169" s="454">
        <v>41126.6</v>
      </c>
      <c r="E169" s="454"/>
      <c r="F169" s="455">
        <v>850</v>
      </c>
      <c r="G169" s="454">
        <v>950.45</v>
      </c>
      <c r="H169" s="454">
        <v>214.4</v>
      </c>
      <c r="I169" s="454"/>
      <c r="J169" s="454">
        <v>6972.1</v>
      </c>
      <c r="K169" s="454">
        <v>184.1</v>
      </c>
      <c r="L169" s="454">
        <v>23301.3</v>
      </c>
      <c r="M169" s="344">
        <f t="shared" si="8"/>
        <v>288195.83999999997</v>
      </c>
      <c r="N169" s="458">
        <v>0</v>
      </c>
      <c r="O169" s="458">
        <v>63.5</v>
      </c>
      <c r="P169" s="458">
        <v>16256.8</v>
      </c>
      <c r="Q169" s="458"/>
      <c r="R169" s="458">
        <v>21448.799999999999</v>
      </c>
      <c r="S169" s="454">
        <v>113.1</v>
      </c>
      <c r="T169" s="344">
        <f t="shared" si="9"/>
        <v>326078.03999999992</v>
      </c>
      <c r="U169" s="456">
        <v>-33.69</v>
      </c>
      <c r="V169" s="458"/>
      <c r="W169" s="458">
        <v>0</v>
      </c>
      <c r="X169" s="462">
        <v>68</v>
      </c>
      <c r="Y169" s="463">
        <v>1</v>
      </c>
      <c r="Z169" s="464">
        <v>132</v>
      </c>
      <c r="AA169" s="527"/>
      <c r="AB169" s="469"/>
      <c r="AC169" s="307">
        <f>AB169/VPI!R169</f>
        <v>0</v>
      </c>
      <c r="AD169" s="309">
        <f t="shared" si="10"/>
        <v>0</v>
      </c>
      <c r="AE169" s="307">
        <f>AD169/VPI!R169</f>
        <v>0</v>
      </c>
      <c r="AF169" s="469"/>
      <c r="AG169" s="469"/>
      <c r="AH169" s="469"/>
      <c r="AI169" s="534"/>
      <c r="AJ169" s="464"/>
      <c r="AK169" s="307">
        <f>AJ169/VPI!R169</f>
        <v>0</v>
      </c>
      <c r="AL169" s="309">
        <f t="shared" si="11"/>
        <v>0</v>
      </c>
      <c r="AM169" s="307">
        <f>AL169/VPI!R169</f>
        <v>0</v>
      </c>
      <c r="AN169" s="464"/>
      <c r="AO169" s="534"/>
      <c r="AP169" s="477">
        <v>17.067869537970537</v>
      </c>
      <c r="AR169" s="530">
        <v>0</v>
      </c>
    </row>
    <row r="170" spans="1:44" x14ac:dyDescent="0.25">
      <c r="A170" s="525">
        <v>5692</v>
      </c>
      <c r="B170" s="526" t="s">
        <v>97</v>
      </c>
      <c r="C170" s="454">
        <v>1189146.47</v>
      </c>
      <c r="D170" s="454">
        <v>125290.47</v>
      </c>
      <c r="E170" s="454"/>
      <c r="F170" s="455"/>
      <c r="G170" s="454">
        <v>8411.5</v>
      </c>
      <c r="H170" s="454">
        <v>5476.1</v>
      </c>
      <c r="I170" s="454"/>
      <c r="J170" s="454">
        <v>13874.41</v>
      </c>
      <c r="K170" s="454">
        <v>4766.5</v>
      </c>
      <c r="L170" s="454">
        <v>116833</v>
      </c>
      <c r="M170" s="344">
        <f t="shared" si="8"/>
        <v>1463798.45</v>
      </c>
      <c r="N170" s="458">
        <v>32816.6</v>
      </c>
      <c r="O170" s="458"/>
      <c r="P170" s="458">
        <v>64150.6</v>
      </c>
      <c r="Q170" s="458">
        <v>6993.47</v>
      </c>
      <c r="R170" s="458">
        <v>64147.65</v>
      </c>
      <c r="S170" s="454">
        <v>1348.45</v>
      </c>
      <c r="T170" s="344">
        <f t="shared" si="9"/>
        <v>1633255.22</v>
      </c>
      <c r="U170" s="456">
        <v>-8063.58</v>
      </c>
      <c r="V170" s="458"/>
      <c r="W170" s="458">
        <v>0</v>
      </c>
      <c r="X170" s="462">
        <v>75</v>
      </c>
      <c r="Y170" s="463">
        <v>1</v>
      </c>
      <c r="Z170" s="464">
        <v>622</v>
      </c>
      <c r="AA170" s="527"/>
      <c r="AB170" s="469">
        <v>9187</v>
      </c>
      <c r="AC170" s="307">
        <f>AB170/VPI!R170</f>
        <v>0.47062080671328732</v>
      </c>
      <c r="AD170" s="309">
        <f t="shared" si="10"/>
        <v>133656</v>
      </c>
      <c r="AE170" s="307">
        <f>AD170/VPI!R170</f>
        <v>6.8467720193829464</v>
      </c>
      <c r="AF170" s="469">
        <v>142843</v>
      </c>
      <c r="AG170" s="469">
        <v>35107</v>
      </c>
      <c r="AH170" s="469">
        <v>85119</v>
      </c>
      <c r="AI170" s="534"/>
      <c r="AJ170" s="464"/>
      <c r="AK170" s="307">
        <f>AJ170/VPI!R170</f>
        <v>0</v>
      </c>
      <c r="AL170" s="309">
        <f t="shared" si="11"/>
        <v>12975</v>
      </c>
      <c r="AM170" s="307">
        <f>AL170/VPI!R170</f>
        <v>0.66466800556274119</v>
      </c>
      <c r="AN170" s="464">
        <v>12975</v>
      </c>
      <c r="AO170" s="534"/>
      <c r="AP170" s="477">
        <v>9.5268676201388001</v>
      </c>
      <c r="AR170" s="530">
        <v>0</v>
      </c>
    </row>
    <row r="171" spans="1:44" x14ac:dyDescent="0.25">
      <c r="A171" s="525">
        <v>5693</v>
      </c>
      <c r="B171" s="526" t="s">
        <v>352</v>
      </c>
      <c r="C171" s="454">
        <v>4294076.6100000003</v>
      </c>
      <c r="D171" s="454">
        <v>576424.84</v>
      </c>
      <c r="E171" s="454"/>
      <c r="F171" s="455"/>
      <c r="G171" s="454">
        <v>92074.45</v>
      </c>
      <c r="H171" s="454">
        <v>5624.4</v>
      </c>
      <c r="I171" s="454"/>
      <c r="J171" s="454">
        <v>76162.559999999998</v>
      </c>
      <c r="K171" s="454">
        <v>13973.8</v>
      </c>
      <c r="L171" s="454">
        <v>462741.05</v>
      </c>
      <c r="M171" s="344">
        <f t="shared" si="8"/>
        <v>5521077.71</v>
      </c>
      <c r="N171" s="458">
        <v>98479.6</v>
      </c>
      <c r="O171" s="458">
        <v>8819.7000000000007</v>
      </c>
      <c r="P171" s="458">
        <v>172387.9</v>
      </c>
      <c r="Q171" s="458">
        <v>4958.42</v>
      </c>
      <c r="R171" s="458">
        <v>240871.05</v>
      </c>
      <c r="S171" s="454">
        <v>9486.31</v>
      </c>
      <c r="T171" s="344">
        <f t="shared" si="9"/>
        <v>6056080.6899999995</v>
      </c>
      <c r="U171" s="456">
        <v>-130106.78</v>
      </c>
      <c r="V171" s="458"/>
      <c r="W171" s="458">
        <v>-337.6</v>
      </c>
      <c r="X171" s="462">
        <v>70</v>
      </c>
      <c r="Y171" s="463">
        <v>1</v>
      </c>
      <c r="Z171" s="464">
        <v>2861</v>
      </c>
      <c r="AA171" s="527"/>
      <c r="AB171" s="469">
        <v>207553</v>
      </c>
      <c r="AC171" s="307">
        <f>AB171/VPI!R171</f>
        <v>2.687974130756587</v>
      </c>
      <c r="AD171" s="309">
        <f t="shared" si="10"/>
        <v>709752</v>
      </c>
      <c r="AE171" s="307">
        <f>AD171/VPI!R171</f>
        <v>9.1918450480250797</v>
      </c>
      <c r="AF171" s="469">
        <v>917305</v>
      </c>
      <c r="AG171" s="469">
        <v>156736</v>
      </c>
      <c r="AH171" s="469">
        <v>285485</v>
      </c>
      <c r="AI171" s="534"/>
      <c r="AJ171" s="464"/>
      <c r="AK171" s="307">
        <f>AJ171/VPI!R171</f>
        <v>0</v>
      </c>
      <c r="AL171" s="309">
        <f t="shared" si="11"/>
        <v>171125</v>
      </c>
      <c r="AM171" s="307">
        <f>AL171/VPI!R171</f>
        <v>2.2162029608134834</v>
      </c>
      <c r="AN171" s="464">
        <v>171125</v>
      </c>
      <c r="AO171" s="534"/>
      <c r="AP171" s="477">
        <v>2.7639470576309462</v>
      </c>
      <c r="AR171" s="530">
        <v>0</v>
      </c>
    </row>
    <row r="172" spans="1:44" x14ac:dyDescent="0.25">
      <c r="A172" s="525">
        <v>5701</v>
      </c>
      <c r="B172" s="526" t="s">
        <v>98</v>
      </c>
      <c r="C172" s="454">
        <v>907224.71</v>
      </c>
      <c r="D172" s="454">
        <v>134792.84</v>
      </c>
      <c r="E172" s="454"/>
      <c r="F172" s="455"/>
      <c r="G172" s="454">
        <v>6186.5</v>
      </c>
      <c r="H172" s="454">
        <v>428.75</v>
      </c>
      <c r="I172" s="454">
        <v>372035.85</v>
      </c>
      <c r="J172" s="454">
        <v>26005.42</v>
      </c>
      <c r="K172" s="454">
        <v>3411.75</v>
      </c>
      <c r="L172" s="454">
        <v>83354.600000000006</v>
      </c>
      <c r="M172" s="344">
        <f t="shared" si="8"/>
        <v>1533440.42</v>
      </c>
      <c r="N172" s="458">
        <v>1738.6</v>
      </c>
      <c r="O172" s="458"/>
      <c r="P172" s="458">
        <v>105767.45</v>
      </c>
      <c r="Q172" s="458"/>
      <c r="R172" s="458">
        <v>61338.45</v>
      </c>
      <c r="S172" s="454">
        <v>642.32000000000005</v>
      </c>
      <c r="T172" s="344">
        <f t="shared" si="9"/>
        <v>1702927.24</v>
      </c>
      <c r="U172" s="456">
        <v>-11.77</v>
      </c>
      <c r="V172" s="458"/>
      <c r="W172" s="458">
        <v>-2165.15</v>
      </c>
      <c r="X172" s="462">
        <v>68</v>
      </c>
      <c r="Y172" s="463">
        <v>1</v>
      </c>
      <c r="Z172" s="464">
        <v>267</v>
      </c>
      <c r="AA172" s="527"/>
      <c r="AB172" s="469"/>
      <c r="AC172" s="307">
        <f>AB172/VPI!R172</f>
        <v>0</v>
      </c>
      <c r="AD172" s="309">
        <f t="shared" si="10"/>
        <v>0</v>
      </c>
      <c r="AE172" s="307">
        <f>AD172/VPI!R172</f>
        <v>0</v>
      </c>
      <c r="AF172" s="469"/>
      <c r="AG172" s="469"/>
      <c r="AH172" s="469"/>
      <c r="AI172" s="534"/>
      <c r="AJ172" s="464"/>
      <c r="AK172" s="307">
        <f>AJ172/VPI!R172</f>
        <v>0</v>
      </c>
      <c r="AL172" s="309">
        <f t="shared" si="11"/>
        <v>0</v>
      </c>
      <c r="AM172" s="307">
        <f>AL172/VPI!R172</f>
        <v>0</v>
      </c>
      <c r="AN172" s="464"/>
      <c r="AO172" s="534"/>
      <c r="AP172" s="477">
        <v>30.990462730189996</v>
      </c>
      <c r="AR172" s="530">
        <v>0</v>
      </c>
    </row>
    <row r="173" spans="1:44" x14ac:dyDescent="0.25">
      <c r="A173" s="525">
        <v>5702</v>
      </c>
      <c r="B173" s="526" t="s">
        <v>351</v>
      </c>
      <c r="C173" s="454">
        <v>8988086.3499999996</v>
      </c>
      <c r="D173" s="454">
        <v>1750367.54</v>
      </c>
      <c r="E173" s="454"/>
      <c r="F173" s="455"/>
      <c r="G173" s="454">
        <v>52246.65</v>
      </c>
      <c r="H173" s="454">
        <v>21793.15</v>
      </c>
      <c r="I173" s="454">
        <v>435712.35</v>
      </c>
      <c r="J173" s="454">
        <v>-19918.169999999998</v>
      </c>
      <c r="K173" s="454">
        <v>21049.55</v>
      </c>
      <c r="L173" s="454">
        <v>1367412.25</v>
      </c>
      <c r="M173" s="344">
        <f t="shared" si="8"/>
        <v>12616749.670000002</v>
      </c>
      <c r="N173" s="458">
        <v>92530.6</v>
      </c>
      <c r="O173" s="458">
        <v>44395.1</v>
      </c>
      <c r="P173" s="458">
        <v>389048.45</v>
      </c>
      <c r="Q173" s="458">
        <v>26656.29</v>
      </c>
      <c r="R173" s="458">
        <v>601818.5</v>
      </c>
      <c r="S173" s="454">
        <v>7189.08</v>
      </c>
      <c r="T173" s="344">
        <f t="shared" si="9"/>
        <v>13778387.689999999</v>
      </c>
      <c r="U173" s="456">
        <v>-58357.94</v>
      </c>
      <c r="V173" s="458"/>
      <c r="W173" s="458">
        <v>-32126.2</v>
      </c>
      <c r="X173" s="462">
        <v>64</v>
      </c>
      <c r="Y173" s="463">
        <v>1.5</v>
      </c>
      <c r="Z173" s="464">
        <v>2968</v>
      </c>
      <c r="AA173" s="527"/>
      <c r="AB173" s="469">
        <v>4483</v>
      </c>
      <c r="AC173" s="307">
        <f>AB173/VPI!R173</f>
        <v>2.3703298697364889E-2</v>
      </c>
      <c r="AD173" s="309">
        <f t="shared" si="10"/>
        <v>365703</v>
      </c>
      <c r="AE173" s="307">
        <f>AD173/VPI!R173</f>
        <v>1.9336086200139264</v>
      </c>
      <c r="AF173" s="469">
        <v>370186</v>
      </c>
      <c r="AG173" s="469">
        <v>255419</v>
      </c>
      <c r="AH173" s="469">
        <v>211211</v>
      </c>
      <c r="AI173" s="534"/>
      <c r="AJ173" s="464">
        <v>189684</v>
      </c>
      <c r="AK173" s="307">
        <f>AJ173/VPI!R173</f>
        <v>1.0029302944704355</v>
      </c>
      <c r="AL173" s="309">
        <f t="shared" si="11"/>
        <v>531779</v>
      </c>
      <c r="AM173" s="307">
        <f>AL173/VPI!R173</f>
        <v>2.8117145835346875</v>
      </c>
      <c r="AN173" s="464">
        <v>721463</v>
      </c>
      <c r="AO173" s="534"/>
      <c r="AP173" s="477">
        <v>29.486590310692556</v>
      </c>
      <c r="AR173" s="530">
        <v>0</v>
      </c>
    </row>
    <row r="174" spans="1:44" x14ac:dyDescent="0.25">
      <c r="A174" s="525">
        <v>5703</v>
      </c>
      <c r="B174" s="526" t="s">
        <v>99</v>
      </c>
      <c r="C174" s="454">
        <v>4247626.71</v>
      </c>
      <c r="D174" s="454">
        <v>548427.98</v>
      </c>
      <c r="E174" s="454"/>
      <c r="F174" s="455"/>
      <c r="G174" s="454">
        <v>27643.5</v>
      </c>
      <c r="H174" s="454">
        <v>2188.3000000000002</v>
      </c>
      <c r="I174" s="454"/>
      <c r="J174" s="454">
        <v>-89564.75</v>
      </c>
      <c r="K174" s="454">
        <v>4291.75</v>
      </c>
      <c r="L174" s="454">
        <v>503011.85</v>
      </c>
      <c r="M174" s="344">
        <f t="shared" si="8"/>
        <v>5243625.3399999989</v>
      </c>
      <c r="N174" s="458">
        <v>24696.400000000001</v>
      </c>
      <c r="O174" s="458"/>
      <c r="P174" s="458">
        <v>142664.5</v>
      </c>
      <c r="Q174" s="458"/>
      <c r="R174" s="458">
        <v>141489.95000000001</v>
      </c>
      <c r="S174" s="454">
        <v>2896.59</v>
      </c>
      <c r="T174" s="344">
        <f t="shared" si="9"/>
        <v>5555372.7799999993</v>
      </c>
      <c r="U174" s="456">
        <v>-34058.879999999997</v>
      </c>
      <c r="V174" s="458"/>
      <c r="W174" s="458">
        <v>-2108.19</v>
      </c>
      <c r="X174" s="462">
        <v>72.5</v>
      </c>
      <c r="Y174" s="463">
        <v>1.4</v>
      </c>
      <c r="Z174" s="464">
        <v>1484</v>
      </c>
      <c r="AA174" s="527"/>
      <c r="AB174" s="469"/>
      <c r="AC174" s="307">
        <f>AB174/VPI!R174</f>
        <v>0</v>
      </c>
      <c r="AD174" s="309">
        <f t="shared" si="10"/>
        <v>0</v>
      </c>
      <c r="AE174" s="307">
        <f>AD174/VPI!R174</f>
        <v>0</v>
      </c>
      <c r="AF174" s="469"/>
      <c r="AG174" s="469"/>
      <c r="AH174" s="469"/>
      <c r="AI174" s="534"/>
      <c r="AJ174" s="464"/>
      <c r="AK174" s="307">
        <f>AJ174/VPI!R174</f>
        <v>0</v>
      </c>
      <c r="AL174" s="309">
        <f t="shared" si="11"/>
        <v>0</v>
      </c>
      <c r="AM174" s="307">
        <f>AL174/VPI!R174</f>
        <v>0</v>
      </c>
      <c r="AN174" s="464"/>
      <c r="AO174" s="534"/>
      <c r="AP174" s="477">
        <v>23.810855323623674</v>
      </c>
      <c r="AR174" s="530">
        <v>0</v>
      </c>
    </row>
    <row r="175" spans="1:44" x14ac:dyDescent="0.25">
      <c r="A175" s="525">
        <v>5704</v>
      </c>
      <c r="B175" s="526" t="s">
        <v>195</v>
      </c>
      <c r="C175" s="454">
        <v>6804515.7199999997</v>
      </c>
      <c r="D175" s="454">
        <v>1660000.8</v>
      </c>
      <c r="E175" s="454"/>
      <c r="F175" s="455"/>
      <c r="G175" s="454">
        <v>94599</v>
      </c>
      <c r="H175" s="454">
        <v>3818.55</v>
      </c>
      <c r="I175" s="454">
        <v>322864.90000000002</v>
      </c>
      <c r="J175" s="454">
        <v>116899.97</v>
      </c>
      <c r="K175" s="454">
        <v>22991.55</v>
      </c>
      <c r="L175" s="454">
        <v>880315.3</v>
      </c>
      <c r="M175" s="344">
        <f t="shared" si="8"/>
        <v>9906005.7900000028</v>
      </c>
      <c r="N175" s="458">
        <v>43903.1</v>
      </c>
      <c r="O175" s="458">
        <v>27006.799999999999</v>
      </c>
      <c r="P175" s="458">
        <v>257227.9</v>
      </c>
      <c r="Q175" s="458">
        <v>8290.31</v>
      </c>
      <c r="R175" s="458">
        <v>167298.54999999999</v>
      </c>
      <c r="S175" s="454">
        <v>9556.1</v>
      </c>
      <c r="T175" s="344">
        <f t="shared" si="9"/>
        <v>10419288.550000004</v>
      </c>
      <c r="U175" s="456">
        <v>-13825.91</v>
      </c>
      <c r="V175" s="458"/>
      <c r="W175" s="458">
        <v>-133859.53</v>
      </c>
      <c r="X175" s="462">
        <v>62.5</v>
      </c>
      <c r="Y175" s="463">
        <v>1.5</v>
      </c>
      <c r="Z175" s="464">
        <v>2041</v>
      </c>
      <c r="AA175" s="527"/>
      <c r="AB175" s="469">
        <v>10349</v>
      </c>
      <c r="AC175" s="307">
        <f>AB175/VPI!R175</f>
        <v>6.8209536086895881E-2</v>
      </c>
      <c r="AD175" s="309">
        <f t="shared" si="10"/>
        <v>510789</v>
      </c>
      <c r="AE175" s="307">
        <f>AD175/VPI!R175</f>
        <v>3.366574618638464</v>
      </c>
      <c r="AF175" s="469">
        <v>521138</v>
      </c>
      <c r="AG175" s="469">
        <v>103577</v>
      </c>
      <c r="AH175" s="469">
        <v>196079</v>
      </c>
      <c r="AI175" s="534"/>
      <c r="AJ175" s="464"/>
      <c r="AK175" s="307">
        <f>AJ175/VPI!R175</f>
        <v>0</v>
      </c>
      <c r="AL175" s="309">
        <f t="shared" si="11"/>
        <v>33968</v>
      </c>
      <c r="AM175" s="307">
        <f>AL175/VPI!R175</f>
        <v>0.22388071521883074</v>
      </c>
      <c r="AN175" s="464">
        <v>33968</v>
      </c>
      <c r="AO175" s="534"/>
      <c r="AP175" s="477">
        <v>31.795956332329666</v>
      </c>
      <c r="AR175" s="530">
        <v>0</v>
      </c>
    </row>
    <row r="176" spans="1:44" x14ac:dyDescent="0.25">
      <c r="A176" s="525">
        <v>5705</v>
      </c>
      <c r="B176" s="526" t="s">
        <v>196</v>
      </c>
      <c r="C176" s="454">
        <v>3585931.12</v>
      </c>
      <c r="D176" s="454">
        <v>419709.51</v>
      </c>
      <c r="E176" s="454"/>
      <c r="F176" s="455"/>
      <c r="G176" s="454">
        <v>63773.1</v>
      </c>
      <c r="H176" s="454">
        <v>7878.25</v>
      </c>
      <c r="I176" s="454">
        <v>0</v>
      </c>
      <c r="J176" s="454">
        <v>-27121.08</v>
      </c>
      <c r="K176" s="454">
        <v>5685.75</v>
      </c>
      <c r="L176" s="454">
        <v>253195.9</v>
      </c>
      <c r="M176" s="344">
        <f t="shared" si="8"/>
        <v>4309052.55</v>
      </c>
      <c r="N176" s="458">
        <v>50676.5</v>
      </c>
      <c r="O176" s="458">
        <v>58039.8</v>
      </c>
      <c r="P176" s="458">
        <v>93614.65</v>
      </c>
      <c r="Q176" s="458">
        <v>2983.89</v>
      </c>
      <c r="R176" s="458">
        <v>242502.15</v>
      </c>
      <c r="S176" s="454">
        <v>6957.17</v>
      </c>
      <c r="T176" s="344">
        <f t="shared" si="9"/>
        <v>4763826.71</v>
      </c>
      <c r="U176" s="456">
        <v>-36575.89</v>
      </c>
      <c r="V176" s="458"/>
      <c r="W176" s="458">
        <v>-7443.9</v>
      </c>
      <c r="X176" s="462">
        <v>71</v>
      </c>
      <c r="Y176" s="463">
        <v>1</v>
      </c>
      <c r="Z176" s="464">
        <v>990</v>
      </c>
      <c r="AA176" s="527"/>
      <c r="AB176" s="469"/>
      <c r="AC176" s="307">
        <f>AB176/VPI!R176</f>
        <v>0</v>
      </c>
      <c r="AD176" s="309">
        <f t="shared" si="10"/>
        <v>0</v>
      </c>
      <c r="AE176" s="307">
        <f>AD176/VPI!R176</f>
        <v>0</v>
      </c>
      <c r="AF176" s="469"/>
      <c r="AG176" s="469"/>
      <c r="AH176" s="469"/>
      <c r="AI176" s="534"/>
      <c r="AJ176" s="464"/>
      <c r="AK176" s="307">
        <f>AJ176/VPI!R176</f>
        <v>0</v>
      </c>
      <c r="AL176" s="309">
        <f t="shared" si="11"/>
        <v>0</v>
      </c>
      <c r="AM176" s="307">
        <f>AL176/VPI!R176</f>
        <v>0</v>
      </c>
      <c r="AN176" s="464"/>
      <c r="AO176" s="534"/>
      <c r="AP176" s="477">
        <v>30.31928041195092</v>
      </c>
      <c r="AR176" s="530">
        <v>0</v>
      </c>
    </row>
    <row r="177" spans="1:44" x14ac:dyDescent="0.25">
      <c r="A177" s="525">
        <v>5706</v>
      </c>
      <c r="B177" s="526" t="s">
        <v>197</v>
      </c>
      <c r="C177" s="454">
        <v>3033579.59</v>
      </c>
      <c r="D177" s="454">
        <v>570776.16</v>
      </c>
      <c r="E177" s="454"/>
      <c r="F177" s="455"/>
      <c r="G177" s="454">
        <v>16576.099999999999</v>
      </c>
      <c r="H177" s="454">
        <v>518.9</v>
      </c>
      <c r="I177" s="454">
        <v>48123.1</v>
      </c>
      <c r="J177" s="454">
        <v>24601.72</v>
      </c>
      <c r="K177" s="454">
        <v>10749.05</v>
      </c>
      <c r="L177" s="454">
        <v>454607.1</v>
      </c>
      <c r="M177" s="344">
        <f t="shared" si="8"/>
        <v>4159531.72</v>
      </c>
      <c r="N177" s="458">
        <v>8706.7999999999993</v>
      </c>
      <c r="O177" s="458">
        <v>72500</v>
      </c>
      <c r="P177" s="458">
        <v>149554.6</v>
      </c>
      <c r="Q177" s="458">
        <v>150.63</v>
      </c>
      <c r="R177" s="458">
        <v>175080</v>
      </c>
      <c r="S177" s="454">
        <v>1659.88</v>
      </c>
      <c r="T177" s="344">
        <f t="shared" si="9"/>
        <v>4567183.629999999</v>
      </c>
      <c r="U177" s="456">
        <v>-26471.85</v>
      </c>
      <c r="V177" s="458"/>
      <c r="W177" s="458">
        <v>-40928.550000000003</v>
      </c>
      <c r="X177" s="462">
        <v>57</v>
      </c>
      <c r="Y177" s="463">
        <v>1.5</v>
      </c>
      <c r="Z177" s="464">
        <v>1144</v>
      </c>
      <c r="AA177" s="527"/>
      <c r="AB177" s="469"/>
      <c r="AC177" s="307">
        <f>AB177/VPI!R177</f>
        <v>0</v>
      </c>
      <c r="AD177" s="309">
        <f t="shared" si="10"/>
        <v>0</v>
      </c>
      <c r="AE177" s="307">
        <f>AD177/VPI!R177</f>
        <v>0</v>
      </c>
      <c r="AF177" s="469"/>
      <c r="AG177" s="469"/>
      <c r="AH177" s="469"/>
      <c r="AI177" s="534"/>
      <c r="AJ177" s="464"/>
      <c r="AK177" s="307">
        <f>AJ177/VPI!R177</f>
        <v>0</v>
      </c>
      <c r="AL177" s="309">
        <f t="shared" si="11"/>
        <v>0</v>
      </c>
      <c r="AM177" s="307">
        <f>AL177/VPI!R177</f>
        <v>0</v>
      </c>
      <c r="AN177" s="464"/>
      <c r="AO177" s="534"/>
      <c r="AP177" s="477">
        <v>31.031672800138367</v>
      </c>
      <c r="AR177" s="530">
        <v>0</v>
      </c>
    </row>
    <row r="178" spans="1:44" x14ac:dyDescent="0.25">
      <c r="A178" s="525">
        <v>5707</v>
      </c>
      <c r="B178" s="526" t="s">
        <v>198</v>
      </c>
      <c r="C178" s="454">
        <v>3787246.79</v>
      </c>
      <c r="D178" s="454">
        <v>602809.36</v>
      </c>
      <c r="E178" s="454"/>
      <c r="F178" s="455"/>
      <c r="G178" s="454">
        <v>676891</v>
      </c>
      <c r="H178" s="454">
        <v>19334.400000000001</v>
      </c>
      <c r="I178" s="454">
        <v>34191</v>
      </c>
      <c r="J178" s="454">
        <v>50425.27</v>
      </c>
      <c r="K178" s="454">
        <v>68910.05</v>
      </c>
      <c r="L178" s="454">
        <v>785673.8</v>
      </c>
      <c r="M178" s="344">
        <f t="shared" si="8"/>
        <v>6025481.6699999999</v>
      </c>
      <c r="N178" s="458">
        <v>685460.6</v>
      </c>
      <c r="O178" s="458"/>
      <c r="P178" s="458">
        <v>109564</v>
      </c>
      <c r="Q178" s="458">
        <v>2859.79</v>
      </c>
      <c r="R178" s="458">
        <v>153781.6</v>
      </c>
      <c r="S178" s="454">
        <v>67601.740000000005</v>
      </c>
      <c r="T178" s="344">
        <f t="shared" si="9"/>
        <v>7044749.3999999994</v>
      </c>
      <c r="U178" s="456">
        <v>-8933.8700000000008</v>
      </c>
      <c r="V178" s="458"/>
      <c r="W178" s="458">
        <v>-6138.9</v>
      </c>
      <c r="X178" s="462">
        <v>58</v>
      </c>
      <c r="Y178" s="463">
        <v>1.5</v>
      </c>
      <c r="Z178" s="464">
        <v>1388</v>
      </c>
      <c r="AA178" s="527"/>
      <c r="AB178" s="469"/>
      <c r="AC178" s="307">
        <f>AB178/VPI!R178</f>
        <v>0</v>
      </c>
      <c r="AD178" s="309">
        <f t="shared" si="10"/>
        <v>0</v>
      </c>
      <c r="AE178" s="307">
        <f>AD178/VPI!R178</f>
        <v>0</v>
      </c>
      <c r="AF178" s="469"/>
      <c r="AG178" s="469"/>
      <c r="AH178" s="469"/>
      <c r="AI178" s="534"/>
      <c r="AJ178" s="464"/>
      <c r="AK178" s="307">
        <f>AJ178/VPI!R178</f>
        <v>0</v>
      </c>
      <c r="AL178" s="309">
        <f t="shared" si="11"/>
        <v>0</v>
      </c>
      <c r="AM178" s="307">
        <f>AL178/VPI!R178</f>
        <v>0</v>
      </c>
      <c r="AN178" s="464"/>
      <c r="AO178" s="534"/>
      <c r="AP178" s="477">
        <v>31.340552975335836</v>
      </c>
      <c r="AR178" s="530">
        <v>0</v>
      </c>
    </row>
    <row r="179" spans="1:44" x14ac:dyDescent="0.25">
      <c r="A179" s="525">
        <v>5708</v>
      </c>
      <c r="B179" s="526" t="s">
        <v>199</v>
      </c>
      <c r="C179" s="454">
        <v>3764104.69</v>
      </c>
      <c r="D179" s="454">
        <v>723937.1</v>
      </c>
      <c r="E179" s="454"/>
      <c r="F179" s="455"/>
      <c r="G179" s="454">
        <v>20330.099999999999</v>
      </c>
      <c r="H179" s="454">
        <v>995.15</v>
      </c>
      <c r="I179" s="454"/>
      <c r="J179" s="454">
        <v>-19663.560000000001</v>
      </c>
      <c r="K179" s="454">
        <v>13731.8</v>
      </c>
      <c r="L179" s="454">
        <v>461120.55</v>
      </c>
      <c r="M179" s="344">
        <f t="shared" si="8"/>
        <v>4964555.83</v>
      </c>
      <c r="N179" s="458">
        <v>17492.2</v>
      </c>
      <c r="O179" s="458"/>
      <c r="P179" s="458">
        <v>62549.65</v>
      </c>
      <c r="Q179" s="458">
        <v>99.67</v>
      </c>
      <c r="R179" s="458">
        <v>79350.55</v>
      </c>
      <c r="S179" s="454">
        <v>2070.63</v>
      </c>
      <c r="T179" s="344">
        <f t="shared" si="9"/>
        <v>5126118.53</v>
      </c>
      <c r="U179" s="456">
        <v>-5027.4399999999996</v>
      </c>
      <c r="V179" s="458"/>
      <c r="W179" s="458">
        <v>-22351.4</v>
      </c>
      <c r="X179" s="462">
        <v>68</v>
      </c>
      <c r="Y179" s="463">
        <v>1.5</v>
      </c>
      <c r="Z179" s="464">
        <v>982</v>
      </c>
      <c r="AA179" s="527"/>
      <c r="AB179" s="469"/>
      <c r="AC179" s="307">
        <f>AB179/VPI!R179</f>
        <v>0</v>
      </c>
      <c r="AD179" s="309">
        <f t="shared" si="10"/>
        <v>0</v>
      </c>
      <c r="AE179" s="307">
        <f>AD179/VPI!R179</f>
        <v>0</v>
      </c>
      <c r="AF179" s="469"/>
      <c r="AG179" s="469"/>
      <c r="AH179" s="469"/>
      <c r="AI179" s="534"/>
      <c r="AJ179" s="464"/>
      <c r="AK179" s="307">
        <f>AJ179/VPI!R179</f>
        <v>0</v>
      </c>
      <c r="AL179" s="309">
        <f t="shared" si="11"/>
        <v>0</v>
      </c>
      <c r="AM179" s="307">
        <f>AL179/VPI!R179</f>
        <v>0</v>
      </c>
      <c r="AN179" s="464"/>
      <c r="AO179" s="534"/>
      <c r="AP179" s="477">
        <v>35.841182951961443</v>
      </c>
      <c r="AR179" s="530">
        <v>0</v>
      </c>
    </row>
    <row r="180" spans="1:44" x14ac:dyDescent="0.25">
      <c r="A180" s="525">
        <v>5709</v>
      </c>
      <c r="B180" s="526" t="s">
        <v>200</v>
      </c>
      <c r="C180" s="454">
        <v>4473166.74</v>
      </c>
      <c r="D180" s="454">
        <v>862783.89</v>
      </c>
      <c r="E180" s="454"/>
      <c r="F180" s="455"/>
      <c r="G180" s="454">
        <v>55599</v>
      </c>
      <c r="H180" s="454">
        <v>14048.6</v>
      </c>
      <c r="I180" s="454">
        <v>663903.44999999995</v>
      </c>
      <c r="J180" s="454">
        <v>54700.59</v>
      </c>
      <c r="K180" s="454">
        <v>12548.85</v>
      </c>
      <c r="L180" s="454">
        <v>424788.2</v>
      </c>
      <c r="M180" s="344">
        <f t="shared" si="8"/>
        <v>6561539.3199999994</v>
      </c>
      <c r="N180" s="458">
        <v>63278.55</v>
      </c>
      <c r="O180" s="458"/>
      <c r="P180" s="458">
        <v>313690.5</v>
      </c>
      <c r="Q180" s="458">
        <v>59.51</v>
      </c>
      <c r="R180" s="458">
        <v>402500.45</v>
      </c>
      <c r="S180" s="454">
        <v>6762.61</v>
      </c>
      <c r="T180" s="344">
        <f t="shared" si="9"/>
        <v>7347830.9399999995</v>
      </c>
      <c r="U180" s="456">
        <v>-9059.2099999999991</v>
      </c>
      <c r="V180" s="458"/>
      <c r="W180" s="458">
        <v>-16178.96</v>
      </c>
      <c r="X180" s="462">
        <v>59</v>
      </c>
      <c r="Y180" s="463">
        <v>1</v>
      </c>
      <c r="Z180" s="464">
        <v>1277</v>
      </c>
      <c r="AA180" s="527"/>
      <c r="AB180" s="469">
        <v>109652</v>
      </c>
      <c r="AC180" s="307">
        <f>AB180/VPI!R180</f>
        <v>0.98874310219131789</v>
      </c>
      <c r="AD180" s="309">
        <f t="shared" si="10"/>
        <v>130202</v>
      </c>
      <c r="AE180" s="307">
        <f>AD180/VPI!R180</f>
        <v>1.1740445171224783</v>
      </c>
      <c r="AF180" s="469">
        <v>239854</v>
      </c>
      <c r="AG180" s="469">
        <v>65819</v>
      </c>
      <c r="AH180" s="469">
        <v>178467</v>
      </c>
      <c r="AI180" s="534"/>
      <c r="AJ180" s="464"/>
      <c r="AK180" s="307">
        <f>AJ180/VPI!R180</f>
        <v>0</v>
      </c>
      <c r="AL180" s="309">
        <f t="shared" si="11"/>
        <v>101945</v>
      </c>
      <c r="AM180" s="307">
        <f>AL180/VPI!R180</f>
        <v>0.91924830876677044</v>
      </c>
      <c r="AN180" s="464">
        <v>101945</v>
      </c>
      <c r="AO180" s="534"/>
      <c r="AP180" s="477">
        <v>36.159504781201036</v>
      </c>
      <c r="AR180" s="530">
        <v>0</v>
      </c>
    </row>
    <row r="181" spans="1:44" x14ac:dyDescent="0.25">
      <c r="A181" s="525">
        <v>5710</v>
      </c>
      <c r="B181" s="526" t="s">
        <v>201</v>
      </c>
      <c r="C181" s="454">
        <v>1038869.82</v>
      </c>
      <c r="D181" s="454">
        <v>192024.63</v>
      </c>
      <c r="E181" s="454"/>
      <c r="F181" s="455"/>
      <c r="G181" s="454">
        <v>-8441.2999999999993</v>
      </c>
      <c r="H181" s="454">
        <v>1928.95</v>
      </c>
      <c r="I181" s="454">
        <v>-110710.39999999999</v>
      </c>
      <c r="J181" s="454">
        <v>24594.880000000001</v>
      </c>
      <c r="K181" s="454">
        <v>3874.8</v>
      </c>
      <c r="L181" s="454">
        <v>132917.29999999999</v>
      </c>
      <c r="M181" s="344">
        <f t="shared" si="8"/>
        <v>1275058.68</v>
      </c>
      <c r="N181" s="458">
        <v>79291.05</v>
      </c>
      <c r="O181" s="458"/>
      <c r="P181" s="458">
        <v>148940</v>
      </c>
      <c r="Q181" s="458">
        <v>1139.17</v>
      </c>
      <c r="R181" s="458">
        <v>8887.4500000000007</v>
      </c>
      <c r="S181" s="454">
        <v>-632.33000000000004</v>
      </c>
      <c r="T181" s="344">
        <f t="shared" si="9"/>
        <v>1512684.0199999998</v>
      </c>
      <c r="U181" s="456">
        <v>-4287.26</v>
      </c>
      <c r="V181" s="458"/>
      <c r="W181" s="458">
        <v>-11766.8</v>
      </c>
      <c r="X181" s="462">
        <v>49</v>
      </c>
      <c r="Y181" s="463">
        <v>1</v>
      </c>
      <c r="Z181" s="464">
        <v>517</v>
      </c>
      <c r="AA181" s="527"/>
      <c r="AB181" s="469"/>
      <c r="AC181" s="307">
        <f>AB181/VPI!R181</f>
        <v>0</v>
      </c>
      <c r="AD181" s="309">
        <f t="shared" si="10"/>
        <v>94061</v>
      </c>
      <c r="AE181" s="307">
        <f>AD181/VPI!R181</f>
        <v>3.6593466168223672</v>
      </c>
      <c r="AF181" s="469">
        <v>94061</v>
      </c>
      <c r="AG181" s="469">
        <v>26771</v>
      </c>
      <c r="AH181" s="469">
        <v>51949</v>
      </c>
      <c r="AI181" s="534"/>
      <c r="AJ181" s="464"/>
      <c r="AK181" s="307">
        <f>AJ181/VPI!R181</f>
        <v>0</v>
      </c>
      <c r="AL181" s="309">
        <f t="shared" si="11"/>
        <v>2110</v>
      </c>
      <c r="AM181" s="307">
        <f>AL181/VPI!R181</f>
        <v>8.2087383309715975E-2</v>
      </c>
      <c r="AN181" s="464">
        <v>2110</v>
      </c>
      <c r="AO181" s="534"/>
      <c r="AP181" s="477">
        <v>30.486623486667384</v>
      </c>
      <c r="AR181" s="530">
        <v>0</v>
      </c>
    </row>
    <row r="182" spans="1:44" x14ac:dyDescent="0.25">
      <c r="A182" s="525">
        <v>5711</v>
      </c>
      <c r="B182" s="526" t="s">
        <v>202</v>
      </c>
      <c r="C182" s="454">
        <v>13230486.630000001</v>
      </c>
      <c r="D182" s="454">
        <v>2278726.84</v>
      </c>
      <c r="E182" s="454"/>
      <c r="F182" s="455"/>
      <c r="G182" s="454">
        <v>53257.15</v>
      </c>
      <c r="H182" s="454">
        <v>13615</v>
      </c>
      <c r="I182" s="454">
        <v>219099.95</v>
      </c>
      <c r="J182" s="454">
        <v>44589.07</v>
      </c>
      <c r="K182" s="454">
        <v>1017.35</v>
      </c>
      <c r="L182" s="454">
        <v>1350309.75</v>
      </c>
      <c r="M182" s="344">
        <f t="shared" si="8"/>
        <v>17191101.740000002</v>
      </c>
      <c r="N182" s="458">
        <v>37825.300000000003</v>
      </c>
      <c r="O182" s="458"/>
      <c r="P182" s="458">
        <v>670743.35</v>
      </c>
      <c r="Q182" s="458">
        <v>43782.75</v>
      </c>
      <c r="R182" s="458">
        <v>984291.35</v>
      </c>
      <c r="S182" s="454">
        <v>6493.12</v>
      </c>
      <c r="T182" s="344">
        <f t="shared" si="9"/>
        <v>18934237.610000007</v>
      </c>
      <c r="U182" s="456">
        <v>-53761.69</v>
      </c>
      <c r="V182" s="458"/>
      <c r="W182" s="458">
        <v>-76106.69</v>
      </c>
      <c r="X182" s="462">
        <v>57</v>
      </c>
      <c r="Y182" s="463">
        <v>1.3</v>
      </c>
      <c r="Z182" s="464">
        <v>2987</v>
      </c>
      <c r="AA182" s="527"/>
      <c r="AB182" s="469"/>
      <c r="AC182" s="307">
        <f>AB182/VPI!R182</f>
        <v>0</v>
      </c>
      <c r="AD182" s="309">
        <f t="shared" si="10"/>
        <v>0</v>
      </c>
      <c r="AE182" s="307">
        <f>AD182/VPI!R182</f>
        <v>0</v>
      </c>
      <c r="AF182" s="469"/>
      <c r="AG182" s="469"/>
      <c r="AH182" s="469"/>
      <c r="AI182" s="534"/>
      <c r="AJ182" s="464"/>
      <c r="AK182" s="307">
        <f>AJ182/VPI!R182</f>
        <v>0</v>
      </c>
      <c r="AL182" s="309">
        <f t="shared" si="11"/>
        <v>0</v>
      </c>
      <c r="AM182" s="307">
        <f>AL182/VPI!R182</f>
        <v>0</v>
      </c>
      <c r="AN182" s="464"/>
      <c r="AO182" s="534"/>
      <c r="AP182" s="477">
        <v>35.294851334326779</v>
      </c>
      <c r="AR182" s="530">
        <v>0</v>
      </c>
    </row>
    <row r="183" spans="1:44" x14ac:dyDescent="0.25">
      <c r="A183" s="525">
        <v>5712</v>
      </c>
      <c r="B183" s="526" t="s">
        <v>203</v>
      </c>
      <c r="C183" s="454">
        <v>17455225.530000001</v>
      </c>
      <c r="D183" s="454">
        <v>6512301.46</v>
      </c>
      <c r="E183" s="454"/>
      <c r="F183" s="455"/>
      <c r="G183" s="454">
        <v>79400.45</v>
      </c>
      <c r="H183" s="454">
        <v>71326.55</v>
      </c>
      <c r="I183" s="454">
        <v>831200.96</v>
      </c>
      <c r="J183" s="454">
        <v>-32723.3</v>
      </c>
      <c r="K183" s="454">
        <v>49562.55</v>
      </c>
      <c r="L183" s="454">
        <v>1934727.8</v>
      </c>
      <c r="M183" s="344">
        <f t="shared" si="8"/>
        <v>26901022.000000004</v>
      </c>
      <c r="N183" s="458">
        <v>176541.3</v>
      </c>
      <c r="O183" s="458">
        <v>124381</v>
      </c>
      <c r="P183" s="458">
        <v>614129.94999999995</v>
      </c>
      <c r="Q183" s="458">
        <v>12625.97</v>
      </c>
      <c r="R183" s="458">
        <v>1156041.6499999999</v>
      </c>
      <c r="S183" s="454">
        <v>14630.57</v>
      </c>
      <c r="T183" s="344">
        <f t="shared" si="9"/>
        <v>28999372.440000001</v>
      </c>
      <c r="U183" s="456">
        <v>-56597.18</v>
      </c>
      <c r="V183" s="458"/>
      <c r="W183" s="458">
        <v>-132337.70000000001</v>
      </c>
      <c r="X183" s="462">
        <v>57</v>
      </c>
      <c r="Y183" s="463">
        <v>1.5</v>
      </c>
      <c r="Z183" s="464">
        <v>3216</v>
      </c>
      <c r="AA183" s="527"/>
      <c r="AB183" s="469">
        <v>393178</v>
      </c>
      <c r="AC183" s="307">
        <f>AB183/VPI!R183</f>
        <v>0.85884773979717488</v>
      </c>
      <c r="AD183" s="309">
        <f t="shared" si="10"/>
        <v>589428</v>
      </c>
      <c r="AE183" s="307">
        <f>AD183/VPI!R183</f>
        <v>1.2875311069621627</v>
      </c>
      <c r="AF183" s="469">
        <v>982606</v>
      </c>
      <c r="AG183" s="469">
        <v>273645</v>
      </c>
      <c r="AH183" s="469">
        <v>203304</v>
      </c>
      <c r="AI183" s="534"/>
      <c r="AJ183" s="464"/>
      <c r="AK183" s="307">
        <f>AJ183/VPI!R183</f>
        <v>0</v>
      </c>
      <c r="AL183" s="309">
        <f t="shared" si="11"/>
        <v>0</v>
      </c>
      <c r="AM183" s="307">
        <f>AL183/VPI!R183</f>
        <v>0</v>
      </c>
      <c r="AN183" s="464"/>
      <c r="AO183" s="534"/>
      <c r="AP183" s="477">
        <v>40.562933442307241</v>
      </c>
      <c r="AR183" s="530">
        <v>0</v>
      </c>
    </row>
    <row r="184" spans="1:44" x14ac:dyDescent="0.25">
      <c r="A184" s="525">
        <v>5713</v>
      </c>
      <c r="B184" s="526" t="s">
        <v>546</v>
      </c>
      <c r="C184" s="454">
        <v>9809344.8699999992</v>
      </c>
      <c r="D184" s="454">
        <v>5027544.3499999996</v>
      </c>
      <c r="E184" s="454"/>
      <c r="F184" s="455"/>
      <c r="G184" s="454">
        <v>106044.9</v>
      </c>
      <c r="H184" s="454">
        <v>34649.599999999999</v>
      </c>
      <c r="I184" s="454">
        <v>677850.7</v>
      </c>
      <c r="J184" s="454">
        <v>276420.26</v>
      </c>
      <c r="K184" s="454">
        <v>26586.6</v>
      </c>
      <c r="L184" s="454">
        <v>970717.45</v>
      </c>
      <c r="M184" s="344">
        <f t="shared" si="8"/>
        <v>16929158.729999997</v>
      </c>
      <c r="N184" s="458">
        <v>36110.85</v>
      </c>
      <c r="O184" s="458">
        <v>1264102.7</v>
      </c>
      <c r="P184" s="458">
        <v>447645</v>
      </c>
      <c r="Q184" s="458">
        <v>14515.66</v>
      </c>
      <c r="R184" s="458">
        <v>1202659.1499999999</v>
      </c>
      <c r="S184" s="454">
        <v>13661.08</v>
      </c>
      <c r="T184" s="344">
        <f t="shared" si="9"/>
        <v>19907853.169999994</v>
      </c>
      <c r="U184" s="456">
        <v>-25378.34</v>
      </c>
      <c r="V184" s="458"/>
      <c r="W184" s="458">
        <v>-103598.68</v>
      </c>
      <c r="X184" s="462">
        <v>59</v>
      </c>
      <c r="Y184" s="463">
        <v>1</v>
      </c>
      <c r="Z184" s="464">
        <v>2455</v>
      </c>
      <c r="AA184" s="527"/>
      <c r="AB184" s="469"/>
      <c r="AC184" s="307">
        <f>AB184/VPI!R184</f>
        <v>0</v>
      </c>
      <c r="AD184" s="309">
        <f t="shared" si="10"/>
        <v>0</v>
      </c>
      <c r="AE184" s="307">
        <f>AD184/VPI!R184</f>
        <v>0</v>
      </c>
      <c r="AF184" s="469"/>
      <c r="AG184" s="469"/>
      <c r="AH184" s="469"/>
      <c r="AI184" s="534"/>
      <c r="AJ184" s="464"/>
      <c r="AK184" s="307">
        <f>AJ184/VPI!R184</f>
        <v>0</v>
      </c>
      <c r="AL184" s="309">
        <f t="shared" si="11"/>
        <v>0</v>
      </c>
      <c r="AM184" s="307">
        <f>AL184/VPI!R184</f>
        <v>0</v>
      </c>
      <c r="AN184" s="464"/>
      <c r="AO184" s="534"/>
      <c r="AP184" s="477">
        <v>42.486171816704839</v>
      </c>
      <c r="AR184" s="530">
        <v>1</v>
      </c>
    </row>
    <row r="185" spans="1:44" x14ac:dyDescent="0.25">
      <c r="A185" s="525">
        <v>5714</v>
      </c>
      <c r="B185" s="526" t="s">
        <v>204</v>
      </c>
      <c r="C185" s="454">
        <v>3352686.13</v>
      </c>
      <c r="D185" s="454">
        <v>501201.72</v>
      </c>
      <c r="E185" s="454"/>
      <c r="F185" s="455"/>
      <c r="G185" s="454">
        <v>32523.9</v>
      </c>
      <c r="H185" s="454">
        <v>2532.5</v>
      </c>
      <c r="I185" s="454">
        <v>199581.05</v>
      </c>
      <c r="J185" s="454">
        <v>41039.58</v>
      </c>
      <c r="K185" s="454">
        <v>9331.5499999999993</v>
      </c>
      <c r="L185" s="454">
        <v>322417.59999999998</v>
      </c>
      <c r="M185" s="344">
        <f t="shared" si="8"/>
        <v>4461314.0299999993</v>
      </c>
      <c r="N185" s="458">
        <v>127997.55</v>
      </c>
      <c r="O185" s="458"/>
      <c r="P185" s="458">
        <v>122265</v>
      </c>
      <c r="Q185" s="458"/>
      <c r="R185" s="458">
        <v>185378.3</v>
      </c>
      <c r="S185" s="454">
        <v>3403.89</v>
      </c>
      <c r="T185" s="344">
        <f t="shared" si="9"/>
        <v>4900358.7699999986</v>
      </c>
      <c r="U185" s="456">
        <v>-4216.1099999999997</v>
      </c>
      <c r="V185" s="458"/>
      <c r="W185" s="458">
        <v>-3856.6</v>
      </c>
      <c r="X185" s="462">
        <v>66.5</v>
      </c>
      <c r="Y185" s="463">
        <v>1</v>
      </c>
      <c r="Z185" s="464">
        <v>1274</v>
      </c>
      <c r="AA185" s="527"/>
      <c r="AB185" s="469"/>
      <c r="AC185" s="307">
        <f>AB185/VPI!R185</f>
        <v>0</v>
      </c>
      <c r="AD185" s="309">
        <f t="shared" si="10"/>
        <v>0</v>
      </c>
      <c r="AE185" s="307">
        <f>AD185/VPI!R185</f>
        <v>0</v>
      </c>
      <c r="AF185" s="469"/>
      <c r="AG185" s="469"/>
      <c r="AH185" s="469"/>
      <c r="AI185" s="534"/>
      <c r="AJ185" s="464"/>
      <c r="AK185" s="307">
        <f>AJ185/VPI!R185</f>
        <v>0</v>
      </c>
      <c r="AL185" s="309">
        <f t="shared" si="11"/>
        <v>0</v>
      </c>
      <c r="AM185" s="307">
        <f>AL185/VPI!R185</f>
        <v>0</v>
      </c>
      <c r="AN185" s="464"/>
      <c r="AO185" s="534"/>
      <c r="AP185" s="477">
        <v>27.907475776369839</v>
      </c>
      <c r="AR185" s="530">
        <v>0</v>
      </c>
    </row>
    <row r="186" spans="1:44" x14ac:dyDescent="0.25">
      <c r="A186" s="525">
        <v>5715</v>
      </c>
      <c r="B186" s="526" t="s">
        <v>205</v>
      </c>
      <c r="C186" s="454">
        <v>2836851.28</v>
      </c>
      <c r="D186" s="454">
        <v>588788.13</v>
      </c>
      <c r="E186" s="454"/>
      <c r="F186" s="455"/>
      <c r="G186" s="454">
        <v>79724.2</v>
      </c>
      <c r="H186" s="454">
        <v>-159.5</v>
      </c>
      <c r="I186" s="454"/>
      <c r="J186" s="454">
        <v>45887.34</v>
      </c>
      <c r="K186" s="454">
        <v>9200</v>
      </c>
      <c r="L186" s="454">
        <v>304436.59999999998</v>
      </c>
      <c r="M186" s="344">
        <f t="shared" si="8"/>
        <v>3864728.05</v>
      </c>
      <c r="N186" s="458">
        <v>137616.95000000001</v>
      </c>
      <c r="O186" s="458">
        <v>1677</v>
      </c>
      <c r="P186" s="458">
        <v>121294.3</v>
      </c>
      <c r="Q186" s="458">
        <v>252.09</v>
      </c>
      <c r="R186" s="458">
        <v>220963.6</v>
      </c>
      <c r="S186" s="454">
        <v>7725.53</v>
      </c>
      <c r="T186" s="344">
        <f t="shared" si="9"/>
        <v>4354257.5199999996</v>
      </c>
      <c r="U186" s="456">
        <v>-2768.03</v>
      </c>
      <c r="V186" s="458"/>
      <c r="W186" s="458">
        <v>-8974.7999999999993</v>
      </c>
      <c r="X186" s="462">
        <v>66</v>
      </c>
      <c r="Y186" s="463">
        <v>1</v>
      </c>
      <c r="Z186" s="464">
        <v>1143</v>
      </c>
      <c r="AA186" s="527"/>
      <c r="AB186" s="469"/>
      <c r="AC186" s="307">
        <f>AB186/VPI!R186</f>
        <v>0</v>
      </c>
      <c r="AD186" s="309">
        <f t="shared" si="10"/>
        <v>0</v>
      </c>
      <c r="AE186" s="307">
        <f>AD186/VPI!R186</f>
        <v>0</v>
      </c>
      <c r="AF186" s="469"/>
      <c r="AG186" s="469"/>
      <c r="AH186" s="469"/>
      <c r="AI186" s="534"/>
      <c r="AJ186" s="464"/>
      <c r="AK186" s="307">
        <f>AJ186/VPI!R186</f>
        <v>0</v>
      </c>
      <c r="AL186" s="309">
        <f t="shared" si="11"/>
        <v>0</v>
      </c>
      <c r="AM186" s="307">
        <f>AL186/VPI!R186</f>
        <v>0</v>
      </c>
      <c r="AN186" s="464"/>
      <c r="AO186" s="534"/>
      <c r="AP186" s="477">
        <v>29.454392732997228</v>
      </c>
      <c r="AR186" s="530">
        <v>0</v>
      </c>
    </row>
    <row r="187" spans="1:44" x14ac:dyDescent="0.25">
      <c r="A187" s="525">
        <v>5716</v>
      </c>
      <c r="B187" s="526" t="s">
        <v>206</v>
      </c>
      <c r="C187" s="454">
        <v>4721641.49</v>
      </c>
      <c r="D187" s="454">
        <v>973420.34</v>
      </c>
      <c r="E187" s="454"/>
      <c r="F187" s="455"/>
      <c r="G187" s="454">
        <v>14106248.550000001</v>
      </c>
      <c r="H187" s="454">
        <v>854973.95</v>
      </c>
      <c r="I187" s="454"/>
      <c r="J187" s="454">
        <v>250388.29</v>
      </c>
      <c r="K187" s="454">
        <v>-123.5</v>
      </c>
      <c r="L187" s="454">
        <v>722232.6</v>
      </c>
      <c r="M187" s="344">
        <f t="shared" si="8"/>
        <v>21628781.720000003</v>
      </c>
      <c r="N187" s="458">
        <v>529807</v>
      </c>
      <c r="O187" s="458">
        <v>17583.3</v>
      </c>
      <c r="P187" s="458">
        <v>866502.1</v>
      </c>
      <c r="Q187" s="458">
        <v>30890.46</v>
      </c>
      <c r="R187" s="458">
        <v>172333.65</v>
      </c>
      <c r="S187" s="454">
        <v>1452697.28</v>
      </c>
      <c r="T187" s="344">
        <f t="shared" si="9"/>
        <v>24698595.510000005</v>
      </c>
      <c r="U187" s="456">
        <v>-29142.71</v>
      </c>
      <c r="V187" s="458"/>
      <c r="W187" s="458">
        <v>-3488.2</v>
      </c>
      <c r="X187" s="462">
        <v>59.5</v>
      </c>
      <c r="Y187" s="463">
        <v>1</v>
      </c>
      <c r="Z187" s="464">
        <v>1772</v>
      </c>
      <c r="AA187" s="527"/>
      <c r="AB187" s="469"/>
      <c r="AC187" s="307">
        <f>AB187/VPI!R187</f>
        <v>0</v>
      </c>
      <c r="AD187" s="309">
        <f t="shared" si="10"/>
        <v>0</v>
      </c>
      <c r="AE187" s="307">
        <f>AD187/VPI!R187</f>
        <v>0</v>
      </c>
      <c r="AF187" s="469"/>
      <c r="AG187" s="469"/>
      <c r="AH187" s="469"/>
      <c r="AI187" s="534"/>
      <c r="AJ187" s="464"/>
      <c r="AK187" s="307">
        <f>AJ187/VPI!R187</f>
        <v>0</v>
      </c>
      <c r="AL187" s="309">
        <f t="shared" si="11"/>
        <v>0</v>
      </c>
      <c r="AM187" s="307">
        <f>AL187/VPI!R187</f>
        <v>0</v>
      </c>
      <c r="AN187" s="464"/>
      <c r="AO187" s="534"/>
      <c r="AP187" s="477">
        <v>46.170509627348487</v>
      </c>
      <c r="AR187" s="530">
        <v>0</v>
      </c>
    </row>
    <row r="188" spans="1:44" x14ac:dyDescent="0.25">
      <c r="A188" s="525">
        <v>5717</v>
      </c>
      <c r="B188" s="526" t="s">
        <v>207</v>
      </c>
      <c r="C188" s="454">
        <v>15149596.92</v>
      </c>
      <c r="D188" s="454">
        <v>4315512.18</v>
      </c>
      <c r="E188" s="454"/>
      <c r="F188" s="455"/>
      <c r="G188" s="454">
        <v>101430.7</v>
      </c>
      <c r="H188" s="454">
        <v>34687.199999999997</v>
      </c>
      <c r="I188" s="454">
        <v>1395207.12</v>
      </c>
      <c r="J188" s="454">
        <v>50213.55</v>
      </c>
      <c r="K188" s="454">
        <v>67511</v>
      </c>
      <c r="L188" s="454">
        <v>1465209.9</v>
      </c>
      <c r="M188" s="344">
        <f t="shared" si="8"/>
        <v>22579368.57</v>
      </c>
      <c r="N188" s="458">
        <v>281693.75</v>
      </c>
      <c r="O188" s="458">
        <v>16565.400000000001</v>
      </c>
      <c r="P188" s="458">
        <v>1066244</v>
      </c>
      <c r="Q188" s="458">
        <v>50575.76</v>
      </c>
      <c r="R188" s="458">
        <v>1144081.1000000001</v>
      </c>
      <c r="S188" s="454">
        <v>13216.71</v>
      </c>
      <c r="T188" s="344">
        <f t="shared" si="9"/>
        <v>25151745.290000003</v>
      </c>
      <c r="U188" s="456">
        <v>-118760.11</v>
      </c>
      <c r="V188" s="458"/>
      <c r="W188" s="458">
        <v>-322557.3</v>
      </c>
      <c r="X188" s="462">
        <v>57</v>
      </c>
      <c r="Y188" s="463">
        <v>1</v>
      </c>
      <c r="Z188" s="464">
        <v>3748</v>
      </c>
      <c r="AA188" s="527"/>
      <c r="AB188" s="469"/>
      <c r="AC188" s="307">
        <f>AB188/VPI!R188</f>
        <v>0</v>
      </c>
      <c r="AD188" s="309">
        <f t="shared" si="10"/>
        <v>0</v>
      </c>
      <c r="AE188" s="307">
        <f>AD188/VPI!R188</f>
        <v>0</v>
      </c>
      <c r="AF188" s="469"/>
      <c r="AG188" s="469"/>
      <c r="AH188" s="469"/>
      <c r="AI188" s="534"/>
      <c r="AJ188" s="464"/>
      <c r="AK188" s="307">
        <f>AJ188/VPI!R188</f>
        <v>0</v>
      </c>
      <c r="AL188" s="309">
        <f t="shared" si="11"/>
        <v>0</v>
      </c>
      <c r="AM188" s="307">
        <f>AL188/VPI!R188</f>
        <v>0</v>
      </c>
      <c r="AN188" s="464"/>
      <c r="AO188" s="534"/>
      <c r="AP188" s="477">
        <v>37.686387815661945</v>
      </c>
      <c r="AR188" s="530">
        <v>0</v>
      </c>
    </row>
    <row r="189" spans="1:44" x14ac:dyDescent="0.25">
      <c r="A189" s="525">
        <v>5718</v>
      </c>
      <c r="B189" s="526" t="s">
        <v>208</v>
      </c>
      <c r="C189" s="454">
        <v>9231271.4199999999</v>
      </c>
      <c r="D189" s="454">
        <v>2043052.72</v>
      </c>
      <c r="E189" s="454"/>
      <c r="F189" s="455"/>
      <c r="G189" s="454">
        <v>-107726.25</v>
      </c>
      <c r="H189" s="454">
        <v>26487.55</v>
      </c>
      <c r="I189" s="454">
        <v>517980.7</v>
      </c>
      <c r="J189" s="454">
        <v>75113.38</v>
      </c>
      <c r="K189" s="454">
        <v>49948.800000000003</v>
      </c>
      <c r="L189" s="454">
        <v>752106.55</v>
      </c>
      <c r="M189" s="344">
        <f t="shared" si="8"/>
        <v>12588234.870000003</v>
      </c>
      <c r="N189" s="458">
        <v>286221.3</v>
      </c>
      <c r="O189" s="458">
        <v>165093.20000000001</v>
      </c>
      <c r="P189" s="458">
        <v>382445.6</v>
      </c>
      <c r="Q189" s="458">
        <v>6127.43</v>
      </c>
      <c r="R189" s="458">
        <v>649248.15</v>
      </c>
      <c r="S189" s="454">
        <v>-7888.07</v>
      </c>
      <c r="T189" s="344">
        <f t="shared" si="9"/>
        <v>14069482.480000002</v>
      </c>
      <c r="U189" s="456">
        <v>-86866.94</v>
      </c>
      <c r="V189" s="458"/>
      <c r="W189" s="458">
        <v>-39714.74</v>
      </c>
      <c r="X189" s="462">
        <v>52</v>
      </c>
      <c r="Y189" s="463">
        <v>1</v>
      </c>
      <c r="Z189" s="464">
        <v>2012</v>
      </c>
      <c r="AA189" s="527"/>
      <c r="AB189" s="469"/>
      <c r="AC189" s="307">
        <f>AB189/VPI!R189</f>
        <v>0</v>
      </c>
      <c r="AD189" s="309">
        <f t="shared" si="10"/>
        <v>0</v>
      </c>
      <c r="AE189" s="307">
        <f>AD189/VPI!R189</f>
        <v>0</v>
      </c>
      <c r="AF189" s="469"/>
      <c r="AG189" s="469"/>
      <c r="AH189" s="469"/>
      <c r="AI189" s="534"/>
      <c r="AJ189" s="464"/>
      <c r="AK189" s="307">
        <f>AJ189/VPI!R189</f>
        <v>0</v>
      </c>
      <c r="AL189" s="309">
        <f t="shared" si="11"/>
        <v>0</v>
      </c>
      <c r="AM189" s="307">
        <f>AL189/VPI!R189</f>
        <v>0</v>
      </c>
      <c r="AN189" s="464"/>
      <c r="AO189" s="534"/>
      <c r="AP189" s="477">
        <v>36.66369980233415</v>
      </c>
      <c r="AR189" s="530">
        <v>0</v>
      </c>
    </row>
    <row r="190" spans="1:44" x14ac:dyDescent="0.25">
      <c r="A190" s="525">
        <v>5719</v>
      </c>
      <c r="B190" s="526" t="s">
        <v>209</v>
      </c>
      <c r="C190" s="454">
        <v>6067386.2300000004</v>
      </c>
      <c r="D190" s="454">
        <v>3451324.85</v>
      </c>
      <c r="E190" s="454"/>
      <c r="F190" s="455"/>
      <c r="G190" s="454">
        <v>69598.75</v>
      </c>
      <c r="H190" s="454">
        <v>16327.45</v>
      </c>
      <c r="I190" s="454">
        <v>303500.69</v>
      </c>
      <c r="J190" s="454">
        <v>22565.78</v>
      </c>
      <c r="K190" s="454">
        <v>16041.8</v>
      </c>
      <c r="L190" s="454">
        <v>275813.5</v>
      </c>
      <c r="M190" s="344">
        <f t="shared" si="8"/>
        <v>10222559.049999999</v>
      </c>
      <c r="N190" s="458">
        <v>78243.899999999994</v>
      </c>
      <c r="O190" s="458">
        <v>1714858.3</v>
      </c>
      <c r="P190" s="458">
        <v>95549.4</v>
      </c>
      <c r="Q190" s="458">
        <v>3485.76</v>
      </c>
      <c r="R190" s="458">
        <v>150212.29999999999</v>
      </c>
      <c r="S190" s="454">
        <v>8343.2199999999993</v>
      </c>
      <c r="T190" s="344">
        <f t="shared" si="9"/>
        <v>12273251.930000002</v>
      </c>
      <c r="U190" s="456">
        <v>-7421.03</v>
      </c>
      <c r="V190" s="458"/>
      <c r="W190" s="458">
        <v>-14421.32</v>
      </c>
      <c r="X190" s="462">
        <v>60</v>
      </c>
      <c r="Y190" s="463">
        <v>0.6</v>
      </c>
      <c r="Z190" s="464">
        <v>1253</v>
      </c>
      <c r="AA190" s="527"/>
      <c r="AB190" s="469"/>
      <c r="AC190" s="307">
        <f>AB190/VPI!R190</f>
        <v>0</v>
      </c>
      <c r="AD190" s="309">
        <f t="shared" si="10"/>
        <v>0</v>
      </c>
      <c r="AE190" s="307">
        <f>AD190/VPI!R190</f>
        <v>0</v>
      </c>
      <c r="AF190" s="469"/>
      <c r="AG190" s="469"/>
      <c r="AH190" s="469"/>
      <c r="AI190" s="534"/>
      <c r="AJ190" s="464"/>
      <c r="AK190" s="307">
        <f>AJ190/VPI!R190</f>
        <v>0</v>
      </c>
      <c r="AL190" s="309">
        <f t="shared" si="11"/>
        <v>0</v>
      </c>
      <c r="AM190" s="307">
        <f>AL190/VPI!R190</f>
        <v>0</v>
      </c>
      <c r="AN190" s="464"/>
      <c r="AO190" s="534"/>
      <c r="AP190" s="477">
        <v>41.77129877402389</v>
      </c>
      <c r="AR190" s="530">
        <v>0</v>
      </c>
    </row>
    <row r="191" spans="1:44" x14ac:dyDescent="0.25">
      <c r="A191" s="525">
        <v>5720</v>
      </c>
      <c r="B191" s="526" t="s">
        <v>210</v>
      </c>
      <c r="C191" s="454">
        <v>3482253.3</v>
      </c>
      <c r="D191" s="454">
        <v>780687.77</v>
      </c>
      <c r="E191" s="454"/>
      <c r="F191" s="455"/>
      <c r="G191" s="454">
        <v>72974.850000000006</v>
      </c>
      <c r="H191" s="454">
        <v>7407.5</v>
      </c>
      <c r="I191" s="454">
        <v>491109.07</v>
      </c>
      <c r="J191" s="454">
        <v>25906.3</v>
      </c>
      <c r="K191" s="454"/>
      <c r="L191" s="454">
        <v>307247.05</v>
      </c>
      <c r="M191" s="344">
        <f t="shared" si="8"/>
        <v>5167585.84</v>
      </c>
      <c r="N191" s="458">
        <v>33034.550000000003</v>
      </c>
      <c r="O191" s="458">
        <v>2853000.3</v>
      </c>
      <c r="P191" s="458">
        <v>130313.15</v>
      </c>
      <c r="Q191" s="458">
        <v>1397.71</v>
      </c>
      <c r="R191" s="458">
        <v>201082.35</v>
      </c>
      <c r="S191" s="454">
        <v>7804.93</v>
      </c>
      <c r="T191" s="344">
        <f t="shared" si="9"/>
        <v>8394218.8300000001</v>
      </c>
      <c r="U191" s="456">
        <v>-16647.46</v>
      </c>
      <c r="V191" s="458"/>
      <c r="W191" s="458">
        <v>-11817.57</v>
      </c>
      <c r="X191" s="462">
        <v>67</v>
      </c>
      <c r="Y191" s="463">
        <v>0.9</v>
      </c>
      <c r="Z191" s="464">
        <v>1071</v>
      </c>
      <c r="AA191" s="527"/>
      <c r="AB191" s="469">
        <v>84254</v>
      </c>
      <c r="AC191" s="307">
        <f>AB191/VPI!R191</f>
        <v>1.0892541012162127</v>
      </c>
      <c r="AD191" s="309">
        <f t="shared" si="10"/>
        <v>183204</v>
      </c>
      <c r="AE191" s="307">
        <f>AD191/VPI!R191</f>
        <v>2.3685012979706013</v>
      </c>
      <c r="AF191" s="469">
        <v>267458</v>
      </c>
      <c r="AG191" s="469">
        <v>87604</v>
      </c>
      <c r="AH191" s="469">
        <v>70068</v>
      </c>
      <c r="AI191" s="534"/>
      <c r="AJ191" s="464"/>
      <c r="AK191" s="307">
        <f>AJ191/VPI!R191</f>
        <v>0</v>
      </c>
      <c r="AL191" s="309">
        <f t="shared" si="11"/>
        <v>115250</v>
      </c>
      <c r="AM191" s="307">
        <f>AL191/VPI!R191</f>
        <v>1.4899771543804272</v>
      </c>
      <c r="AN191" s="464">
        <v>115250</v>
      </c>
      <c r="AO191" s="534"/>
      <c r="AP191" s="477">
        <v>35.857445252050901</v>
      </c>
      <c r="AR191" s="530">
        <v>0</v>
      </c>
    </row>
    <row r="192" spans="1:44" x14ac:dyDescent="0.25">
      <c r="A192" s="525">
        <v>5721</v>
      </c>
      <c r="B192" s="526" t="s">
        <v>211</v>
      </c>
      <c r="C192" s="454">
        <v>27351891.23</v>
      </c>
      <c r="D192" s="454">
        <v>5779491.6299999999</v>
      </c>
      <c r="E192" s="454"/>
      <c r="F192" s="455"/>
      <c r="G192" s="454">
        <v>5218417.5999999996</v>
      </c>
      <c r="H192" s="454">
        <v>442170.4</v>
      </c>
      <c r="I192" s="454">
        <v>709037</v>
      </c>
      <c r="J192" s="454">
        <v>917434.62</v>
      </c>
      <c r="K192" s="454">
        <v>391496.3</v>
      </c>
      <c r="L192" s="454">
        <v>3255697.55</v>
      </c>
      <c r="M192" s="344">
        <f t="shared" ref="M192:M254" si="12">SUM(C192:L192)</f>
        <v>44065636.329999991</v>
      </c>
      <c r="N192" s="458">
        <v>3112233.75</v>
      </c>
      <c r="O192" s="458">
        <v>1307590.8999999999</v>
      </c>
      <c r="P192" s="458">
        <v>2001477.35</v>
      </c>
      <c r="Q192" s="458">
        <v>66229.039999999994</v>
      </c>
      <c r="R192" s="458">
        <v>1254460.1000000001</v>
      </c>
      <c r="S192" s="454">
        <v>549548.04</v>
      </c>
      <c r="T192" s="344">
        <f t="shared" ref="T192:T254" si="13">SUM(M192:S192)</f>
        <v>52357175.50999999</v>
      </c>
      <c r="U192" s="456">
        <v>-232994.58</v>
      </c>
      <c r="V192" s="458"/>
      <c r="W192" s="458">
        <v>-47497.17</v>
      </c>
      <c r="X192" s="462">
        <v>61</v>
      </c>
      <c r="Y192" s="463">
        <v>1</v>
      </c>
      <c r="Z192" s="464">
        <v>13968</v>
      </c>
      <c r="AA192" s="527"/>
      <c r="AB192" s="469">
        <v>1796753</v>
      </c>
      <c r="AC192" s="307">
        <f>AB192/VPI!R192</f>
        <v>2.468460763929107</v>
      </c>
      <c r="AD192" s="309">
        <f t="shared" si="10"/>
        <v>2433005</v>
      </c>
      <c r="AE192" s="307">
        <f>AD192/VPI!R192</f>
        <v>3.3425726190207206</v>
      </c>
      <c r="AF192" s="469">
        <v>4229758</v>
      </c>
      <c r="AG192" s="469">
        <v>1218929</v>
      </c>
      <c r="AH192" s="469">
        <v>66859</v>
      </c>
      <c r="AI192" s="534"/>
      <c r="AJ192" s="464"/>
      <c r="AK192" s="307">
        <f>AJ192/VPI!R192</f>
        <v>0</v>
      </c>
      <c r="AL192" s="309">
        <f t="shared" si="11"/>
        <v>44434</v>
      </c>
      <c r="AM192" s="307">
        <f>AL192/VPI!R192</f>
        <v>6.1045444523774792E-2</v>
      </c>
      <c r="AN192" s="464">
        <v>44434</v>
      </c>
      <c r="AO192" s="534"/>
      <c r="AP192" s="477">
        <v>18.838887009349286</v>
      </c>
      <c r="AR192" s="530">
        <v>0</v>
      </c>
    </row>
    <row r="193" spans="1:44" x14ac:dyDescent="0.25">
      <c r="A193" s="525">
        <v>5722</v>
      </c>
      <c r="B193" s="526" t="s">
        <v>212</v>
      </c>
      <c r="C193" s="454">
        <v>1053371.3400000001</v>
      </c>
      <c r="D193" s="454">
        <v>147588.17000000001</v>
      </c>
      <c r="E193" s="454"/>
      <c r="F193" s="455"/>
      <c r="G193" s="454">
        <v>587270.15</v>
      </c>
      <c r="H193" s="454">
        <v>29877.45</v>
      </c>
      <c r="I193" s="454"/>
      <c r="J193" s="454">
        <v>34159.620000000003</v>
      </c>
      <c r="K193" s="454">
        <v>26422.1</v>
      </c>
      <c r="L193" s="454">
        <v>150942.85</v>
      </c>
      <c r="M193" s="344">
        <f t="shared" si="12"/>
        <v>2029631.6800000004</v>
      </c>
      <c r="N193" s="458">
        <v>266399.15000000002</v>
      </c>
      <c r="O193" s="458">
        <v>48704.4</v>
      </c>
      <c r="P193" s="458">
        <v>17820</v>
      </c>
      <c r="Q193" s="458">
        <v>9291.06</v>
      </c>
      <c r="R193" s="458"/>
      <c r="S193" s="454">
        <v>59923.49</v>
      </c>
      <c r="T193" s="344">
        <f t="shared" si="13"/>
        <v>2431769.7800000007</v>
      </c>
      <c r="U193" s="456">
        <v>-6806.95</v>
      </c>
      <c r="V193" s="458"/>
      <c r="W193" s="458">
        <v>-2959.75</v>
      </c>
      <c r="X193" s="462">
        <v>62</v>
      </c>
      <c r="Y193" s="463">
        <v>1</v>
      </c>
      <c r="Z193" s="464">
        <v>394</v>
      </c>
      <c r="AA193" s="527"/>
      <c r="AB193" s="469"/>
      <c r="AC193" s="307">
        <f>AB193/VPI!R193</f>
        <v>0</v>
      </c>
      <c r="AD193" s="309">
        <f t="shared" si="10"/>
        <v>0</v>
      </c>
      <c r="AE193" s="307">
        <f>AD193/VPI!R193</f>
        <v>0</v>
      </c>
      <c r="AF193" s="469"/>
      <c r="AG193" s="469"/>
      <c r="AH193" s="469"/>
      <c r="AI193" s="534"/>
      <c r="AJ193" s="464"/>
      <c r="AK193" s="307">
        <f>AJ193/VPI!R193</f>
        <v>0</v>
      </c>
      <c r="AL193" s="309">
        <f t="shared" si="11"/>
        <v>0</v>
      </c>
      <c r="AM193" s="307">
        <f>AL193/VPI!R193</f>
        <v>0</v>
      </c>
      <c r="AN193" s="464"/>
      <c r="AO193" s="534"/>
      <c r="AP193" s="477">
        <v>29.809746895314383</v>
      </c>
      <c r="AR193" s="530">
        <v>0</v>
      </c>
    </row>
    <row r="194" spans="1:44" x14ac:dyDescent="0.25">
      <c r="A194" s="525">
        <v>5723</v>
      </c>
      <c r="B194" s="526" t="s">
        <v>213</v>
      </c>
      <c r="C194" s="454">
        <v>9357084.5199999996</v>
      </c>
      <c r="D194" s="454">
        <v>2630196.73</v>
      </c>
      <c r="E194" s="454"/>
      <c r="F194" s="455"/>
      <c r="G194" s="454">
        <v>195984.5</v>
      </c>
      <c r="H194" s="454">
        <v>29549.1</v>
      </c>
      <c r="I194" s="454">
        <v>1129001.7</v>
      </c>
      <c r="J194" s="454">
        <v>30995.63</v>
      </c>
      <c r="K194" s="454">
        <v>86133.35</v>
      </c>
      <c r="L194" s="454">
        <v>1036881.45</v>
      </c>
      <c r="M194" s="344">
        <f t="shared" si="12"/>
        <v>14495826.979999999</v>
      </c>
      <c r="N194" s="458">
        <v>239426.25</v>
      </c>
      <c r="O194" s="458">
        <v>254943.4</v>
      </c>
      <c r="P194" s="458">
        <v>556264.35</v>
      </c>
      <c r="Q194" s="458">
        <v>582.70000000000005</v>
      </c>
      <c r="R194" s="458">
        <v>1557363.35</v>
      </c>
      <c r="S194" s="454">
        <v>21898.75</v>
      </c>
      <c r="T194" s="344">
        <f t="shared" si="13"/>
        <v>17126305.779999997</v>
      </c>
      <c r="U194" s="456">
        <v>-20609.12</v>
      </c>
      <c r="V194" s="458"/>
      <c r="W194" s="458">
        <v>-46544.78</v>
      </c>
      <c r="X194" s="462">
        <v>53</v>
      </c>
      <c r="Y194" s="463">
        <v>1</v>
      </c>
      <c r="Z194" s="464">
        <v>2163</v>
      </c>
      <c r="AA194" s="527"/>
      <c r="AB194" s="469"/>
      <c r="AC194" s="307">
        <f>AB194/VPI!R194</f>
        <v>0</v>
      </c>
      <c r="AD194" s="309">
        <f t="shared" si="10"/>
        <v>0</v>
      </c>
      <c r="AE194" s="307">
        <f>AD194/VPI!R194</f>
        <v>0</v>
      </c>
      <c r="AF194" s="469"/>
      <c r="AG194" s="469"/>
      <c r="AH194" s="469"/>
      <c r="AI194" s="534"/>
      <c r="AJ194" s="464"/>
      <c r="AK194" s="307">
        <f>AJ194/VPI!R194</f>
        <v>0</v>
      </c>
      <c r="AL194" s="309">
        <f t="shared" si="11"/>
        <v>0</v>
      </c>
      <c r="AM194" s="307">
        <f>AL194/VPI!R194</f>
        <v>0</v>
      </c>
      <c r="AN194" s="464"/>
      <c r="AO194" s="534"/>
      <c r="AP194" s="477">
        <v>39.780675906408739</v>
      </c>
      <c r="AR194" s="530">
        <v>0</v>
      </c>
    </row>
    <row r="195" spans="1:44" x14ac:dyDescent="0.25">
      <c r="A195" s="525">
        <v>5724</v>
      </c>
      <c r="B195" s="526" t="s">
        <v>63</v>
      </c>
      <c r="C195" s="454">
        <v>64043986.649999999</v>
      </c>
      <c r="D195" s="454">
        <v>12191843.83</v>
      </c>
      <c r="E195" s="454"/>
      <c r="F195" s="455"/>
      <c r="G195" s="454">
        <v>10459614.15</v>
      </c>
      <c r="H195" s="454">
        <v>1463917.85</v>
      </c>
      <c r="I195" s="454">
        <v>1171841.25</v>
      </c>
      <c r="J195" s="454">
        <v>3385610.47</v>
      </c>
      <c r="K195" s="454">
        <v>1070922.2</v>
      </c>
      <c r="L195" s="454">
        <v>9371948.0500000007</v>
      </c>
      <c r="M195" s="344">
        <f t="shared" si="12"/>
        <v>103159684.45</v>
      </c>
      <c r="N195" s="458">
        <v>6013803.5499999998</v>
      </c>
      <c r="O195" s="458">
        <v>2706262.2</v>
      </c>
      <c r="P195" s="458">
        <v>4163719.75</v>
      </c>
      <c r="Q195" s="458">
        <v>112518.51</v>
      </c>
      <c r="R195" s="458">
        <v>1981909.9</v>
      </c>
      <c r="S195" s="454">
        <v>1156897.1200000001</v>
      </c>
      <c r="T195" s="344">
        <f t="shared" si="13"/>
        <v>119294795.48000002</v>
      </c>
      <c r="U195" s="456">
        <v>-620562.87</v>
      </c>
      <c r="V195" s="458"/>
      <c r="W195" s="458">
        <v>-648286.54</v>
      </c>
      <c r="X195" s="462">
        <v>61</v>
      </c>
      <c r="Y195" s="463">
        <v>1.5</v>
      </c>
      <c r="Z195" s="464">
        <v>23328</v>
      </c>
      <c r="AA195" s="527"/>
      <c r="AB195" s="469">
        <v>3022554</v>
      </c>
      <c r="AC195" s="307">
        <f>AB195/VPI!R195</f>
        <v>1.8430894885500377</v>
      </c>
      <c r="AD195" s="309">
        <f t="shared" si="10"/>
        <v>5642956</v>
      </c>
      <c r="AE195" s="307">
        <f>AD195/VPI!R195</f>
        <v>3.4409551948287329</v>
      </c>
      <c r="AF195" s="469">
        <v>8665510</v>
      </c>
      <c r="AG195" s="469">
        <v>5725082</v>
      </c>
      <c r="AH195" s="469">
        <v>139800</v>
      </c>
      <c r="AI195" s="534"/>
      <c r="AJ195" s="464">
        <v>25777</v>
      </c>
      <c r="AK195" s="307">
        <f>AJ195/VPI!R195</f>
        <v>1.5718269300185977E-2</v>
      </c>
      <c r="AL195" s="309">
        <f t="shared" si="11"/>
        <v>667175</v>
      </c>
      <c r="AM195" s="307">
        <f>AL195/VPI!R195</f>
        <v>0.40682920123953831</v>
      </c>
      <c r="AN195" s="464">
        <v>692952</v>
      </c>
      <c r="AO195" s="534"/>
      <c r="AP195" s="477">
        <v>24.280362466509768</v>
      </c>
      <c r="AR195" s="530">
        <v>1</v>
      </c>
    </row>
    <row r="196" spans="1:44" x14ac:dyDescent="0.25">
      <c r="A196" s="525">
        <v>5725</v>
      </c>
      <c r="B196" s="526" t="s">
        <v>64</v>
      </c>
      <c r="C196" s="454">
        <v>10677708.800000001</v>
      </c>
      <c r="D196" s="454">
        <v>3740295.97</v>
      </c>
      <c r="E196" s="454"/>
      <c r="F196" s="455"/>
      <c r="G196" s="454">
        <v>3561047.6</v>
      </c>
      <c r="H196" s="454">
        <v>42135.75</v>
      </c>
      <c r="I196" s="454">
        <v>362653.88</v>
      </c>
      <c r="J196" s="454">
        <v>233998.61</v>
      </c>
      <c r="K196" s="454">
        <v>45997</v>
      </c>
      <c r="L196" s="454">
        <v>1796701.45</v>
      </c>
      <c r="M196" s="344">
        <f t="shared" si="12"/>
        <v>20460539.059999999</v>
      </c>
      <c r="N196" s="458">
        <v>1404229.05</v>
      </c>
      <c r="O196" s="458">
        <v>50119</v>
      </c>
      <c r="P196" s="458">
        <v>513723.35</v>
      </c>
      <c r="Q196" s="458">
        <v>17757.62</v>
      </c>
      <c r="R196" s="458">
        <v>744790.25</v>
      </c>
      <c r="S196" s="454">
        <v>349860.09</v>
      </c>
      <c r="T196" s="344">
        <f t="shared" si="13"/>
        <v>23541018.420000002</v>
      </c>
      <c r="U196" s="456">
        <v>-44730.91</v>
      </c>
      <c r="V196" s="458"/>
      <c r="W196" s="458">
        <v>-33266.44</v>
      </c>
      <c r="X196" s="462">
        <v>55</v>
      </c>
      <c r="Y196" s="463">
        <v>1.4</v>
      </c>
      <c r="Z196" s="464">
        <v>4280</v>
      </c>
      <c r="AA196" s="527"/>
      <c r="AB196" s="469"/>
      <c r="AC196" s="307">
        <f>AB196/VPI!R196</f>
        <v>0</v>
      </c>
      <c r="AD196" s="309">
        <f t="shared" si="10"/>
        <v>0</v>
      </c>
      <c r="AE196" s="307">
        <f>AD196/VPI!R196</f>
        <v>0</v>
      </c>
      <c r="AF196" s="469"/>
      <c r="AG196" s="469"/>
      <c r="AH196" s="469"/>
      <c r="AI196" s="534"/>
      <c r="AJ196" s="464"/>
      <c r="AK196" s="307">
        <f>AJ196/VPI!R196</f>
        <v>0</v>
      </c>
      <c r="AL196" s="309">
        <f t="shared" si="11"/>
        <v>0</v>
      </c>
      <c r="AM196" s="307">
        <f>AL196/VPI!R196</f>
        <v>0</v>
      </c>
      <c r="AN196" s="464"/>
      <c r="AO196" s="534"/>
      <c r="AP196" s="477">
        <v>32.236406146207656</v>
      </c>
      <c r="AR196" s="530">
        <v>1</v>
      </c>
    </row>
    <row r="197" spans="1:44" x14ac:dyDescent="0.25">
      <c r="A197" s="525">
        <v>5726</v>
      </c>
      <c r="B197" s="526" t="s">
        <v>268</v>
      </c>
      <c r="C197" s="454">
        <v>3608246.34</v>
      </c>
      <c r="D197" s="454">
        <v>785706.03</v>
      </c>
      <c r="E197" s="454"/>
      <c r="F197" s="455"/>
      <c r="G197" s="454">
        <v>25934</v>
      </c>
      <c r="H197" s="454">
        <v>4727.6499999999996</v>
      </c>
      <c r="I197" s="454"/>
      <c r="J197" s="454">
        <v>-30887.43</v>
      </c>
      <c r="K197" s="454">
        <v>5351.95</v>
      </c>
      <c r="L197" s="454">
        <v>292382.05</v>
      </c>
      <c r="M197" s="344">
        <f t="shared" si="12"/>
        <v>4691460.5900000008</v>
      </c>
      <c r="N197" s="458">
        <v>30191.8</v>
      </c>
      <c r="O197" s="458">
        <v>13496</v>
      </c>
      <c r="P197" s="458">
        <v>53679.199999999997</v>
      </c>
      <c r="Q197" s="458">
        <v>3060.02</v>
      </c>
      <c r="R197" s="458">
        <v>125765.9</v>
      </c>
      <c r="S197" s="454">
        <v>2977.17</v>
      </c>
      <c r="T197" s="344">
        <f t="shared" si="13"/>
        <v>4920630.6800000006</v>
      </c>
      <c r="U197" s="456">
        <v>-26380.2</v>
      </c>
      <c r="V197" s="458"/>
      <c r="W197" s="458">
        <v>-11623.4</v>
      </c>
      <c r="X197" s="462">
        <v>63.5</v>
      </c>
      <c r="Y197" s="463">
        <v>1</v>
      </c>
      <c r="Z197" s="464">
        <v>1194</v>
      </c>
      <c r="AA197" s="527"/>
      <c r="AB197" s="469"/>
      <c r="AC197" s="307">
        <f>AB197/VPI!R197</f>
        <v>0</v>
      </c>
      <c r="AD197" s="309">
        <f t="shared" si="10"/>
        <v>0</v>
      </c>
      <c r="AE197" s="307">
        <f>AD197/VPI!R197</f>
        <v>0</v>
      </c>
      <c r="AF197" s="469"/>
      <c r="AG197" s="469"/>
      <c r="AH197" s="469"/>
      <c r="AI197" s="534"/>
      <c r="AJ197" s="464"/>
      <c r="AK197" s="307">
        <f>AJ197/VPI!R197</f>
        <v>0</v>
      </c>
      <c r="AL197" s="309">
        <f t="shared" si="11"/>
        <v>0</v>
      </c>
      <c r="AM197" s="307">
        <f>AL197/VPI!R197</f>
        <v>0</v>
      </c>
      <c r="AN197" s="464"/>
      <c r="AO197" s="534"/>
      <c r="AP197" s="477">
        <v>29.914664465710771</v>
      </c>
      <c r="AR197" s="530">
        <v>0</v>
      </c>
    </row>
    <row r="198" spans="1:44" x14ac:dyDescent="0.25">
      <c r="A198" s="525">
        <v>5727</v>
      </c>
      <c r="B198" s="526" t="s">
        <v>269</v>
      </c>
      <c r="C198" s="454">
        <v>5623295.8399999999</v>
      </c>
      <c r="D198" s="454">
        <v>915735.24</v>
      </c>
      <c r="E198" s="454"/>
      <c r="F198" s="455"/>
      <c r="G198" s="454">
        <v>78989.75</v>
      </c>
      <c r="H198" s="454">
        <v>33793.550000000003</v>
      </c>
      <c r="I198" s="454">
        <v>156752.35</v>
      </c>
      <c r="J198" s="454">
        <v>81225.48</v>
      </c>
      <c r="K198" s="454">
        <v>-464.25</v>
      </c>
      <c r="L198" s="454">
        <v>899196.55</v>
      </c>
      <c r="M198" s="344">
        <f t="shared" si="12"/>
        <v>7788524.5099999998</v>
      </c>
      <c r="N198" s="458">
        <v>263913.75</v>
      </c>
      <c r="O198" s="458">
        <v>68569.7</v>
      </c>
      <c r="P198" s="458">
        <v>327838.2</v>
      </c>
      <c r="Q198" s="458">
        <v>48244.54</v>
      </c>
      <c r="R198" s="458">
        <v>237601.4</v>
      </c>
      <c r="S198" s="454">
        <v>10950.98</v>
      </c>
      <c r="T198" s="344">
        <f t="shared" si="13"/>
        <v>8745643.0800000001</v>
      </c>
      <c r="U198" s="456">
        <v>-164447.54999999999</v>
      </c>
      <c r="V198" s="458"/>
      <c r="W198" s="458">
        <v>-6546.04</v>
      </c>
      <c r="X198" s="462">
        <v>66</v>
      </c>
      <c r="Y198" s="463">
        <v>1.5</v>
      </c>
      <c r="Z198" s="464">
        <v>3012</v>
      </c>
      <c r="AA198" s="527"/>
      <c r="AB198" s="469">
        <v>143834</v>
      </c>
      <c r="AC198" s="307">
        <f>AB198/VPI!R198</f>
        <v>1.2868444341570466</v>
      </c>
      <c r="AD198" s="309">
        <f t="shared" si="10"/>
        <v>805246</v>
      </c>
      <c r="AE198" s="307">
        <f>AD198/VPI!R198</f>
        <v>7.2043211843321133</v>
      </c>
      <c r="AF198" s="469">
        <v>949080</v>
      </c>
      <c r="AG198" s="469">
        <v>250690</v>
      </c>
      <c r="AH198" s="469">
        <v>202936</v>
      </c>
      <c r="AI198" s="534"/>
      <c r="AJ198" s="464"/>
      <c r="AK198" s="307">
        <f>AJ198/VPI!R198</f>
        <v>0</v>
      </c>
      <c r="AL198" s="309">
        <f t="shared" si="11"/>
        <v>265538</v>
      </c>
      <c r="AM198" s="307">
        <f>AL198/VPI!R198</f>
        <v>2.3756976608951557</v>
      </c>
      <c r="AN198" s="464">
        <v>265538</v>
      </c>
      <c r="AO198" s="534"/>
      <c r="AP198" s="477">
        <v>17.425364500786124</v>
      </c>
      <c r="AR198" s="530">
        <v>0</v>
      </c>
    </row>
    <row r="199" spans="1:44" x14ac:dyDescent="0.25">
      <c r="A199" s="525">
        <v>5728</v>
      </c>
      <c r="B199" s="526" t="s">
        <v>270</v>
      </c>
      <c r="C199" s="454">
        <v>1388615.18</v>
      </c>
      <c r="D199" s="454">
        <v>263561.68</v>
      </c>
      <c r="E199" s="454"/>
      <c r="F199" s="455"/>
      <c r="G199" s="454">
        <v>471663.05</v>
      </c>
      <c r="H199" s="454">
        <v>51468</v>
      </c>
      <c r="I199" s="454">
        <v>-31747.15</v>
      </c>
      <c r="J199" s="454">
        <v>73869.52</v>
      </c>
      <c r="K199" s="454">
        <v>60337.95</v>
      </c>
      <c r="L199" s="454">
        <v>244808.6</v>
      </c>
      <c r="M199" s="344">
        <f t="shared" si="12"/>
        <v>2522576.83</v>
      </c>
      <c r="N199" s="458">
        <v>212373.3</v>
      </c>
      <c r="O199" s="458">
        <v>47580.1</v>
      </c>
      <c r="P199" s="458">
        <v>28798</v>
      </c>
      <c r="Q199" s="458">
        <v>8486.19</v>
      </c>
      <c r="R199" s="458">
        <v>64356.1</v>
      </c>
      <c r="S199" s="454">
        <v>50794.720000000001</v>
      </c>
      <c r="T199" s="344">
        <f t="shared" si="13"/>
        <v>2934965.24</v>
      </c>
      <c r="U199" s="456">
        <v>-2930.89</v>
      </c>
      <c r="V199" s="458"/>
      <c r="W199" s="458">
        <v>-620.9</v>
      </c>
      <c r="X199" s="462">
        <v>58</v>
      </c>
      <c r="Y199" s="463">
        <v>1</v>
      </c>
      <c r="Z199" s="464">
        <v>605</v>
      </c>
      <c r="AA199" s="527"/>
      <c r="AB199" s="469"/>
      <c r="AC199" s="307">
        <f>AB199/VPI!R199</f>
        <v>0</v>
      </c>
      <c r="AD199" s="309">
        <f t="shared" ref="AD199:AD262" si="14">AF199-AB199</f>
        <v>0</v>
      </c>
      <c r="AE199" s="307">
        <f>AD199/VPI!R199</f>
        <v>0</v>
      </c>
      <c r="AF199" s="469"/>
      <c r="AG199" s="469"/>
      <c r="AH199" s="469"/>
      <c r="AI199" s="534"/>
      <c r="AJ199" s="464"/>
      <c r="AK199" s="307">
        <f>AJ199/VPI!R199</f>
        <v>0</v>
      </c>
      <c r="AL199" s="309">
        <f t="shared" ref="AL199:AL262" si="15">+AN199-AJ199</f>
        <v>0</v>
      </c>
      <c r="AM199" s="307">
        <f>AL199/VPI!R199</f>
        <v>0</v>
      </c>
      <c r="AN199" s="464"/>
      <c r="AO199" s="534"/>
      <c r="AP199" s="477">
        <v>37.652254883603405</v>
      </c>
      <c r="AR199" s="530">
        <v>0</v>
      </c>
    </row>
    <row r="200" spans="1:44" x14ac:dyDescent="0.25">
      <c r="A200" s="525">
        <v>5729</v>
      </c>
      <c r="B200" s="526" t="s">
        <v>271</v>
      </c>
      <c r="C200" s="454">
        <v>8234795.7300000004</v>
      </c>
      <c r="D200" s="454">
        <v>2096125.85</v>
      </c>
      <c r="E200" s="454"/>
      <c r="F200" s="455"/>
      <c r="G200" s="454">
        <v>176605.4</v>
      </c>
      <c r="H200" s="454">
        <v>10086</v>
      </c>
      <c r="I200" s="454">
        <v>319599.34999999998</v>
      </c>
      <c r="J200" s="454">
        <v>23443.78</v>
      </c>
      <c r="K200" s="454">
        <v>-2820.65</v>
      </c>
      <c r="L200" s="454">
        <v>1002408</v>
      </c>
      <c r="M200" s="344">
        <f t="shared" si="12"/>
        <v>11860243.459999999</v>
      </c>
      <c r="N200" s="458">
        <v>20232.05</v>
      </c>
      <c r="O200" s="458"/>
      <c r="P200" s="458">
        <v>325473.55</v>
      </c>
      <c r="Q200" s="458"/>
      <c r="R200" s="458">
        <v>362223.95</v>
      </c>
      <c r="S200" s="454">
        <v>18118.43</v>
      </c>
      <c r="T200" s="344">
        <f t="shared" si="13"/>
        <v>12586291.439999999</v>
      </c>
      <c r="U200" s="456">
        <v>-17293.68</v>
      </c>
      <c r="V200" s="458"/>
      <c r="W200" s="458">
        <v>-50618.71</v>
      </c>
      <c r="X200" s="462">
        <v>60.5</v>
      </c>
      <c r="Y200" s="463">
        <v>1.5</v>
      </c>
      <c r="Z200" s="464">
        <v>1728</v>
      </c>
      <c r="AA200" s="527"/>
      <c r="AB200" s="469"/>
      <c r="AC200" s="307">
        <f>AB200/VPI!R200</f>
        <v>0</v>
      </c>
      <c r="AD200" s="309">
        <f t="shared" si="14"/>
        <v>0</v>
      </c>
      <c r="AE200" s="307">
        <f>AD200/VPI!R200</f>
        <v>0</v>
      </c>
      <c r="AF200" s="469"/>
      <c r="AG200" s="469"/>
      <c r="AH200" s="469"/>
      <c r="AI200" s="534"/>
      <c r="AJ200" s="464"/>
      <c r="AK200" s="307">
        <f>AJ200/VPI!R200</f>
        <v>0</v>
      </c>
      <c r="AL200" s="309">
        <f t="shared" si="15"/>
        <v>0</v>
      </c>
      <c r="AM200" s="307">
        <f>AL200/VPI!R200</f>
        <v>0</v>
      </c>
      <c r="AN200" s="464"/>
      <c r="AO200" s="534"/>
      <c r="AP200" s="477">
        <v>41.935956906841284</v>
      </c>
      <c r="AR200" s="530">
        <v>0</v>
      </c>
    </row>
    <row r="201" spans="1:44" x14ac:dyDescent="0.25">
      <c r="A201" s="525">
        <v>5730</v>
      </c>
      <c r="B201" s="526" t="s">
        <v>272</v>
      </c>
      <c r="C201" s="454">
        <v>6739873.6600000001</v>
      </c>
      <c r="D201" s="454">
        <v>2320284.5099999998</v>
      </c>
      <c r="E201" s="454"/>
      <c r="F201" s="455"/>
      <c r="G201" s="454">
        <v>43466.25</v>
      </c>
      <c r="H201" s="454">
        <v>6222.75</v>
      </c>
      <c r="I201" s="454">
        <v>33147.35</v>
      </c>
      <c r="J201" s="454">
        <v>-29522.95</v>
      </c>
      <c r="K201" s="454">
        <v>11986.35</v>
      </c>
      <c r="L201" s="454">
        <v>442888.45</v>
      </c>
      <c r="M201" s="344">
        <f t="shared" si="12"/>
        <v>9568346.3699999992</v>
      </c>
      <c r="N201" s="458">
        <v>27007.3</v>
      </c>
      <c r="O201" s="458"/>
      <c r="P201" s="458">
        <v>225071.75</v>
      </c>
      <c r="Q201" s="458">
        <v>468.13</v>
      </c>
      <c r="R201" s="458">
        <v>346760</v>
      </c>
      <c r="S201" s="454">
        <v>4824.68</v>
      </c>
      <c r="T201" s="344">
        <f t="shared" si="13"/>
        <v>10172478.23</v>
      </c>
      <c r="U201" s="456">
        <v>-105018.94</v>
      </c>
      <c r="V201" s="458"/>
      <c r="W201" s="458">
        <v>-68619.23</v>
      </c>
      <c r="X201" s="462">
        <v>55.5</v>
      </c>
      <c r="Y201" s="463">
        <v>0.9</v>
      </c>
      <c r="Z201" s="464">
        <v>1428</v>
      </c>
      <c r="AA201" s="527"/>
      <c r="AB201" s="469"/>
      <c r="AC201" s="307">
        <f>AB201/VPI!R201</f>
        <v>0</v>
      </c>
      <c r="AD201" s="309">
        <f t="shared" si="14"/>
        <v>0</v>
      </c>
      <c r="AE201" s="307">
        <f>AD201/VPI!R201</f>
        <v>0</v>
      </c>
      <c r="AF201" s="469"/>
      <c r="AG201" s="469"/>
      <c r="AH201" s="469"/>
      <c r="AI201" s="534"/>
      <c r="AJ201" s="464"/>
      <c r="AK201" s="307">
        <f>AJ201/VPI!R201</f>
        <v>0</v>
      </c>
      <c r="AL201" s="309">
        <f t="shared" si="15"/>
        <v>0</v>
      </c>
      <c r="AM201" s="307">
        <f>AL201/VPI!R201</f>
        <v>0</v>
      </c>
      <c r="AN201" s="464"/>
      <c r="AO201" s="534"/>
      <c r="AP201" s="477">
        <v>38.33558671559048</v>
      </c>
      <c r="AR201" s="530">
        <v>0</v>
      </c>
    </row>
    <row r="202" spans="1:44" x14ac:dyDescent="0.25">
      <c r="A202" s="525">
        <v>5731</v>
      </c>
      <c r="B202" s="526" t="s">
        <v>273</v>
      </c>
      <c r="C202" s="454">
        <v>4528967.8</v>
      </c>
      <c r="D202" s="454">
        <v>454480.67</v>
      </c>
      <c r="E202" s="454"/>
      <c r="F202" s="455"/>
      <c r="G202" s="454">
        <v>26345.05</v>
      </c>
      <c r="H202" s="454">
        <v>4101</v>
      </c>
      <c r="I202" s="454"/>
      <c r="J202" s="454">
        <v>26114.86</v>
      </c>
      <c r="K202" s="454">
        <v>5392.5</v>
      </c>
      <c r="L202" s="454">
        <v>476348.15</v>
      </c>
      <c r="M202" s="344">
        <f t="shared" si="12"/>
        <v>5521750.0300000003</v>
      </c>
      <c r="N202" s="458">
        <v>33673.800000000003</v>
      </c>
      <c r="O202" s="458">
        <v>123143</v>
      </c>
      <c r="P202" s="458">
        <v>103884</v>
      </c>
      <c r="Q202" s="458">
        <v>1504</v>
      </c>
      <c r="R202" s="458">
        <v>196355.5</v>
      </c>
      <c r="S202" s="454">
        <v>2956.24</v>
      </c>
      <c r="T202" s="344">
        <f t="shared" si="13"/>
        <v>5983266.5700000003</v>
      </c>
      <c r="U202" s="456">
        <v>-26310.7</v>
      </c>
      <c r="V202" s="458"/>
      <c r="W202" s="458">
        <v>-9785.5499999999993</v>
      </c>
      <c r="X202" s="462">
        <v>71</v>
      </c>
      <c r="Y202" s="463">
        <v>1.5</v>
      </c>
      <c r="Z202" s="464">
        <v>1374</v>
      </c>
      <c r="AA202" s="527"/>
      <c r="AB202" s="469">
        <v>65210</v>
      </c>
      <c r="AC202" s="307">
        <f>AB202/VPI!R202</f>
        <v>0.86843411834211459</v>
      </c>
      <c r="AD202" s="309">
        <f t="shared" si="14"/>
        <v>266336</v>
      </c>
      <c r="AE202" s="307">
        <f>AD202/VPI!R202</f>
        <v>3.5469294485932439</v>
      </c>
      <c r="AF202" s="469">
        <v>331546</v>
      </c>
      <c r="AG202" s="469">
        <v>72886</v>
      </c>
      <c r="AH202" s="469">
        <v>145804</v>
      </c>
      <c r="AI202" s="534"/>
      <c r="AJ202" s="464"/>
      <c r="AK202" s="307">
        <f>AJ202/VPI!R202</f>
        <v>0</v>
      </c>
      <c r="AL202" s="309">
        <f t="shared" si="15"/>
        <v>-17733</v>
      </c>
      <c r="AM202" s="307">
        <f>AL202/VPI!R202</f>
        <v>-0.23615921209263485</v>
      </c>
      <c r="AN202" s="464">
        <v>-17733</v>
      </c>
      <c r="AO202" s="534"/>
      <c r="AP202" s="477">
        <v>26.991370775393289</v>
      </c>
      <c r="AR202" s="530">
        <v>0</v>
      </c>
    </row>
    <row r="203" spans="1:44" x14ac:dyDescent="0.25">
      <c r="A203" s="525">
        <v>5732</v>
      </c>
      <c r="B203" s="526" t="s">
        <v>274</v>
      </c>
      <c r="C203" s="454">
        <v>3545098.19</v>
      </c>
      <c r="D203" s="454">
        <v>909433.86</v>
      </c>
      <c r="E203" s="454"/>
      <c r="F203" s="455"/>
      <c r="G203" s="454">
        <v>147940.95000000001</v>
      </c>
      <c r="H203" s="454">
        <v>6178.15</v>
      </c>
      <c r="I203" s="454">
        <v>143917.35</v>
      </c>
      <c r="J203" s="454">
        <v>100208.98</v>
      </c>
      <c r="K203" s="454">
        <v>26159.25</v>
      </c>
      <c r="L203" s="454">
        <v>401240.65</v>
      </c>
      <c r="M203" s="344">
        <f t="shared" si="12"/>
        <v>5280177.3800000008</v>
      </c>
      <c r="N203" s="458">
        <v>179411.1</v>
      </c>
      <c r="O203" s="458">
        <v>241311.7</v>
      </c>
      <c r="P203" s="458">
        <v>172865</v>
      </c>
      <c r="Q203" s="458">
        <v>1713.67</v>
      </c>
      <c r="R203" s="458">
        <v>123400.35</v>
      </c>
      <c r="S203" s="454">
        <v>14964.58</v>
      </c>
      <c r="T203" s="344">
        <f t="shared" si="13"/>
        <v>6013843.7800000003</v>
      </c>
      <c r="U203" s="456">
        <v>-2691.49</v>
      </c>
      <c r="V203" s="458"/>
      <c r="W203" s="458">
        <v>-6606.4</v>
      </c>
      <c r="X203" s="462">
        <v>63</v>
      </c>
      <c r="Y203" s="463">
        <v>1</v>
      </c>
      <c r="Z203" s="464">
        <v>1179</v>
      </c>
      <c r="AA203" s="527"/>
      <c r="AB203" s="469"/>
      <c r="AC203" s="307">
        <f>AB203/VPI!R203</f>
        <v>0</v>
      </c>
      <c r="AD203" s="309">
        <f t="shared" si="14"/>
        <v>0</v>
      </c>
      <c r="AE203" s="307">
        <f>AD203/VPI!R203</f>
        <v>0</v>
      </c>
      <c r="AF203" s="469"/>
      <c r="AG203" s="469"/>
      <c r="AH203" s="469"/>
      <c r="AI203" s="534"/>
      <c r="AJ203" s="464"/>
      <c r="AK203" s="307">
        <f>AJ203/VPI!R203</f>
        <v>0</v>
      </c>
      <c r="AL203" s="309">
        <f t="shared" si="15"/>
        <v>0</v>
      </c>
      <c r="AM203" s="307">
        <f>AL203/VPI!R203</f>
        <v>0</v>
      </c>
      <c r="AN203" s="464"/>
      <c r="AO203" s="534"/>
      <c r="AP203" s="477">
        <v>33.397461951628841</v>
      </c>
      <c r="AR203" s="530">
        <v>0</v>
      </c>
    </row>
    <row r="204" spans="1:44" x14ac:dyDescent="0.25">
      <c r="A204" s="525">
        <v>5741</v>
      </c>
      <c r="B204" s="526" t="s">
        <v>275</v>
      </c>
      <c r="C204" s="454">
        <v>486548.73</v>
      </c>
      <c r="D204" s="454">
        <v>97963.199999999997</v>
      </c>
      <c r="E204" s="454"/>
      <c r="F204" s="455">
        <v>1550</v>
      </c>
      <c r="G204" s="454">
        <v>-4141.3</v>
      </c>
      <c r="H204" s="454">
        <v>1011.45</v>
      </c>
      <c r="I204" s="454"/>
      <c r="J204" s="454">
        <v>-1377.66</v>
      </c>
      <c r="K204" s="454"/>
      <c r="L204" s="454">
        <v>54323.55</v>
      </c>
      <c r="M204" s="344">
        <f t="shared" si="12"/>
        <v>635877.96999999986</v>
      </c>
      <c r="N204" s="458">
        <v>6563.75</v>
      </c>
      <c r="O204" s="458"/>
      <c r="P204" s="458">
        <v>14360.45</v>
      </c>
      <c r="Q204" s="458">
        <v>20297.96</v>
      </c>
      <c r="R204" s="458">
        <v>23241.35</v>
      </c>
      <c r="S204" s="454">
        <v>-303.89999999999998</v>
      </c>
      <c r="T204" s="344">
        <f t="shared" si="13"/>
        <v>700037.57999999973</v>
      </c>
      <c r="U204" s="456">
        <v>-329.47</v>
      </c>
      <c r="V204" s="458"/>
      <c r="W204" s="458">
        <v>0</v>
      </c>
      <c r="X204" s="462">
        <v>80</v>
      </c>
      <c r="Y204" s="463">
        <v>1.2</v>
      </c>
      <c r="Z204" s="464">
        <v>270</v>
      </c>
      <c r="AA204" s="527"/>
      <c r="AB204" s="469">
        <v>41109</v>
      </c>
      <c r="AC204" s="307">
        <f>AB204/VPI!R204</f>
        <v>5.0870499834850156</v>
      </c>
      <c r="AD204" s="309">
        <f t="shared" si="14"/>
        <v>99576</v>
      </c>
      <c r="AE204" s="307">
        <f>AD204/VPI!R204</f>
        <v>12.322072761572986</v>
      </c>
      <c r="AF204" s="469">
        <v>140685</v>
      </c>
      <c r="AG204" s="469">
        <v>13246</v>
      </c>
      <c r="AH204" s="469">
        <v>24722</v>
      </c>
      <c r="AI204" s="534"/>
      <c r="AJ204" s="464"/>
      <c r="AK204" s="307">
        <f>AJ204/VPI!R204</f>
        <v>0</v>
      </c>
      <c r="AL204" s="309">
        <f t="shared" si="15"/>
        <v>31081</v>
      </c>
      <c r="AM204" s="307">
        <f>AL204/VPI!R204</f>
        <v>3.8461310305942198</v>
      </c>
      <c r="AN204" s="464">
        <v>31081</v>
      </c>
      <c r="AO204" s="534"/>
      <c r="AP204" s="477">
        <v>11.144785941185866</v>
      </c>
      <c r="AR204" s="530">
        <v>0</v>
      </c>
    </row>
    <row r="205" spans="1:44" x14ac:dyDescent="0.25">
      <c r="A205" s="525">
        <v>5742</v>
      </c>
      <c r="B205" s="526" t="s">
        <v>276</v>
      </c>
      <c r="C205" s="454">
        <v>604736.23</v>
      </c>
      <c r="D205" s="454">
        <v>55029.14</v>
      </c>
      <c r="E205" s="454"/>
      <c r="F205" s="455"/>
      <c r="G205" s="454">
        <v>712.75</v>
      </c>
      <c r="H205" s="454">
        <v>575.4</v>
      </c>
      <c r="I205" s="454"/>
      <c r="J205" s="454">
        <v>6380</v>
      </c>
      <c r="K205" s="454">
        <v>1672.3</v>
      </c>
      <c r="L205" s="454">
        <v>30243.35</v>
      </c>
      <c r="M205" s="344">
        <f t="shared" si="12"/>
        <v>699349.17</v>
      </c>
      <c r="N205" s="458">
        <v>3271.45</v>
      </c>
      <c r="O205" s="458">
        <v>59.6</v>
      </c>
      <c r="P205" s="458">
        <v>32945</v>
      </c>
      <c r="Q205" s="458">
        <v>6902.44</v>
      </c>
      <c r="R205" s="458">
        <v>23494.05</v>
      </c>
      <c r="S205" s="454">
        <v>125.08</v>
      </c>
      <c r="T205" s="344">
        <f t="shared" si="13"/>
        <v>766146.78999999992</v>
      </c>
      <c r="U205" s="456">
        <v>-6745.4</v>
      </c>
      <c r="V205" s="458"/>
      <c r="W205" s="458">
        <v>0</v>
      </c>
      <c r="X205" s="462">
        <v>76</v>
      </c>
      <c r="Y205" s="463">
        <v>0.5</v>
      </c>
      <c r="Z205" s="464">
        <v>373</v>
      </c>
      <c r="AA205" s="527"/>
      <c r="AB205" s="469"/>
      <c r="AC205" s="307">
        <f>AB205/VPI!R205</f>
        <v>0</v>
      </c>
      <c r="AD205" s="309">
        <f t="shared" si="14"/>
        <v>59506</v>
      </c>
      <c r="AE205" s="307">
        <f>AD205/VPI!R205</f>
        <v>6.1962092558798876</v>
      </c>
      <c r="AF205" s="469">
        <v>59506</v>
      </c>
      <c r="AG205" s="469">
        <v>28394</v>
      </c>
      <c r="AH205" s="469">
        <v>40675</v>
      </c>
      <c r="AI205" s="534"/>
      <c r="AJ205" s="464"/>
      <c r="AK205" s="307">
        <f>AJ205/VPI!R205</f>
        <v>0</v>
      </c>
      <c r="AL205" s="309">
        <f t="shared" si="15"/>
        <v>-6615</v>
      </c>
      <c r="AM205" s="307">
        <f>AL205/VPI!R205</f>
        <v>-0.68880321694695423</v>
      </c>
      <c r="AN205" s="464">
        <v>-6615</v>
      </c>
      <c r="AO205" s="534"/>
      <c r="AP205" s="477">
        <v>0.93106328588591136</v>
      </c>
      <c r="AR205" s="530">
        <v>0</v>
      </c>
    </row>
    <row r="206" spans="1:44" x14ac:dyDescent="0.25">
      <c r="A206" s="525">
        <v>5743</v>
      </c>
      <c r="B206" s="526" t="s">
        <v>226</v>
      </c>
      <c r="C206" s="454">
        <v>1124616.8500000001</v>
      </c>
      <c r="D206" s="454">
        <v>146863.74</v>
      </c>
      <c r="E206" s="454"/>
      <c r="F206" s="455"/>
      <c r="G206" s="454">
        <v>14770.85</v>
      </c>
      <c r="H206" s="454">
        <v>697.8</v>
      </c>
      <c r="I206" s="454"/>
      <c r="J206" s="454">
        <v>10919.29</v>
      </c>
      <c r="K206" s="454"/>
      <c r="L206" s="454">
        <v>82302.899999999994</v>
      </c>
      <c r="M206" s="344">
        <f t="shared" si="12"/>
        <v>1380171.4300000002</v>
      </c>
      <c r="N206" s="458">
        <v>35407.15</v>
      </c>
      <c r="O206" s="458">
        <v>310.60000000000002</v>
      </c>
      <c r="P206" s="458">
        <v>31257.95</v>
      </c>
      <c r="Q206" s="458">
        <v>5990.31</v>
      </c>
      <c r="R206" s="458">
        <v>24068.15</v>
      </c>
      <c r="S206" s="454">
        <v>1501.97</v>
      </c>
      <c r="T206" s="344">
        <f t="shared" si="13"/>
        <v>1478707.56</v>
      </c>
      <c r="U206" s="456">
        <v>-15106.62</v>
      </c>
      <c r="V206" s="458"/>
      <c r="W206" s="458">
        <v>-330.45</v>
      </c>
      <c r="X206" s="462">
        <v>71</v>
      </c>
      <c r="Y206" s="463">
        <v>0.8</v>
      </c>
      <c r="Z206" s="464">
        <v>697</v>
      </c>
      <c r="AA206" s="527"/>
      <c r="AB206" s="469">
        <v>76920</v>
      </c>
      <c r="AC206" s="307">
        <f>AB206/VPI!R206</f>
        <v>3.9211019001967298</v>
      </c>
      <c r="AD206" s="309">
        <f t="shared" si="14"/>
        <v>51573</v>
      </c>
      <c r="AE206" s="307">
        <f>AD206/VPI!R206</f>
        <v>2.6290040080453192</v>
      </c>
      <c r="AF206" s="469">
        <v>128493</v>
      </c>
      <c r="AG206" s="469">
        <v>81672</v>
      </c>
      <c r="AH206" s="469">
        <v>69367</v>
      </c>
      <c r="AI206" s="534"/>
      <c r="AJ206" s="464"/>
      <c r="AK206" s="307">
        <f>AJ206/VPI!R206</f>
        <v>0</v>
      </c>
      <c r="AL206" s="309">
        <f t="shared" si="15"/>
        <v>15462</v>
      </c>
      <c r="AM206" s="307">
        <f>AL206/VPI!R206</f>
        <v>0.78819653641240039</v>
      </c>
      <c r="AN206" s="464">
        <v>15462</v>
      </c>
      <c r="AO206" s="534"/>
      <c r="AP206" s="477">
        <v>11.949822479990317</v>
      </c>
      <c r="AR206" s="530">
        <v>0</v>
      </c>
    </row>
    <row r="207" spans="1:44" x14ac:dyDescent="0.25">
      <c r="A207" s="525">
        <v>5744</v>
      </c>
      <c r="B207" s="526" t="s">
        <v>227</v>
      </c>
      <c r="C207" s="454">
        <v>1506484.29</v>
      </c>
      <c r="D207" s="454">
        <v>201325.09</v>
      </c>
      <c r="E207" s="454"/>
      <c r="F207" s="455"/>
      <c r="G207" s="454">
        <v>2981618.75</v>
      </c>
      <c r="H207" s="454">
        <v>7030.6</v>
      </c>
      <c r="I207" s="454"/>
      <c r="J207" s="454">
        <v>114585.76</v>
      </c>
      <c r="K207" s="454"/>
      <c r="L207" s="454">
        <v>201237.1</v>
      </c>
      <c r="M207" s="344">
        <f t="shared" si="12"/>
        <v>5012281.5899999989</v>
      </c>
      <c r="N207" s="458">
        <v>1417599.85</v>
      </c>
      <c r="O207" s="458">
        <v>16177.2</v>
      </c>
      <c r="P207" s="458">
        <v>76830.600000000006</v>
      </c>
      <c r="Q207" s="458">
        <v>3443.3</v>
      </c>
      <c r="R207" s="458">
        <v>69474.649999999994</v>
      </c>
      <c r="S207" s="454">
        <v>290190.38</v>
      </c>
      <c r="T207" s="344">
        <f t="shared" si="13"/>
        <v>6885997.5699999994</v>
      </c>
      <c r="U207" s="456">
        <v>-34368.97</v>
      </c>
      <c r="V207" s="458"/>
      <c r="W207" s="458">
        <v>-1013.6</v>
      </c>
      <c r="X207" s="462">
        <v>65</v>
      </c>
      <c r="Y207" s="463">
        <v>1</v>
      </c>
      <c r="Z207" s="464">
        <v>1209</v>
      </c>
      <c r="AA207" s="527"/>
      <c r="AB207" s="469">
        <v>176125</v>
      </c>
      <c r="AC207" s="307">
        <f>AB207/VPI!R207</f>
        <v>2.1721001749974911</v>
      </c>
      <c r="AD207" s="309">
        <f t="shared" si="14"/>
        <v>514474</v>
      </c>
      <c r="AE207" s="307">
        <f>AD207/VPI!R207</f>
        <v>6.3448633949278026</v>
      </c>
      <c r="AF207" s="469">
        <v>690599</v>
      </c>
      <c r="AG207" s="469">
        <v>88443</v>
      </c>
      <c r="AH207" s="469">
        <v>135741</v>
      </c>
      <c r="AI207" s="534"/>
      <c r="AJ207" s="464"/>
      <c r="AK207" s="307">
        <f>AJ207/VPI!R207</f>
        <v>0</v>
      </c>
      <c r="AL207" s="309">
        <f t="shared" si="15"/>
        <v>91816</v>
      </c>
      <c r="AM207" s="307">
        <f>AL207/VPI!R207</f>
        <v>1.1323409491416303</v>
      </c>
      <c r="AN207" s="464">
        <v>91816</v>
      </c>
      <c r="AO207" s="534"/>
      <c r="AP207" s="477">
        <v>27.884681870610216</v>
      </c>
      <c r="AR207" s="530">
        <v>0</v>
      </c>
    </row>
    <row r="208" spans="1:44" x14ac:dyDescent="0.25">
      <c r="A208" s="525">
        <v>5745</v>
      </c>
      <c r="B208" s="526" t="s">
        <v>228</v>
      </c>
      <c r="C208" s="454">
        <v>1822857.97</v>
      </c>
      <c r="D208" s="454">
        <v>239530.63</v>
      </c>
      <c r="E208" s="454"/>
      <c r="F208" s="455"/>
      <c r="G208" s="454">
        <v>48808.75</v>
      </c>
      <c r="H208" s="454">
        <v>3163.75</v>
      </c>
      <c r="I208" s="454"/>
      <c r="J208" s="454">
        <v>3018.82</v>
      </c>
      <c r="K208" s="454"/>
      <c r="L208" s="454">
        <v>164149.65</v>
      </c>
      <c r="M208" s="344">
        <f t="shared" si="12"/>
        <v>2281529.5699999998</v>
      </c>
      <c r="N208" s="458">
        <v>208052.6</v>
      </c>
      <c r="O208" s="458"/>
      <c r="P208" s="458">
        <v>19525</v>
      </c>
      <c r="Q208" s="458">
        <v>17659.25</v>
      </c>
      <c r="R208" s="458">
        <v>13311.5</v>
      </c>
      <c r="S208" s="454">
        <v>5046.3999999999996</v>
      </c>
      <c r="T208" s="344">
        <f t="shared" si="13"/>
        <v>2545124.3199999998</v>
      </c>
      <c r="U208" s="456">
        <v>-42261.5</v>
      </c>
      <c r="V208" s="458"/>
      <c r="W208" s="458">
        <v>0</v>
      </c>
      <c r="X208" s="462">
        <v>76.5</v>
      </c>
      <c r="Y208" s="463">
        <v>1</v>
      </c>
      <c r="Z208" s="464">
        <v>1168</v>
      </c>
      <c r="AA208" s="527"/>
      <c r="AB208" s="469">
        <v>84850</v>
      </c>
      <c r="AC208" s="307">
        <f>AB208/VPI!R208</f>
        <v>2.8696288301704937</v>
      </c>
      <c r="AD208" s="309">
        <f t="shared" si="14"/>
        <v>233678</v>
      </c>
      <c r="AE208" s="307">
        <f>AD208/VPI!R208</f>
        <v>7.9029950003132665</v>
      </c>
      <c r="AF208" s="469">
        <v>318528</v>
      </c>
      <c r="AG208" s="469">
        <v>141598</v>
      </c>
      <c r="AH208" s="469">
        <v>133049</v>
      </c>
      <c r="AI208" s="534"/>
      <c r="AJ208" s="464"/>
      <c r="AK208" s="307">
        <f>AJ208/VPI!R208</f>
        <v>0</v>
      </c>
      <c r="AL208" s="309">
        <f t="shared" si="15"/>
        <v>201273</v>
      </c>
      <c r="AM208" s="307">
        <f>AL208/VPI!R208</f>
        <v>6.8070572013542234</v>
      </c>
      <c r="AN208" s="464">
        <v>201273</v>
      </c>
      <c r="AO208" s="534"/>
      <c r="AP208" s="477">
        <v>2.3546478839558418</v>
      </c>
      <c r="AR208" s="530">
        <v>0</v>
      </c>
    </row>
    <row r="209" spans="1:44" x14ac:dyDescent="0.25">
      <c r="A209" s="525">
        <v>5746</v>
      </c>
      <c r="B209" s="526" t="s">
        <v>229</v>
      </c>
      <c r="C209" s="454">
        <v>2153007.5099999998</v>
      </c>
      <c r="D209" s="454">
        <v>217945</v>
      </c>
      <c r="E209" s="454"/>
      <c r="F209" s="455"/>
      <c r="G209" s="454">
        <v>42099.15</v>
      </c>
      <c r="H209" s="454">
        <v>3962</v>
      </c>
      <c r="I209" s="454"/>
      <c r="J209" s="454">
        <v>29360.47</v>
      </c>
      <c r="K209" s="454">
        <v>20256.3</v>
      </c>
      <c r="L209" s="454">
        <v>249981.95</v>
      </c>
      <c r="M209" s="344">
        <f t="shared" si="12"/>
        <v>2716612.38</v>
      </c>
      <c r="N209" s="458">
        <v>9548.9500000000007</v>
      </c>
      <c r="O209" s="458">
        <v>1202.2</v>
      </c>
      <c r="P209" s="458">
        <v>156258.20000000001</v>
      </c>
      <c r="Q209" s="458"/>
      <c r="R209" s="458">
        <v>42615.15</v>
      </c>
      <c r="S209" s="454">
        <v>4472.42</v>
      </c>
      <c r="T209" s="344">
        <f t="shared" si="13"/>
        <v>2930709.3000000003</v>
      </c>
      <c r="U209" s="456">
        <v>-5210.66</v>
      </c>
      <c r="V209" s="458"/>
      <c r="W209" s="458">
        <v>-849.55</v>
      </c>
      <c r="X209" s="462">
        <v>72</v>
      </c>
      <c r="Y209" s="463">
        <v>1.2</v>
      </c>
      <c r="Z209" s="464">
        <v>1041</v>
      </c>
      <c r="AA209" s="527"/>
      <c r="AB209" s="469">
        <v>65826</v>
      </c>
      <c r="AC209" s="307">
        <f>AB209/VPI!R209</f>
        <v>1.7728515232865503</v>
      </c>
      <c r="AD209" s="309">
        <f t="shared" si="14"/>
        <v>243953</v>
      </c>
      <c r="AE209" s="307">
        <f>AD209/VPI!R209</f>
        <v>6.5702374086276514</v>
      </c>
      <c r="AF209" s="469">
        <v>309779</v>
      </c>
      <c r="AG209" s="469">
        <v>128130</v>
      </c>
      <c r="AH209" s="469">
        <v>128084</v>
      </c>
      <c r="AI209" s="534"/>
      <c r="AJ209" s="464"/>
      <c r="AK209" s="307">
        <f>AJ209/VPI!R209</f>
        <v>0</v>
      </c>
      <c r="AL209" s="309">
        <f t="shared" si="15"/>
        <v>52621</v>
      </c>
      <c r="AM209" s="307">
        <f>AL209/VPI!R209</f>
        <v>1.4172093094956637</v>
      </c>
      <c r="AN209" s="464">
        <v>52621</v>
      </c>
      <c r="AO209" s="534"/>
      <c r="AP209" s="477">
        <v>15.830982017604111</v>
      </c>
      <c r="AR209" s="530">
        <v>0</v>
      </c>
    </row>
    <row r="210" spans="1:44" x14ac:dyDescent="0.25">
      <c r="A210" s="525">
        <v>5747</v>
      </c>
      <c r="B210" s="526" t="s">
        <v>230</v>
      </c>
      <c r="C210" s="454">
        <v>344949.72</v>
      </c>
      <c r="D210" s="454">
        <v>39789.56</v>
      </c>
      <c r="E210" s="454"/>
      <c r="F210" s="455"/>
      <c r="G210" s="454">
        <v>89543.95</v>
      </c>
      <c r="H210" s="454">
        <v>565.04999999999995</v>
      </c>
      <c r="I210" s="454"/>
      <c r="J210" s="454">
        <v>-822.87</v>
      </c>
      <c r="K210" s="454"/>
      <c r="L210" s="454">
        <v>35978.300000000003</v>
      </c>
      <c r="M210" s="344">
        <f t="shared" si="12"/>
        <v>510003.70999999996</v>
      </c>
      <c r="N210" s="458">
        <v>369.35</v>
      </c>
      <c r="O210" s="458">
        <v>3119.1</v>
      </c>
      <c r="P210" s="458">
        <v>11040.75</v>
      </c>
      <c r="Q210" s="458"/>
      <c r="R210" s="458">
        <v>19831.25</v>
      </c>
      <c r="S210" s="454">
        <v>8749.36</v>
      </c>
      <c r="T210" s="344">
        <f t="shared" si="13"/>
        <v>553113.5199999999</v>
      </c>
      <c r="U210" s="456">
        <v>-465.32</v>
      </c>
      <c r="V210" s="458"/>
      <c r="W210" s="458">
        <v>-11.7</v>
      </c>
      <c r="X210" s="462">
        <v>69</v>
      </c>
      <c r="Y210" s="463">
        <v>1</v>
      </c>
      <c r="Z210" s="464">
        <v>200</v>
      </c>
      <c r="AA210" s="527"/>
      <c r="AB210" s="469">
        <v>19441</v>
      </c>
      <c r="AC210" s="307">
        <f>AB210/VPI!R210</f>
        <v>2.5882519556904091</v>
      </c>
      <c r="AD210" s="309">
        <f t="shared" si="14"/>
        <v>46697</v>
      </c>
      <c r="AE210" s="307">
        <f>AD210/VPI!R210</f>
        <v>6.2169436538694018</v>
      </c>
      <c r="AF210" s="469">
        <v>66138</v>
      </c>
      <c r="AG210" s="469">
        <v>14382</v>
      </c>
      <c r="AH210" s="469">
        <v>22697</v>
      </c>
      <c r="AI210" s="534"/>
      <c r="AJ210" s="464"/>
      <c r="AK210" s="307">
        <f>AJ210/VPI!R210</f>
        <v>0</v>
      </c>
      <c r="AL210" s="309">
        <f t="shared" si="15"/>
        <v>2917</v>
      </c>
      <c r="AM210" s="307">
        <f>AL210/VPI!R210</f>
        <v>0.38835095698518202</v>
      </c>
      <c r="AN210" s="464">
        <v>2917</v>
      </c>
      <c r="AO210" s="534"/>
      <c r="AP210" s="477">
        <v>20.363037261588701</v>
      </c>
      <c r="AR210" s="530">
        <v>0</v>
      </c>
    </row>
    <row r="211" spans="1:44" x14ac:dyDescent="0.25">
      <c r="A211" s="525">
        <v>5748</v>
      </c>
      <c r="B211" s="526" t="s">
        <v>231</v>
      </c>
      <c r="C211" s="454">
        <v>387704.52</v>
      </c>
      <c r="D211" s="454">
        <v>51446.38</v>
      </c>
      <c r="E211" s="454"/>
      <c r="F211" s="455">
        <v>2030</v>
      </c>
      <c r="G211" s="454">
        <v>661.6</v>
      </c>
      <c r="H211" s="454">
        <v>466.95</v>
      </c>
      <c r="I211" s="454"/>
      <c r="J211" s="454">
        <v>1848.5</v>
      </c>
      <c r="K211" s="454"/>
      <c r="L211" s="454">
        <v>24766.65</v>
      </c>
      <c r="M211" s="344">
        <f t="shared" si="12"/>
        <v>468924.60000000003</v>
      </c>
      <c r="N211" s="458">
        <v>14329.75</v>
      </c>
      <c r="O211" s="458"/>
      <c r="P211" s="458">
        <v>21450</v>
      </c>
      <c r="Q211" s="458"/>
      <c r="R211" s="458">
        <v>15283</v>
      </c>
      <c r="S211" s="454">
        <v>109.58</v>
      </c>
      <c r="T211" s="344">
        <f t="shared" si="13"/>
        <v>520096.93000000005</v>
      </c>
      <c r="U211" s="456">
        <v>-287.47000000000003</v>
      </c>
      <c r="V211" s="458"/>
      <c r="W211" s="458">
        <v>0</v>
      </c>
      <c r="X211" s="462">
        <v>70.5</v>
      </c>
      <c r="Y211" s="463">
        <v>0.6</v>
      </c>
      <c r="Z211" s="464">
        <v>261</v>
      </c>
      <c r="AA211" s="527"/>
      <c r="AB211" s="469">
        <v>45545</v>
      </c>
      <c r="AC211" s="307">
        <f>AB211/VPI!R211</f>
        <v>6.6169414151211701</v>
      </c>
      <c r="AD211" s="309">
        <f t="shared" si="14"/>
        <v>23584</v>
      </c>
      <c r="AE211" s="307">
        <f>AD211/VPI!R211</f>
        <v>3.426368346343565</v>
      </c>
      <c r="AF211" s="469">
        <v>69129</v>
      </c>
      <c r="AG211" s="469">
        <v>32002</v>
      </c>
      <c r="AH211" s="469">
        <v>35386</v>
      </c>
      <c r="AI211" s="534"/>
      <c r="AJ211" s="464"/>
      <c r="AK211" s="307">
        <f>AJ211/VPI!R211</f>
        <v>0</v>
      </c>
      <c r="AL211" s="309">
        <f t="shared" si="15"/>
        <v>41853</v>
      </c>
      <c r="AM211" s="307">
        <f>AL211/VPI!R211</f>
        <v>6.0805543758275622</v>
      </c>
      <c r="AN211" s="464">
        <v>41853</v>
      </c>
      <c r="AO211" s="534"/>
      <c r="AP211" s="477">
        <v>8.6326092021257281</v>
      </c>
      <c r="AR211" s="530">
        <v>0</v>
      </c>
    </row>
    <row r="212" spans="1:44" x14ac:dyDescent="0.25">
      <c r="A212" s="525">
        <v>5749</v>
      </c>
      <c r="B212" s="526" t="s">
        <v>232</v>
      </c>
      <c r="C212" s="454">
        <v>8610030.1899999995</v>
      </c>
      <c r="D212" s="454">
        <v>960232.72</v>
      </c>
      <c r="E212" s="454"/>
      <c r="F212" s="455"/>
      <c r="G212" s="454">
        <v>264853.75</v>
      </c>
      <c r="H212" s="454">
        <v>53432.1</v>
      </c>
      <c r="I212" s="454"/>
      <c r="J212" s="454">
        <v>287525.40999999997</v>
      </c>
      <c r="K212" s="454">
        <v>92824.45</v>
      </c>
      <c r="L212" s="454">
        <v>920782.9</v>
      </c>
      <c r="M212" s="344">
        <f t="shared" si="12"/>
        <v>11189681.52</v>
      </c>
      <c r="N212" s="458">
        <v>728559.75</v>
      </c>
      <c r="O212" s="458">
        <v>379.3</v>
      </c>
      <c r="P212" s="458">
        <v>340511.05</v>
      </c>
      <c r="Q212" s="458">
        <v>59902.16</v>
      </c>
      <c r="R212" s="458">
        <v>281206</v>
      </c>
      <c r="S212" s="454">
        <v>30904.76</v>
      </c>
      <c r="T212" s="344">
        <f t="shared" si="13"/>
        <v>12631144.540000001</v>
      </c>
      <c r="U212" s="456">
        <v>-286353.61</v>
      </c>
      <c r="V212" s="458"/>
      <c r="W212" s="458">
        <v>-1123.07</v>
      </c>
      <c r="X212" s="462">
        <v>70.5</v>
      </c>
      <c r="Y212" s="463">
        <v>1</v>
      </c>
      <c r="Z212" s="464">
        <v>5442</v>
      </c>
      <c r="AA212" s="527"/>
      <c r="AB212" s="469">
        <v>600536</v>
      </c>
      <c r="AC212" s="307">
        <f>AB212/VPI!R212</f>
        <v>3.8513365512855597</v>
      </c>
      <c r="AD212" s="309">
        <f t="shared" si="14"/>
        <v>459320</v>
      </c>
      <c r="AE212" s="307">
        <f>AD212/VPI!R212</f>
        <v>2.9456950203426326</v>
      </c>
      <c r="AF212" s="469">
        <v>1059856</v>
      </c>
      <c r="AG212" s="469">
        <v>670058</v>
      </c>
      <c r="AH212" s="469">
        <v>698672</v>
      </c>
      <c r="AI212" s="534"/>
      <c r="AJ212" s="464">
        <v>1249</v>
      </c>
      <c r="AK212" s="307">
        <f>AJ212/VPI!R212</f>
        <v>8.0100432822606208E-3</v>
      </c>
      <c r="AL212" s="309">
        <f t="shared" si="15"/>
        <v>107420</v>
      </c>
      <c r="AM212" s="307">
        <f>AL212/VPI!R212</f>
        <v>0.68890220126536095</v>
      </c>
      <c r="AN212" s="464">
        <v>108669</v>
      </c>
      <c r="AO212" s="534"/>
      <c r="AP212" s="477">
        <v>0.4447903901240764</v>
      </c>
      <c r="AR212" s="530">
        <v>0</v>
      </c>
    </row>
    <row r="213" spans="1:44" x14ac:dyDescent="0.25">
      <c r="A213" s="525">
        <v>5750</v>
      </c>
      <c r="B213" s="526" t="s">
        <v>233</v>
      </c>
      <c r="C213" s="454">
        <v>407245.19</v>
      </c>
      <c r="D213" s="454">
        <v>64759.56</v>
      </c>
      <c r="E213" s="454"/>
      <c r="F213" s="455">
        <v>1120</v>
      </c>
      <c r="G213" s="454">
        <v>241.35</v>
      </c>
      <c r="H213" s="454">
        <v>44.6</v>
      </c>
      <c r="I213" s="454"/>
      <c r="J213" s="454">
        <v>70.900000000000006</v>
      </c>
      <c r="K213" s="454">
        <v>4.4000000000000004</v>
      </c>
      <c r="L213" s="454">
        <v>14646.6</v>
      </c>
      <c r="M213" s="344">
        <f t="shared" si="12"/>
        <v>488132.6</v>
      </c>
      <c r="N213" s="458">
        <v>7423.95</v>
      </c>
      <c r="O213" s="458"/>
      <c r="P213" s="458">
        <v>23037.05</v>
      </c>
      <c r="Q213" s="458">
        <v>18010.71</v>
      </c>
      <c r="R213" s="458">
        <v>41629.550000000003</v>
      </c>
      <c r="S213" s="454">
        <v>27.77</v>
      </c>
      <c r="T213" s="344">
        <f t="shared" si="13"/>
        <v>578261.63</v>
      </c>
      <c r="U213" s="456">
        <v>-23215.57</v>
      </c>
      <c r="V213" s="458"/>
      <c r="W213" s="458">
        <v>-471.25</v>
      </c>
      <c r="X213" s="462">
        <v>80</v>
      </c>
      <c r="Y213" s="463">
        <v>0.6</v>
      </c>
      <c r="Z213" s="464">
        <v>194</v>
      </c>
      <c r="AA213" s="527"/>
      <c r="AB213" s="469">
        <v>45885</v>
      </c>
      <c r="AC213" s="307">
        <f>AB213/VPI!R213</f>
        <v>7.4572066889933231</v>
      </c>
      <c r="AD213" s="309">
        <f t="shared" si="14"/>
        <v>37776</v>
      </c>
      <c r="AE213" s="307">
        <f>AD213/VPI!R213</f>
        <v>6.1393361639623354</v>
      </c>
      <c r="AF213" s="469">
        <v>83661</v>
      </c>
      <c r="AG213" s="469"/>
      <c r="AH213" s="469">
        <v>17615</v>
      </c>
      <c r="AI213" s="534"/>
      <c r="AJ213" s="464"/>
      <c r="AK213" s="307">
        <f>AJ213/VPI!R213</f>
        <v>0</v>
      </c>
      <c r="AL213" s="309">
        <f t="shared" si="15"/>
        <v>63634</v>
      </c>
      <c r="AM213" s="307">
        <f>AL213/VPI!R213</f>
        <v>10.34176507458649</v>
      </c>
      <c r="AN213" s="464">
        <v>63634</v>
      </c>
      <c r="AO213" s="534"/>
      <c r="AP213" s="477">
        <v>5.977955541708015</v>
      </c>
      <c r="AR213" s="530">
        <v>0</v>
      </c>
    </row>
    <row r="214" spans="1:44" x14ac:dyDescent="0.25">
      <c r="A214" s="525">
        <v>5752</v>
      </c>
      <c r="B214" s="526" t="s">
        <v>280</v>
      </c>
      <c r="C214" s="454">
        <v>584516.81999999995</v>
      </c>
      <c r="D214" s="454">
        <v>119742.45</v>
      </c>
      <c r="E214" s="454"/>
      <c r="F214" s="455"/>
      <c r="G214" s="454">
        <v>1164.8</v>
      </c>
      <c r="H214" s="454">
        <v>1508.75</v>
      </c>
      <c r="I214" s="454"/>
      <c r="J214" s="454">
        <v>8943.2099999999991</v>
      </c>
      <c r="K214" s="454">
        <v>1379.4</v>
      </c>
      <c r="L214" s="454">
        <v>44989.1</v>
      </c>
      <c r="M214" s="344">
        <f t="shared" si="12"/>
        <v>762244.52999999991</v>
      </c>
      <c r="N214" s="458">
        <v>45637.45</v>
      </c>
      <c r="O214" s="458">
        <v>24742</v>
      </c>
      <c r="P214" s="458">
        <v>25025</v>
      </c>
      <c r="Q214" s="458">
        <v>2411.79</v>
      </c>
      <c r="R214" s="458">
        <v>24609.3</v>
      </c>
      <c r="S214" s="454">
        <v>259.60000000000002</v>
      </c>
      <c r="T214" s="344">
        <f t="shared" si="13"/>
        <v>884929.66999999993</v>
      </c>
      <c r="U214" s="456">
        <v>-2366.36</v>
      </c>
      <c r="V214" s="458"/>
      <c r="W214" s="458">
        <v>-27.65</v>
      </c>
      <c r="X214" s="462">
        <v>74</v>
      </c>
      <c r="Y214" s="463">
        <v>0.7</v>
      </c>
      <c r="Z214" s="464">
        <v>403</v>
      </c>
      <c r="AA214" s="527"/>
      <c r="AB214" s="469">
        <v>16320</v>
      </c>
      <c r="AC214" s="307">
        <f>AB214/VPI!R214</f>
        <v>1.5447370665286766</v>
      </c>
      <c r="AD214" s="309">
        <f t="shared" si="14"/>
        <v>41542</v>
      </c>
      <c r="AE214" s="307">
        <f>AD214/VPI!R214</f>
        <v>3.9320751971650907</v>
      </c>
      <c r="AF214" s="469">
        <v>57862</v>
      </c>
      <c r="AG214" s="469">
        <v>49053</v>
      </c>
      <c r="AH214" s="469">
        <v>42681</v>
      </c>
      <c r="AI214" s="534"/>
      <c r="AJ214" s="464"/>
      <c r="AK214" s="307">
        <f>AJ214/VPI!R214</f>
        <v>0</v>
      </c>
      <c r="AL214" s="309">
        <f t="shared" si="15"/>
        <v>-4565</v>
      </c>
      <c r="AM214" s="307">
        <f>AL214/VPI!R214</f>
        <v>-0.43209097479800296</v>
      </c>
      <c r="AN214" s="464">
        <v>-4565</v>
      </c>
      <c r="AO214" s="534"/>
      <c r="AP214" s="477">
        <v>3.7998058700538877</v>
      </c>
      <c r="AR214" s="530">
        <v>0</v>
      </c>
    </row>
    <row r="215" spans="1:44" x14ac:dyDescent="0.25">
      <c r="A215" s="525">
        <v>5754</v>
      </c>
      <c r="B215" s="526" t="s">
        <v>281</v>
      </c>
      <c r="C215" s="454">
        <v>593779.30000000005</v>
      </c>
      <c r="D215" s="454">
        <v>64780.11</v>
      </c>
      <c r="E215" s="454"/>
      <c r="F215" s="455"/>
      <c r="G215" s="454">
        <v>904.7</v>
      </c>
      <c r="H215" s="454">
        <v>1684.4</v>
      </c>
      <c r="I215" s="454"/>
      <c r="J215" s="454">
        <v>5426.57</v>
      </c>
      <c r="K215" s="454">
        <v>2096.5</v>
      </c>
      <c r="L215" s="454">
        <v>49461.8</v>
      </c>
      <c r="M215" s="344">
        <f t="shared" si="12"/>
        <v>718133.38</v>
      </c>
      <c r="N215" s="458">
        <v>21413.200000000001</v>
      </c>
      <c r="O215" s="458"/>
      <c r="P215" s="458">
        <v>14099</v>
      </c>
      <c r="Q215" s="458">
        <v>140.09</v>
      </c>
      <c r="R215" s="458">
        <v>18081.849999999999</v>
      </c>
      <c r="S215" s="454">
        <v>251.4</v>
      </c>
      <c r="T215" s="344">
        <f t="shared" si="13"/>
        <v>772118.91999999993</v>
      </c>
      <c r="U215" s="456">
        <v>-10737.48</v>
      </c>
      <c r="V215" s="458"/>
      <c r="W215" s="458">
        <v>-21.6</v>
      </c>
      <c r="X215" s="462">
        <v>79</v>
      </c>
      <c r="Y215" s="463">
        <v>1</v>
      </c>
      <c r="Z215" s="464">
        <v>348</v>
      </c>
      <c r="AA215" s="527"/>
      <c r="AB215" s="469">
        <v>20776</v>
      </c>
      <c r="AC215" s="307">
        <f>AB215/VPI!R215</f>
        <v>2.318993123417282</v>
      </c>
      <c r="AD215" s="309">
        <f t="shared" si="14"/>
        <v>69791</v>
      </c>
      <c r="AE215" s="307">
        <f>AD215/VPI!R215</f>
        <v>7.7899908103781055</v>
      </c>
      <c r="AF215" s="469">
        <v>90567</v>
      </c>
      <c r="AG215" s="469">
        <v>17348</v>
      </c>
      <c r="AH215" s="469">
        <v>42131</v>
      </c>
      <c r="AI215" s="534"/>
      <c r="AJ215" s="464"/>
      <c r="AK215" s="307">
        <f>AJ215/VPI!R215</f>
        <v>0</v>
      </c>
      <c r="AL215" s="309">
        <f t="shared" si="15"/>
        <v>38200</v>
      </c>
      <c r="AM215" s="307">
        <f>AL215/VPI!R215</f>
        <v>4.2638398784434042</v>
      </c>
      <c r="AN215" s="464">
        <v>38200</v>
      </c>
      <c r="AO215" s="534"/>
      <c r="AP215" s="477">
        <v>1.3689655871395034</v>
      </c>
      <c r="AR215" s="530">
        <v>0</v>
      </c>
    </row>
    <row r="216" spans="1:44" x14ac:dyDescent="0.25">
      <c r="A216" s="525">
        <v>5755</v>
      </c>
      <c r="B216" s="526" t="s">
        <v>282</v>
      </c>
      <c r="C216" s="454">
        <v>659893.15</v>
      </c>
      <c r="D216" s="454">
        <v>78698.570000000007</v>
      </c>
      <c r="E216" s="454"/>
      <c r="F216" s="455">
        <v>2350</v>
      </c>
      <c r="G216" s="454">
        <v>9222.1</v>
      </c>
      <c r="H216" s="454">
        <v>938.7</v>
      </c>
      <c r="I216" s="454"/>
      <c r="J216" s="454">
        <v>19283.939999999999</v>
      </c>
      <c r="K216" s="454">
        <v>4088.1</v>
      </c>
      <c r="L216" s="454">
        <v>51663.05</v>
      </c>
      <c r="M216" s="344">
        <f t="shared" si="12"/>
        <v>826137.60999999987</v>
      </c>
      <c r="N216" s="458">
        <v>26084.75</v>
      </c>
      <c r="O216" s="458"/>
      <c r="P216" s="458">
        <v>45872.9</v>
      </c>
      <c r="Q216" s="458"/>
      <c r="R216" s="458">
        <v>34280.1</v>
      </c>
      <c r="S216" s="454">
        <v>986.59</v>
      </c>
      <c r="T216" s="344">
        <f t="shared" si="13"/>
        <v>933361.94999999984</v>
      </c>
      <c r="U216" s="456">
        <v>-33869.65</v>
      </c>
      <c r="V216" s="458"/>
      <c r="W216" s="458">
        <v>0</v>
      </c>
      <c r="X216" s="462">
        <v>78.5</v>
      </c>
      <c r="Y216" s="463">
        <v>0.7</v>
      </c>
      <c r="Z216" s="464">
        <v>463</v>
      </c>
      <c r="AA216" s="527"/>
      <c r="AB216" s="469">
        <v>4980</v>
      </c>
      <c r="AC216" s="307">
        <f>AB216/VPI!R216</f>
        <v>0.47943584281850138</v>
      </c>
      <c r="AD216" s="309">
        <f t="shared" si="14"/>
        <v>775500</v>
      </c>
      <c r="AE216" s="307">
        <f>AD216/VPI!R216</f>
        <v>74.659135764206383</v>
      </c>
      <c r="AF216" s="469">
        <v>780480</v>
      </c>
      <c r="AG216" s="469">
        <v>34250</v>
      </c>
      <c r="AH216" s="469">
        <v>49974</v>
      </c>
      <c r="AI216" s="534"/>
      <c r="AJ216" s="464"/>
      <c r="AK216" s="307">
        <f>AJ216/VPI!R216</f>
        <v>0</v>
      </c>
      <c r="AL216" s="309">
        <f t="shared" si="15"/>
        <v>69516</v>
      </c>
      <c r="AM216" s="307">
        <f>AL216/VPI!R216</f>
        <v>6.6924622589098277</v>
      </c>
      <c r="AN216" s="464">
        <v>69516</v>
      </c>
      <c r="AO216" s="534"/>
      <c r="AP216" s="477">
        <v>-0.6567434367075542</v>
      </c>
      <c r="AR216" s="530">
        <v>0</v>
      </c>
    </row>
    <row r="217" spans="1:44" x14ac:dyDescent="0.25">
      <c r="A217" s="525">
        <v>5756</v>
      </c>
      <c r="B217" s="526" t="s">
        <v>283</v>
      </c>
      <c r="C217" s="454">
        <v>1214795.99</v>
      </c>
      <c r="D217" s="454">
        <v>258914.65</v>
      </c>
      <c r="E217" s="454"/>
      <c r="F217" s="455"/>
      <c r="G217" s="454">
        <v>-3111.6</v>
      </c>
      <c r="H217" s="454">
        <v>521.25</v>
      </c>
      <c r="I217" s="454"/>
      <c r="J217" s="454">
        <v>3868.75</v>
      </c>
      <c r="K217" s="454">
        <v>212.4</v>
      </c>
      <c r="L217" s="454">
        <v>89302.2</v>
      </c>
      <c r="M217" s="344">
        <f t="shared" si="12"/>
        <v>1564503.6399999997</v>
      </c>
      <c r="N217" s="458">
        <v>4644.8</v>
      </c>
      <c r="O217" s="458">
        <v>8890</v>
      </c>
      <c r="P217" s="458">
        <v>1263.0999999999999</v>
      </c>
      <c r="Q217" s="458"/>
      <c r="R217" s="458"/>
      <c r="S217" s="454">
        <v>-251.52</v>
      </c>
      <c r="T217" s="344">
        <f t="shared" si="13"/>
        <v>1579050.0199999998</v>
      </c>
      <c r="U217" s="456">
        <v>-10693.65</v>
      </c>
      <c r="V217" s="458"/>
      <c r="W217" s="458">
        <v>-2628.7</v>
      </c>
      <c r="X217" s="462">
        <v>72</v>
      </c>
      <c r="Y217" s="463">
        <v>1</v>
      </c>
      <c r="Z217" s="464">
        <v>489</v>
      </c>
      <c r="AA217" s="527"/>
      <c r="AB217" s="469">
        <v>43107</v>
      </c>
      <c r="AC217" s="307">
        <f>AB217/VPI!R217</f>
        <v>2.0011892608135318</v>
      </c>
      <c r="AD217" s="309">
        <f t="shared" si="14"/>
        <v>70657</v>
      </c>
      <c r="AE217" s="307">
        <f>AD217/VPI!R217</f>
        <v>3.2801640012364977</v>
      </c>
      <c r="AF217" s="469">
        <v>113764</v>
      </c>
      <c r="AG217" s="469">
        <v>36623</v>
      </c>
      <c r="AH217" s="469">
        <v>48061</v>
      </c>
      <c r="AI217" s="534"/>
      <c r="AJ217" s="464"/>
      <c r="AK217" s="307">
        <f>AJ217/VPI!R217</f>
        <v>0</v>
      </c>
      <c r="AL217" s="309">
        <f t="shared" si="15"/>
        <v>15211</v>
      </c>
      <c r="AM217" s="307">
        <f>AL217/VPI!R217</f>
        <v>0.70615189751628804</v>
      </c>
      <c r="AN217" s="464">
        <v>15211</v>
      </c>
      <c r="AO217" s="534"/>
      <c r="AP217" s="477">
        <v>24.226270561290775</v>
      </c>
      <c r="AR217" s="530">
        <v>0</v>
      </c>
    </row>
    <row r="218" spans="1:44" x14ac:dyDescent="0.25">
      <c r="A218" s="525">
        <v>5757</v>
      </c>
      <c r="B218" s="526" t="s">
        <v>284</v>
      </c>
      <c r="C218" s="454">
        <v>13922373.59</v>
      </c>
      <c r="D218" s="454">
        <v>1120095.77</v>
      </c>
      <c r="E218" s="454"/>
      <c r="F218" s="455"/>
      <c r="G218" s="454">
        <v>1870234.65</v>
      </c>
      <c r="H218" s="454">
        <v>136999.65</v>
      </c>
      <c r="I218" s="454"/>
      <c r="J218" s="454">
        <v>588455.31999999995</v>
      </c>
      <c r="K218" s="454">
        <v>185686.35</v>
      </c>
      <c r="L218" s="454">
        <v>1546393.95</v>
      </c>
      <c r="M218" s="344">
        <f t="shared" si="12"/>
        <v>19370239.279999997</v>
      </c>
      <c r="N218" s="458">
        <v>4025622.65</v>
      </c>
      <c r="O218" s="458">
        <v>293026.59999999998</v>
      </c>
      <c r="P218" s="458">
        <v>533059.75</v>
      </c>
      <c r="Q218" s="458">
        <v>53153.03</v>
      </c>
      <c r="R218" s="458">
        <v>326938.7</v>
      </c>
      <c r="S218" s="454">
        <v>194875.39</v>
      </c>
      <c r="T218" s="344">
        <f t="shared" si="13"/>
        <v>24796915.399999999</v>
      </c>
      <c r="U218" s="456">
        <v>-246923.51</v>
      </c>
      <c r="V218" s="458"/>
      <c r="W218" s="458">
        <v>-1890.3</v>
      </c>
      <c r="X218" s="462">
        <v>75.5</v>
      </c>
      <c r="Y218" s="463">
        <v>1</v>
      </c>
      <c r="Z218" s="464">
        <v>7962</v>
      </c>
      <c r="AA218" s="527"/>
      <c r="AB218" s="469">
        <v>826741</v>
      </c>
      <c r="AC218" s="307">
        <f>AB218/VPI!R218</f>
        <v>3.222545449886197</v>
      </c>
      <c r="AD218" s="309">
        <f t="shared" si="14"/>
        <v>2763245</v>
      </c>
      <c r="AE218" s="307">
        <f>AD218/VPI!R218</f>
        <v>10.77082496413119</v>
      </c>
      <c r="AF218" s="469">
        <v>3589986</v>
      </c>
      <c r="AG218" s="469">
        <v>1363080</v>
      </c>
      <c r="AH218" s="469">
        <v>805158</v>
      </c>
      <c r="AI218" s="534"/>
      <c r="AJ218" s="464"/>
      <c r="AK218" s="307">
        <f>AJ218/VPI!R218</f>
        <v>0</v>
      </c>
      <c r="AL218" s="309">
        <f t="shared" si="15"/>
        <v>107455</v>
      </c>
      <c r="AM218" s="307">
        <f>AL218/VPI!R218</f>
        <v>0.41884776649219202</v>
      </c>
      <c r="AN218" s="464">
        <v>107455</v>
      </c>
      <c r="AO218" s="534"/>
      <c r="AP218" s="477">
        <v>-1.7557879913659846</v>
      </c>
      <c r="AR218" s="530">
        <v>0</v>
      </c>
    </row>
    <row r="219" spans="1:44" x14ac:dyDescent="0.25">
      <c r="A219" s="525">
        <v>5758</v>
      </c>
      <c r="B219" s="526" t="s">
        <v>192</v>
      </c>
      <c r="C219" s="454">
        <f>292726.57+52310.95-2852.7</f>
        <v>342184.82</v>
      </c>
      <c r="D219" s="454">
        <v>67764.14</v>
      </c>
      <c r="E219" s="454"/>
      <c r="F219" s="455"/>
      <c r="G219" s="454">
        <v>5037</v>
      </c>
      <c r="H219" s="454">
        <v>1312.1</v>
      </c>
      <c r="I219" s="454"/>
      <c r="J219" s="454">
        <v>32965.269999999997</v>
      </c>
      <c r="K219" s="454"/>
      <c r="L219" s="454">
        <v>34825.199999999997</v>
      </c>
      <c r="M219" s="344">
        <f t="shared" si="12"/>
        <v>484088.53</v>
      </c>
      <c r="N219" s="458">
        <v>445.8</v>
      </c>
      <c r="O219" s="458">
        <v>25617.9</v>
      </c>
      <c r="P219" s="458">
        <v>12826</v>
      </c>
      <c r="Q219" s="458">
        <v>8404.0300000000007</v>
      </c>
      <c r="R219" s="458">
        <v>494.15</v>
      </c>
      <c r="S219" s="454">
        <v>616.48</v>
      </c>
      <c r="T219" s="344">
        <f t="shared" si="13"/>
        <v>532492.89</v>
      </c>
      <c r="U219" s="456">
        <v>-3404.55</v>
      </c>
      <c r="V219" s="458"/>
      <c r="W219" s="458">
        <v>-79.7</v>
      </c>
      <c r="X219" s="462">
        <v>83</v>
      </c>
      <c r="Y219" s="463">
        <v>1</v>
      </c>
      <c r="Z219" s="464">
        <v>207</v>
      </c>
      <c r="AA219" s="527"/>
      <c r="AB219" s="469">
        <v>23215</v>
      </c>
      <c r="AC219" s="307">
        <f>AB219/VPI!R219</f>
        <v>3.9353501688507224</v>
      </c>
      <c r="AD219" s="309">
        <f t="shared" si="14"/>
        <v>350922</v>
      </c>
      <c r="AE219" s="307">
        <f>AD219/VPI!R219</f>
        <v>59.487441393643472</v>
      </c>
      <c r="AF219" s="469">
        <v>374137</v>
      </c>
      <c r="AG219" s="469">
        <v>10181</v>
      </c>
      <c r="AH219" s="469">
        <v>23585</v>
      </c>
      <c r="AI219" s="534"/>
      <c r="AJ219" s="464"/>
      <c r="AK219" s="307">
        <f>AJ219/VPI!R219</f>
        <v>0</v>
      </c>
      <c r="AL219" s="309">
        <f t="shared" si="15"/>
        <v>6269</v>
      </c>
      <c r="AM219" s="307">
        <f>AL219/VPI!R219</f>
        <v>1.0627055872722455</v>
      </c>
      <c r="AN219" s="464">
        <v>6269</v>
      </c>
      <c r="AO219" s="534"/>
      <c r="AP219" s="477">
        <v>-3.2182222329683592</v>
      </c>
      <c r="AR219" s="530">
        <v>0</v>
      </c>
    </row>
    <row r="220" spans="1:44" x14ac:dyDescent="0.25">
      <c r="A220" s="525">
        <v>5759</v>
      </c>
      <c r="B220" s="526" t="s">
        <v>193</v>
      </c>
      <c r="C220" s="454">
        <v>322893.40999999997</v>
      </c>
      <c r="D220" s="454">
        <v>51057.279999999999</v>
      </c>
      <c r="E220" s="454"/>
      <c r="F220" s="455"/>
      <c r="G220" s="454">
        <v>3314.7</v>
      </c>
      <c r="H220" s="454">
        <v>241.55</v>
      </c>
      <c r="I220" s="454"/>
      <c r="J220" s="454">
        <v>1506.32</v>
      </c>
      <c r="K220" s="454">
        <v>289.45</v>
      </c>
      <c r="L220" s="454">
        <v>33890.699999999997</v>
      </c>
      <c r="M220" s="344">
        <f t="shared" si="12"/>
        <v>413193.41</v>
      </c>
      <c r="N220" s="458">
        <v>2808.4</v>
      </c>
      <c r="O220" s="458"/>
      <c r="P220" s="458">
        <v>11825</v>
      </c>
      <c r="Q220" s="458">
        <v>316.04000000000002</v>
      </c>
      <c r="R220" s="458">
        <v>10974.4</v>
      </c>
      <c r="S220" s="454">
        <v>345.3</v>
      </c>
      <c r="T220" s="344">
        <f t="shared" si="13"/>
        <v>439462.55</v>
      </c>
      <c r="U220" s="456">
        <v>-1421.88</v>
      </c>
      <c r="V220" s="458"/>
      <c r="W220" s="458">
        <v>-643.15</v>
      </c>
      <c r="X220" s="462">
        <v>79.5</v>
      </c>
      <c r="Y220" s="463">
        <v>1</v>
      </c>
      <c r="Z220" s="464">
        <v>228</v>
      </c>
      <c r="AA220" s="527"/>
      <c r="AB220" s="469">
        <v>27945</v>
      </c>
      <c r="AC220" s="307">
        <f>AB220/VPI!R220</f>
        <v>5.3950533296460152</v>
      </c>
      <c r="AD220" s="309">
        <f t="shared" si="14"/>
        <v>72233</v>
      </c>
      <c r="AE220" s="307">
        <f>AD220/VPI!R220</f>
        <v>13.945281344080181</v>
      </c>
      <c r="AF220" s="469">
        <v>100178</v>
      </c>
      <c r="AG220" s="469">
        <v>11516</v>
      </c>
      <c r="AH220" s="469">
        <v>29582</v>
      </c>
      <c r="AI220" s="534"/>
      <c r="AJ220" s="464"/>
      <c r="AK220" s="307">
        <f>AJ220/VPI!R220</f>
        <v>0</v>
      </c>
      <c r="AL220" s="309">
        <f t="shared" si="15"/>
        <v>39851</v>
      </c>
      <c r="AM220" s="307">
        <f>AL220/VPI!R220</f>
        <v>7.6936221234468904</v>
      </c>
      <c r="AN220" s="464">
        <v>39851</v>
      </c>
      <c r="AO220" s="534"/>
      <c r="AP220" s="477">
        <v>-4.0522058574731865</v>
      </c>
      <c r="AR220" s="530">
        <v>0</v>
      </c>
    </row>
    <row r="221" spans="1:44" x14ac:dyDescent="0.25">
      <c r="A221" s="525">
        <v>5760</v>
      </c>
      <c r="B221" s="526" t="s">
        <v>194</v>
      </c>
      <c r="C221" s="454">
        <v>868074.97</v>
      </c>
      <c r="D221" s="454">
        <v>85672.08</v>
      </c>
      <c r="E221" s="454"/>
      <c r="F221" s="455"/>
      <c r="G221" s="454">
        <v>20765.349999999999</v>
      </c>
      <c r="H221" s="454">
        <v>1565.15</v>
      </c>
      <c r="I221" s="454"/>
      <c r="J221" s="454">
        <v>3765.66</v>
      </c>
      <c r="K221" s="454"/>
      <c r="L221" s="454">
        <v>86845.8</v>
      </c>
      <c r="M221" s="344">
        <f t="shared" si="12"/>
        <v>1066689.01</v>
      </c>
      <c r="N221" s="458">
        <v>18598.55</v>
      </c>
      <c r="O221" s="458">
        <v>5060</v>
      </c>
      <c r="P221" s="458">
        <v>40561.449999999997</v>
      </c>
      <c r="Q221" s="458"/>
      <c r="R221" s="458">
        <v>40946.550000000003</v>
      </c>
      <c r="S221" s="454">
        <v>2168.2399999999998</v>
      </c>
      <c r="T221" s="344">
        <f t="shared" si="13"/>
        <v>1174023.8</v>
      </c>
      <c r="U221" s="456">
        <v>-6416.27</v>
      </c>
      <c r="V221" s="458"/>
      <c r="W221" s="458">
        <v>-1895.85</v>
      </c>
      <c r="X221" s="462">
        <v>76.5</v>
      </c>
      <c r="Y221" s="463">
        <v>1</v>
      </c>
      <c r="Z221" s="464">
        <v>508</v>
      </c>
      <c r="AA221" s="527"/>
      <c r="AB221" s="469">
        <v>18675</v>
      </c>
      <c r="AC221" s="307">
        <f>AB221/VPI!R221</f>
        <v>1.3470784595465544</v>
      </c>
      <c r="AD221" s="309">
        <f t="shared" si="14"/>
        <v>151803</v>
      </c>
      <c r="AE221" s="307">
        <f>AD221/VPI!R221</f>
        <v>10.949962591408063</v>
      </c>
      <c r="AF221" s="469">
        <v>170478</v>
      </c>
      <c r="AG221" s="469">
        <v>38921</v>
      </c>
      <c r="AH221" s="469">
        <v>47584</v>
      </c>
      <c r="AI221" s="534"/>
      <c r="AJ221" s="464"/>
      <c r="AK221" s="307">
        <f>AJ221/VPI!R221</f>
        <v>0</v>
      </c>
      <c r="AL221" s="309">
        <f t="shared" si="15"/>
        <v>92359</v>
      </c>
      <c r="AM221" s="307">
        <f>AL221/VPI!R221</f>
        <v>6.6621054589162094</v>
      </c>
      <c r="AN221" s="464">
        <v>92359</v>
      </c>
      <c r="AO221" s="534"/>
      <c r="AP221" s="477">
        <v>12.881840026752343</v>
      </c>
      <c r="AR221" s="530">
        <v>0</v>
      </c>
    </row>
    <row r="222" spans="1:44" x14ac:dyDescent="0.25">
      <c r="A222" s="525">
        <v>5761</v>
      </c>
      <c r="B222" s="526" t="s">
        <v>121</v>
      </c>
      <c r="C222" s="454">
        <v>851461.41</v>
      </c>
      <c r="D222" s="454">
        <v>132073.69</v>
      </c>
      <c r="E222" s="454"/>
      <c r="F222" s="455"/>
      <c r="G222" s="454">
        <v>44950.45</v>
      </c>
      <c r="H222" s="454">
        <v>1674.65</v>
      </c>
      <c r="I222" s="454"/>
      <c r="J222" s="454">
        <v>17441.169999999998</v>
      </c>
      <c r="K222" s="454">
        <v>5328.6</v>
      </c>
      <c r="L222" s="454">
        <v>100850.95</v>
      </c>
      <c r="M222" s="344">
        <f t="shared" si="12"/>
        <v>1153780.9200000002</v>
      </c>
      <c r="N222" s="458">
        <v>83872.399999999994</v>
      </c>
      <c r="O222" s="458">
        <v>3745.8</v>
      </c>
      <c r="P222" s="458">
        <v>10573.8</v>
      </c>
      <c r="Q222" s="458">
        <v>5067.54</v>
      </c>
      <c r="R222" s="458">
        <v>19116.7</v>
      </c>
      <c r="S222" s="454">
        <v>4527.18</v>
      </c>
      <c r="T222" s="344">
        <f t="shared" si="13"/>
        <v>1280684.3400000001</v>
      </c>
      <c r="U222" s="456">
        <v>-10718.36</v>
      </c>
      <c r="V222" s="458"/>
      <c r="W222" s="458">
        <v>-85.45</v>
      </c>
      <c r="X222" s="462">
        <v>81</v>
      </c>
      <c r="Y222" s="463">
        <v>1.1000000000000001</v>
      </c>
      <c r="Z222" s="464">
        <v>560</v>
      </c>
      <c r="AA222" s="527"/>
      <c r="AB222" s="469">
        <v>15404</v>
      </c>
      <c r="AC222" s="307">
        <f>AB222/VPI!R222</f>
        <v>1.091236761599669</v>
      </c>
      <c r="AD222" s="309">
        <f t="shared" si="14"/>
        <v>225230</v>
      </c>
      <c r="AE222" s="307">
        <f>AD222/VPI!R222</f>
        <v>15.955547637957249</v>
      </c>
      <c r="AF222" s="469">
        <v>240634</v>
      </c>
      <c r="AG222" s="469">
        <v>56837</v>
      </c>
      <c r="AH222" s="469">
        <v>57075</v>
      </c>
      <c r="AI222" s="534"/>
      <c r="AJ222" s="464"/>
      <c r="AK222" s="307">
        <f>AJ222/VPI!R222</f>
        <v>0</v>
      </c>
      <c r="AL222" s="309">
        <f t="shared" si="15"/>
        <v>614</v>
      </c>
      <c r="AM222" s="307">
        <f>AL222/VPI!R222</f>
        <v>4.3496453623876705E-2</v>
      </c>
      <c r="AN222" s="464">
        <v>614</v>
      </c>
      <c r="AO222" s="534"/>
      <c r="AP222" s="477">
        <v>-3.9391891637083081</v>
      </c>
      <c r="AR222" s="530">
        <v>0</v>
      </c>
    </row>
    <row r="223" spans="1:44" x14ac:dyDescent="0.25">
      <c r="A223" s="525">
        <v>5762</v>
      </c>
      <c r="B223" s="526" t="s">
        <v>122</v>
      </c>
      <c r="C223" s="454">
        <v>212528.45</v>
      </c>
      <c r="D223" s="454">
        <v>24312.53</v>
      </c>
      <c r="E223" s="454"/>
      <c r="F223" s="455"/>
      <c r="G223" s="454">
        <v>6952.25</v>
      </c>
      <c r="H223" s="454">
        <v>302.8</v>
      </c>
      <c r="I223" s="454"/>
      <c r="J223" s="454">
        <v>829.97</v>
      </c>
      <c r="K223" s="454">
        <v>52.5</v>
      </c>
      <c r="L223" s="454">
        <v>22298.65</v>
      </c>
      <c r="M223" s="344">
        <f t="shared" si="12"/>
        <v>267277.15000000002</v>
      </c>
      <c r="N223" s="458">
        <v>13237.85</v>
      </c>
      <c r="O223" s="458"/>
      <c r="P223" s="458">
        <v>20869.099999999999</v>
      </c>
      <c r="Q223" s="458">
        <v>129.84</v>
      </c>
      <c r="R223" s="458">
        <v>0</v>
      </c>
      <c r="S223" s="454">
        <v>704.45</v>
      </c>
      <c r="T223" s="344">
        <f t="shared" si="13"/>
        <v>302218.39</v>
      </c>
      <c r="U223" s="456">
        <v>-782.88</v>
      </c>
      <c r="V223" s="458"/>
      <c r="W223" s="458">
        <v>0</v>
      </c>
      <c r="X223" s="462">
        <v>76</v>
      </c>
      <c r="Y223" s="463">
        <v>1</v>
      </c>
      <c r="Z223" s="464">
        <v>133</v>
      </c>
      <c r="AA223" s="527"/>
      <c r="AB223" s="469">
        <v>19178</v>
      </c>
      <c r="AC223" s="307">
        <f>AB223/VPI!R223</f>
        <v>5.4521971015741828</v>
      </c>
      <c r="AD223" s="309">
        <f t="shared" si="14"/>
        <v>52319</v>
      </c>
      <c r="AE223" s="307">
        <f>AD223/VPI!R223</f>
        <v>14.873996253898198</v>
      </c>
      <c r="AF223" s="469">
        <v>71497</v>
      </c>
      <c r="AG223" s="469">
        <v>6771</v>
      </c>
      <c r="AH223" s="469">
        <v>13899</v>
      </c>
      <c r="AI223" s="534"/>
      <c r="AJ223" s="464"/>
      <c r="AK223" s="307">
        <f>AJ223/VPI!R223</f>
        <v>0</v>
      </c>
      <c r="AL223" s="309">
        <f t="shared" si="15"/>
        <v>7349</v>
      </c>
      <c r="AM223" s="307">
        <f>AL223/VPI!R223</f>
        <v>2.0892792000974381</v>
      </c>
      <c r="AN223" s="464">
        <v>7349</v>
      </c>
      <c r="AO223" s="534"/>
      <c r="AP223" s="477">
        <v>3.8348191102391951</v>
      </c>
      <c r="AR223" s="530">
        <v>0</v>
      </c>
    </row>
    <row r="224" spans="1:44" x14ac:dyDescent="0.25">
      <c r="A224" s="525">
        <v>5763</v>
      </c>
      <c r="B224" s="526" t="s">
        <v>123</v>
      </c>
      <c r="C224" s="454">
        <v>1243052.42</v>
      </c>
      <c r="D224" s="454">
        <v>170206.31</v>
      </c>
      <c r="E224" s="454"/>
      <c r="F224" s="455">
        <v>3410</v>
      </c>
      <c r="G224" s="454">
        <v>46805.599999999999</v>
      </c>
      <c r="H224" s="454">
        <v>1058.5999999999999</v>
      </c>
      <c r="I224" s="454"/>
      <c r="J224" s="454">
        <v>14880.67</v>
      </c>
      <c r="K224" s="454">
        <v>-11906.85</v>
      </c>
      <c r="L224" s="454">
        <v>95687.9</v>
      </c>
      <c r="M224" s="344">
        <f t="shared" si="12"/>
        <v>1563194.65</v>
      </c>
      <c r="N224" s="458">
        <v>37812.949999999997</v>
      </c>
      <c r="O224" s="458"/>
      <c r="P224" s="458">
        <v>96135.25</v>
      </c>
      <c r="Q224" s="458">
        <v>2934.32</v>
      </c>
      <c r="R224" s="458">
        <v>96729.8</v>
      </c>
      <c r="S224" s="454">
        <v>4647.49</v>
      </c>
      <c r="T224" s="344">
        <f t="shared" si="13"/>
        <v>1801454.46</v>
      </c>
      <c r="U224" s="456">
        <v>-5588.79</v>
      </c>
      <c r="V224" s="458"/>
      <c r="W224" s="458">
        <v>-397.4</v>
      </c>
      <c r="X224" s="462">
        <v>71</v>
      </c>
      <c r="Y224" s="463">
        <v>1</v>
      </c>
      <c r="Z224" s="464">
        <v>583</v>
      </c>
      <c r="AA224" s="527"/>
      <c r="AB224" s="469">
        <v>17493</v>
      </c>
      <c r="AC224" s="307">
        <f>AB224/VPI!R224</f>
        <v>0.79371850899865326</v>
      </c>
      <c r="AD224" s="309">
        <f t="shared" si="14"/>
        <v>161150</v>
      </c>
      <c r="AE224" s="307">
        <f>AD224/VPI!R224</f>
        <v>7.3119383596371677</v>
      </c>
      <c r="AF224" s="469">
        <v>178643</v>
      </c>
      <c r="AG224" s="469">
        <v>43221</v>
      </c>
      <c r="AH224" s="469">
        <v>69694</v>
      </c>
      <c r="AI224" s="534"/>
      <c r="AJ224" s="464"/>
      <c r="AK224" s="307">
        <f>AJ224/VPI!R224</f>
        <v>0</v>
      </c>
      <c r="AL224" s="309">
        <f t="shared" si="15"/>
        <v>43885</v>
      </c>
      <c r="AM224" s="307">
        <f>AL224/VPI!R224</f>
        <v>1.9912157301438234</v>
      </c>
      <c r="AN224" s="464">
        <v>43885</v>
      </c>
      <c r="AO224" s="534"/>
      <c r="AP224" s="477">
        <v>20.029612012372596</v>
      </c>
      <c r="AR224" s="530">
        <v>0</v>
      </c>
    </row>
    <row r="225" spans="1:44" x14ac:dyDescent="0.25">
      <c r="A225" s="525">
        <v>5764</v>
      </c>
      <c r="B225" s="526" t="s">
        <v>285</v>
      </c>
      <c r="C225" s="454">
        <v>4890696.99</v>
      </c>
      <c r="D225" s="454">
        <v>572705.21</v>
      </c>
      <c r="E225" s="454"/>
      <c r="F225" s="455"/>
      <c r="G225" s="454">
        <v>489604.1</v>
      </c>
      <c r="H225" s="454">
        <v>39016.75</v>
      </c>
      <c r="I225" s="454"/>
      <c r="J225" s="454">
        <v>257912.95</v>
      </c>
      <c r="K225" s="454">
        <v>63835.15</v>
      </c>
      <c r="L225" s="454">
        <v>572574.69999999995</v>
      </c>
      <c r="M225" s="344">
        <f t="shared" si="12"/>
        <v>6886345.8500000006</v>
      </c>
      <c r="N225" s="458">
        <v>2546635.35</v>
      </c>
      <c r="O225" s="458">
        <v>788073.5</v>
      </c>
      <c r="P225" s="458">
        <v>486034.6</v>
      </c>
      <c r="Q225" s="458">
        <v>82449.289999999994</v>
      </c>
      <c r="R225" s="458">
        <v>187462.95</v>
      </c>
      <c r="S225" s="454">
        <v>51322.25</v>
      </c>
      <c r="T225" s="344">
        <f t="shared" si="13"/>
        <v>11028323.789999999</v>
      </c>
      <c r="U225" s="456">
        <v>-231182.02</v>
      </c>
      <c r="V225" s="458"/>
      <c r="W225" s="458">
        <v>-2274.7399999999998</v>
      </c>
      <c r="X225" s="462">
        <v>71.5</v>
      </c>
      <c r="Y225" s="463">
        <v>1</v>
      </c>
      <c r="Z225" s="464">
        <v>4328</v>
      </c>
      <c r="AA225" s="527"/>
      <c r="AB225" s="469">
        <v>649290</v>
      </c>
      <c r="AC225" s="307">
        <f>AB225/VPI!R225</f>
        <v>6.8405122240509018</v>
      </c>
      <c r="AD225" s="309">
        <f t="shared" si="14"/>
        <v>1810065</v>
      </c>
      <c r="AE225" s="307">
        <f>AD225/VPI!R225</f>
        <v>19.069709619471571</v>
      </c>
      <c r="AF225" s="469">
        <v>2459355</v>
      </c>
      <c r="AG225" s="469">
        <v>509185</v>
      </c>
      <c r="AH225" s="469">
        <v>510538</v>
      </c>
      <c r="AI225" s="534"/>
      <c r="AJ225" s="464"/>
      <c r="AK225" s="307">
        <f>AJ225/VPI!R225</f>
        <v>0</v>
      </c>
      <c r="AL225" s="309">
        <f t="shared" si="15"/>
        <v>883946</v>
      </c>
      <c r="AM225" s="307">
        <f>AL225/VPI!R225</f>
        <v>9.3127006705800159</v>
      </c>
      <c r="AN225" s="464">
        <v>883946</v>
      </c>
      <c r="AO225" s="534"/>
      <c r="AP225" s="477">
        <v>-8.2842732120065818</v>
      </c>
      <c r="AR225" s="530">
        <v>0</v>
      </c>
    </row>
    <row r="226" spans="1:44" x14ac:dyDescent="0.25">
      <c r="A226" s="525">
        <v>5765</v>
      </c>
      <c r="B226" s="526" t="s">
        <v>286</v>
      </c>
      <c r="C226" s="454">
        <v>601199.71</v>
      </c>
      <c r="D226" s="454">
        <v>101871.8</v>
      </c>
      <c r="E226" s="454"/>
      <c r="F226" s="455"/>
      <c r="G226" s="454">
        <v>18994.349999999999</v>
      </c>
      <c r="H226" s="454">
        <v>860.65</v>
      </c>
      <c r="I226" s="454"/>
      <c r="J226" s="454">
        <v>26297.18</v>
      </c>
      <c r="K226" s="454"/>
      <c r="L226" s="454">
        <v>35354.5</v>
      </c>
      <c r="M226" s="344">
        <f t="shared" si="12"/>
        <v>784578.19000000006</v>
      </c>
      <c r="N226" s="458">
        <v>73030.8</v>
      </c>
      <c r="O226" s="458"/>
      <c r="P226" s="458">
        <v>38814.800000000003</v>
      </c>
      <c r="Q226" s="458">
        <v>4187.57</v>
      </c>
      <c r="R226" s="458">
        <v>44132.1</v>
      </c>
      <c r="S226" s="454">
        <v>1927.87</v>
      </c>
      <c r="T226" s="344">
        <f t="shared" si="13"/>
        <v>946671.33000000007</v>
      </c>
      <c r="U226" s="456">
        <v>-2562.58</v>
      </c>
      <c r="V226" s="458"/>
      <c r="W226" s="458">
        <v>-76.290000000000006</v>
      </c>
      <c r="X226" s="462">
        <v>81</v>
      </c>
      <c r="Y226" s="463">
        <v>0.5</v>
      </c>
      <c r="Z226" s="464">
        <v>489</v>
      </c>
      <c r="AA226" s="527"/>
      <c r="AB226" s="469">
        <v>36354</v>
      </c>
      <c r="AC226" s="307">
        <f>AB226/VPI!R226</f>
        <v>3.5761973335106769</v>
      </c>
      <c r="AD226" s="309">
        <f t="shared" si="14"/>
        <v>205785</v>
      </c>
      <c r="AE226" s="307">
        <f>AD226/VPI!R226</f>
        <v>20.243378122806146</v>
      </c>
      <c r="AF226" s="469">
        <v>242139</v>
      </c>
      <c r="AG226" s="469">
        <v>24019</v>
      </c>
      <c r="AH226" s="469">
        <v>56824</v>
      </c>
      <c r="AI226" s="534"/>
      <c r="AJ226" s="464"/>
      <c r="AK226" s="307">
        <f>AJ226/VPI!R226</f>
        <v>0</v>
      </c>
      <c r="AL226" s="309">
        <f t="shared" si="15"/>
        <v>22817</v>
      </c>
      <c r="AM226" s="307">
        <f>AL226/VPI!R226</f>
        <v>2.2445424041016975</v>
      </c>
      <c r="AN226" s="464">
        <v>22817</v>
      </c>
      <c r="AO226" s="534"/>
      <c r="AP226" s="477">
        <v>-3.0307081142640531</v>
      </c>
      <c r="AR226" s="530">
        <v>0</v>
      </c>
    </row>
    <row r="227" spans="1:44" x14ac:dyDescent="0.25">
      <c r="A227" s="525">
        <v>5766</v>
      </c>
      <c r="B227" s="526" t="s">
        <v>287</v>
      </c>
      <c r="C227" s="454">
        <v>860897.61</v>
      </c>
      <c r="D227" s="454">
        <v>143496.29</v>
      </c>
      <c r="E227" s="454"/>
      <c r="F227" s="455">
        <v>3650</v>
      </c>
      <c r="G227" s="454">
        <v>42197.15</v>
      </c>
      <c r="H227" s="454">
        <v>2018.6</v>
      </c>
      <c r="I227" s="454"/>
      <c r="J227" s="454">
        <v>18273.43</v>
      </c>
      <c r="K227" s="454">
        <v>5400.75</v>
      </c>
      <c r="L227" s="454">
        <v>67364.7</v>
      </c>
      <c r="M227" s="344">
        <f t="shared" si="12"/>
        <v>1143298.53</v>
      </c>
      <c r="N227" s="458">
        <v>38670.65</v>
      </c>
      <c r="O227" s="458"/>
      <c r="P227" s="458">
        <v>72292</v>
      </c>
      <c r="Q227" s="458"/>
      <c r="R227" s="458">
        <v>61851.35</v>
      </c>
      <c r="S227" s="454">
        <v>4293.24</v>
      </c>
      <c r="T227" s="344">
        <f t="shared" si="13"/>
        <v>1320405.77</v>
      </c>
      <c r="U227" s="456">
        <v>-14905.51</v>
      </c>
      <c r="V227" s="458"/>
      <c r="W227" s="458">
        <v>-131.75</v>
      </c>
      <c r="X227" s="462">
        <v>75</v>
      </c>
      <c r="Y227" s="463">
        <v>0.7</v>
      </c>
      <c r="Z227" s="464">
        <v>607</v>
      </c>
      <c r="AA227" s="527"/>
      <c r="AB227" s="469">
        <v>15711</v>
      </c>
      <c r="AC227" s="307">
        <f>AB227/VPI!R227</f>
        <v>1.0145510066452634</v>
      </c>
      <c r="AD227" s="309">
        <f t="shared" si="14"/>
        <v>101147</v>
      </c>
      <c r="AE227" s="307">
        <f>AD227/VPI!R227</f>
        <v>6.5316523880815014</v>
      </c>
      <c r="AF227" s="469">
        <v>116858</v>
      </c>
      <c r="AG227" s="469">
        <v>72405</v>
      </c>
      <c r="AH227" s="469">
        <v>64336</v>
      </c>
      <c r="AI227" s="534"/>
      <c r="AJ227" s="464"/>
      <c r="AK227" s="307">
        <f>AJ227/VPI!R227</f>
        <v>0</v>
      </c>
      <c r="AL227" s="309">
        <f t="shared" si="15"/>
        <v>59796</v>
      </c>
      <c r="AM227" s="307">
        <f>AL227/VPI!R227</f>
        <v>3.8613768692864983</v>
      </c>
      <c r="AN227" s="464">
        <v>59796</v>
      </c>
      <c r="AO227" s="534"/>
      <c r="AP227" s="477">
        <v>3.4475461187944711</v>
      </c>
      <c r="AR227" s="530">
        <v>0</v>
      </c>
    </row>
    <row r="228" spans="1:44" x14ac:dyDescent="0.25">
      <c r="A228" s="525">
        <v>5785</v>
      </c>
      <c r="B228" s="526" t="s">
        <v>239</v>
      </c>
      <c r="C228" s="454">
        <v>882217.26</v>
      </c>
      <c r="D228" s="454">
        <v>204157.5</v>
      </c>
      <c r="E228" s="454"/>
      <c r="F228" s="455"/>
      <c r="G228" s="454">
        <v>5256.5</v>
      </c>
      <c r="H228" s="454">
        <v>2035.25</v>
      </c>
      <c r="I228" s="454"/>
      <c r="J228" s="454">
        <v>29310.05</v>
      </c>
      <c r="K228" s="454">
        <v>565.6</v>
      </c>
      <c r="L228" s="454">
        <v>90503.4</v>
      </c>
      <c r="M228" s="344">
        <f t="shared" si="12"/>
        <v>1214045.56</v>
      </c>
      <c r="N228" s="458">
        <v>0</v>
      </c>
      <c r="O228" s="458">
        <v>278100.40000000002</v>
      </c>
      <c r="P228" s="458">
        <v>39377.800000000003</v>
      </c>
      <c r="Q228" s="458">
        <v>323.88</v>
      </c>
      <c r="R228" s="458">
        <v>34201.550000000003</v>
      </c>
      <c r="S228" s="454">
        <v>708.01</v>
      </c>
      <c r="T228" s="344">
        <f t="shared" si="13"/>
        <v>1566757.2</v>
      </c>
      <c r="U228" s="456">
        <v>-75411.94</v>
      </c>
      <c r="V228" s="458"/>
      <c r="W228" s="458">
        <v>-410.6</v>
      </c>
      <c r="X228" s="462">
        <v>75</v>
      </c>
      <c r="Y228" s="463">
        <v>1</v>
      </c>
      <c r="Z228" s="464">
        <v>499</v>
      </c>
      <c r="AA228" s="527"/>
      <c r="AB228" s="469">
        <v>10805</v>
      </c>
      <c r="AC228" s="307">
        <f>AB228/VPI!R228</f>
        <v>0.71132017328764452</v>
      </c>
      <c r="AD228" s="309">
        <f t="shared" si="14"/>
        <v>60170</v>
      </c>
      <c r="AE228" s="307">
        <f>AD228/VPI!R228</f>
        <v>3.9611415850733525</v>
      </c>
      <c r="AF228" s="469">
        <v>70975</v>
      </c>
      <c r="AG228" s="469">
        <v>22341</v>
      </c>
      <c r="AH228" s="469">
        <v>60410</v>
      </c>
      <c r="AI228" s="534"/>
      <c r="AJ228" s="464"/>
      <c r="AK228" s="307">
        <f>AJ228/VPI!R228</f>
        <v>0</v>
      </c>
      <c r="AL228" s="309">
        <f t="shared" si="15"/>
        <v>57561</v>
      </c>
      <c r="AM228" s="307">
        <f>AL228/VPI!R228</f>
        <v>3.789384589968543</v>
      </c>
      <c r="AN228" s="464">
        <v>57561</v>
      </c>
      <c r="AO228" s="534"/>
      <c r="AP228" s="477">
        <v>18.66759882941863</v>
      </c>
      <c r="AR228" s="530">
        <v>0</v>
      </c>
    </row>
    <row r="229" spans="1:44" x14ac:dyDescent="0.25">
      <c r="A229" s="525">
        <v>5790</v>
      </c>
      <c r="B229" s="526" t="s">
        <v>240</v>
      </c>
      <c r="C229" s="454">
        <v>977207.83</v>
      </c>
      <c r="D229" s="454">
        <v>141518.99</v>
      </c>
      <c r="E229" s="454"/>
      <c r="F229" s="455"/>
      <c r="G229" s="454">
        <v>17184.2</v>
      </c>
      <c r="H229" s="454">
        <v>1197.95</v>
      </c>
      <c r="I229" s="454"/>
      <c r="J229" s="454">
        <v>-1576.79</v>
      </c>
      <c r="K229" s="454">
        <v>2421.6</v>
      </c>
      <c r="L229" s="454">
        <v>99085.45</v>
      </c>
      <c r="M229" s="344">
        <f t="shared" si="12"/>
        <v>1237039.2299999997</v>
      </c>
      <c r="N229" s="458">
        <v>0</v>
      </c>
      <c r="O229" s="458">
        <v>14335.2</v>
      </c>
      <c r="P229" s="458">
        <v>31891.599999999999</v>
      </c>
      <c r="Q229" s="458">
        <v>19944.93</v>
      </c>
      <c r="R229" s="458">
        <v>21974.799999999999</v>
      </c>
      <c r="S229" s="454">
        <v>1784.86</v>
      </c>
      <c r="T229" s="344">
        <f t="shared" si="13"/>
        <v>1326970.6199999999</v>
      </c>
      <c r="U229" s="456">
        <v>-41986.35</v>
      </c>
      <c r="V229" s="458"/>
      <c r="W229" s="458">
        <v>-3044.45</v>
      </c>
      <c r="X229" s="462">
        <v>74.5</v>
      </c>
      <c r="Y229" s="463">
        <v>1</v>
      </c>
      <c r="Z229" s="464">
        <v>569</v>
      </c>
      <c r="AA229" s="527"/>
      <c r="AB229" s="469">
        <v>24057</v>
      </c>
      <c r="AC229" s="307">
        <f>AB229/VPI!R229</f>
        <v>1.4766334869145015</v>
      </c>
      <c r="AD229" s="309">
        <f t="shared" si="14"/>
        <v>121248</v>
      </c>
      <c r="AE229" s="307">
        <f>AD229/VPI!R229</f>
        <v>7.4422769680928411</v>
      </c>
      <c r="AF229" s="469">
        <v>145305</v>
      </c>
      <c r="AG229" s="469">
        <v>25334</v>
      </c>
      <c r="AH229" s="469">
        <v>61734</v>
      </c>
      <c r="AI229" s="534"/>
      <c r="AJ229" s="464"/>
      <c r="AK229" s="307">
        <f>AJ229/VPI!R229</f>
        <v>0</v>
      </c>
      <c r="AL229" s="309">
        <f t="shared" si="15"/>
        <v>17114</v>
      </c>
      <c r="AM229" s="307">
        <f>AL229/VPI!R229</f>
        <v>1.0504678677746511</v>
      </c>
      <c r="AN229" s="464">
        <v>17114</v>
      </c>
      <c r="AO229" s="534"/>
      <c r="AP229" s="477">
        <v>13.294730510180772</v>
      </c>
      <c r="AR229" s="530">
        <v>0</v>
      </c>
    </row>
    <row r="230" spans="1:44" x14ac:dyDescent="0.25">
      <c r="A230" s="525">
        <v>5792</v>
      </c>
      <c r="B230" s="526" t="s">
        <v>241</v>
      </c>
      <c r="C230" s="454">
        <v>1177391.29</v>
      </c>
      <c r="D230" s="454">
        <v>154615.18</v>
      </c>
      <c r="E230" s="454"/>
      <c r="F230" s="455"/>
      <c r="G230" s="454">
        <v>22972.25</v>
      </c>
      <c r="H230" s="454">
        <v>-705.75</v>
      </c>
      <c r="I230" s="454"/>
      <c r="J230" s="454">
        <v>13860.35</v>
      </c>
      <c r="K230" s="454">
        <v>1733.5</v>
      </c>
      <c r="L230" s="454">
        <v>123583.9</v>
      </c>
      <c r="M230" s="344">
        <f t="shared" si="12"/>
        <v>1493450.72</v>
      </c>
      <c r="N230" s="458">
        <v>417.45</v>
      </c>
      <c r="O230" s="458">
        <v>30867.9</v>
      </c>
      <c r="P230" s="458">
        <v>108002.05</v>
      </c>
      <c r="Q230" s="458">
        <v>2727.67</v>
      </c>
      <c r="R230" s="458">
        <v>100136.15</v>
      </c>
      <c r="S230" s="454">
        <v>2162.02</v>
      </c>
      <c r="T230" s="344">
        <f t="shared" si="13"/>
        <v>1737763.9599999997</v>
      </c>
      <c r="U230" s="456">
        <v>-7538.8</v>
      </c>
      <c r="V230" s="458"/>
      <c r="W230" s="458">
        <v>-29.95</v>
      </c>
      <c r="X230" s="462">
        <v>74.5</v>
      </c>
      <c r="Y230" s="463">
        <v>1</v>
      </c>
      <c r="Z230" s="464">
        <v>653</v>
      </c>
      <c r="AA230" s="527"/>
      <c r="AB230" s="469">
        <v>98103</v>
      </c>
      <c r="AC230" s="307">
        <f>AB230/VPI!R230</f>
        <v>4.9026109739703534</v>
      </c>
      <c r="AD230" s="309">
        <f t="shared" si="14"/>
        <v>237281</v>
      </c>
      <c r="AE230" s="307">
        <f>AD230/VPI!R230</f>
        <v>11.857908876534452</v>
      </c>
      <c r="AF230" s="469">
        <v>335384</v>
      </c>
      <c r="AG230" s="469">
        <v>42358</v>
      </c>
      <c r="AH230" s="469">
        <v>71154</v>
      </c>
      <c r="AI230" s="534"/>
      <c r="AJ230" s="464"/>
      <c r="AK230" s="307">
        <f>AJ230/VPI!R230</f>
        <v>0</v>
      </c>
      <c r="AL230" s="309">
        <f t="shared" si="15"/>
        <v>11484</v>
      </c>
      <c r="AM230" s="307">
        <f>AL230/VPI!R230</f>
        <v>0.57390277998711081</v>
      </c>
      <c r="AN230" s="464">
        <v>11484</v>
      </c>
      <c r="AO230" s="534"/>
      <c r="AP230" s="477">
        <v>12.980828507685963</v>
      </c>
      <c r="AR230" s="530">
        <v>0</v>
      </c>
    </row>
    <row r="231" spans="1:44" x14ac:dyDescent="0.25">
      <c r="A231" s="525">
        <v>5798</v>
      </c>
      <c r="B231" s="526" t="s">
        <v>242</v>
      </c>
      <c r="C231" s="454">
        <v>931619.82</v>
      </c>
      <c r="D231" s="454">
        <v>105217.32</v>
      </c>
      <c r="E231" s="454"/>
      <c r="F231" s="455"/>
      <c r="G231" s="454">
        <v>21287.1</v>
      </c>
      <c r="H231" s="454">
        <v>1281.0999999999999</v>
      </c>
      <c r="I231" s="454"/>
      <c r="J231" s="454">
        <v>47229.29</v>
      </c>
      <c r="K231" s="454">
        <v>8205.0499999999993</v>
      </c>
      <c r="L231" s="454">
        <v>102876.3</v>
      </c>
      <c r="M231" s="344">
        <f t="shared" si="12"/>
        <v>1217715.9800000002</v>
      </c>
      <c r="N231" s="458">
        <v>43039.3</v>
      </c>
      <c r="O231" s="458">
        <v>1522.5</v>
      </c>
      <c r="P231" s="458">
        <v>89138.5</v>
      </c>
      <c r="Q231" s="458">
        <v>4049.42</v>
      </c>
      <c r="R231" s="458">
        <v>27339.3</v>
      </c>
      <c r="S231" s="454">
        <v>2191.3200000000002</v>
      </c>
      <c r="T231" s="344">
        <f t="shared" si="13"/>
        <v>1384996.3200000003</v>
      </c>
      <c r="U231" s="456">
        <v>-11261.63</v>
      </c>
      <c r="V231" s="458"/>
      <c r="W231" s="458">
        <v>-133.15</v>
      </c>
      <c r="X231" s="462">
        <v>77.5</v>
      </c>
      <c r="Y231" s="463">
        <v>1</v>
      </c>
      <c r="Z231" s="464">
        <v>529</v>
      </c>
      <c r="AA231" s="527"/>
      <c r="AB231" s="469">
        <v>21431</v>
      </c>
      <c r="AC231" s="307">
        <f>AB231/VPI!R231</f>
        <v>1.3697465219797347</v>
      </c>
      <c r="AD231" s="309">
        <f t="shared" si="14"/>
        <v>72958</v>
      </c>
      <c r="AE231" s="307">
        <f>AD231/VPI!R231</f>
        <v>4.6630566352758844</v>
      </c>
      <c r="AF231" s="469">
        <v>94389</v>
      </c>
      <c r="AG231" s="469">
        <v>23905</v>
      </c>
      <c r="AH231" s="469">
        <v>62211</v>
      </c>
      <c r="AI231" s="534"/>
      <c r="AJ231" s="464"/>
      <c r="AK231" s="307">
        <f>AJ231/VPI!R231</f>
        <v>0</v>
      </c>
      <c r="AL231" s="309">
        <f t="shared" si="15"/>
        <v>-2234</v>
      </c>
      <c r="AM231" s="307">
        <f>AL231/VPI!R231</f>
        <v>-0.14278445849949734</v>
      </c>
      <c r="AN231" s="464">
        <v>-2234</v>
      </c>
      <c r="AO231" s="534"/>
      <c r="AP231" s="477">
        <v>10.967875645002124</v>
      </c>
      <c r="AR231" s="530">
        <v>0</v>
      </c>
    </row>
    <row r="232" spans="1:44" x14ac:dyDescent="0.25">
      <c r="A232" s="525">
        <v>5799</v>
      </c>
      <c r="B232" s="526" t="s">
        <v>243</v>
      </c>
      <c r="C232" s="454">
        <v>4350564.91</v>
      </c>
      <c r="D232" s="454">
        <v>525755.48</v>
      </c>
      <c r="E232" s="454"/>
      <c r="F232" s="455"/>
      <c r="G232" s="454">
        <v>138165.75</v>
      </c>
      <c r="H232" s="454">
        <v>12062.45</v>
      </c>
      <c r="I232" s="454"/>
      <c r="J232" s="454">
        <v>63833.04</v>
      </c>
      <c r="K232" s="454">
        <v>13395.8</v>
      </c>
      <c r="L232" s="454">
        <v>454204.25</v>
      </c>
      <c r="M232" s="344">
        <f t="shared" si="12"/>
        <v>5557981.6800000006</v>
      </c>
      <c r="N232" s="458">
        <v>37098.199999999997</v>
      </c>
      <c r="O232" s="458">
        <v>20356.2</v>
      </c>
      <c r="P232" s="458">
        <v>311787.65000000002</v>
      </c>
      <c r="Q232" s="458">
        <v>11728.32</v>
      </c>
      <c r="R232" s="458">
        <v>236063.9</v>
      </c>
      <c r="S232" s="454">
        <v>14586.78</v>
      </c>
      <c r="T232" s="344">
        <f t="shared" si="13"/>
        <v>6189602.7300000023</v>
      </c>
      <c r="U232" s="456">
        <v>-72112.81</v>
      </c>
      <c r="V232" s="458"/>
      <c r="W232" s="458">
        <v>-1111.2</v>
      </c>
      <c r="X232" s="462">
        <v>69</v>
      </c>
      <c r="Y232" s="463">
        <v>1</v>
      </c>
      <c r="Z232" s="464">
        <v>2228</v>
      </c>
      <c r="AA232" s="527"/>
      <c r="AB232" s="469">
        <v>109769</v>
      </c>
      <c r="AC232" s="307">
        <f>AB232/VPI!R232</f>
        <v>1.3743351460046132</v>
      </c>
      <c r="AD232" s="309">
        <f t="shared" si="14"/>
        <v>420046</v>
      </c>
      <c r="AE232" s="307">
        <f>AD232/VPI!R232</f>
        <v>5.2590802570730695</v>
      </c>
      <c r="AF232" s="469">
        <v>529815</v>
      </c>
      <c r="AG232" s="469">
        <v>145572</v>
      </c>
      <c r="AH232" s="469">
        <v>285891</v>
      </c>
      <c r="AI232" s="534"/>
      <c r="AJ232" s="464"/>
      <c r="AK232" s="307">
        <f>AJ232/VPI!R232</f>
        <v>0</v>
      </c>
      <c r="AL232" s="309">
        <f t="shared" si="15"/>
        <v>60434</v>
      </c>
      <c r="AM232" s="307">
        <f>AL232/VPI!R232</f>
        <v>0.7566486914670153</v>
      </c>
      <c r="AN232" s="464">
        <v>60434</v>
      </c>
      <c r="AO232" s="534"/>
      <c r="AP232" s="477">
        <v>16.570478375142319</v>
      </c>
      <c r="AR232" s="530">
        <v>0</v>
      </c>
    </row>
    <row r="233" spans="1:44" x14ac:dyDescent="0.25">
      <c r="A233" s="525">
        <v>5803</v>
      </c>
      <c r="B233" s="526" t="s">
        <v>313</v>
      </c>
      <c r="C233" s="454">
        <v>1114020.46</v>
      </c>
      <c r="D233" s="454">
        <v>141809.68</v>
      </c>
      <c r="E233" s="454"/>
      <c r="F233" s="455"/>
      <c r="G233" s="454">
        <v>8726.5</v>
      </c>
      <c r="H233" s="454">
        <v>2471.5500000000002</v>
      </c>
      <c r="I233" s="454"/>
      <c r="J233" s="454">
        <v>802.02</v>
      </c>
      <c r="K233" s="454"/>
      <c r="L233" s="454">
        <v>114325</v>
      </c>
      <c r="M233" s="344">
        <f t="shared" si="12"/>
        <v>1382155.21</v>
      </c>
      <c r="N233" s="458">
        <v>1601.5</v>
      </c>
      <c r="O233" s="458">
        <v>17167.2</v>
      </c>
      <c r="P233" s="458">
        <v>86878</v>
      </c>
      <c r="Q233" s="458">
        <v>2508.1799999999998</v>
      </c>
      <c r="R233" s="458">
        <v>29190.45</v>
      </c>
      <c r="S233" s="454">
        <v>1087.3</v>
      </c>
      <c r="T233" s="344">
        <f t="shared" si="13"/>
        <v>1520587.8399999999</v>
      </c>
      <c r="U233" s="456">
        <v>-16664.560000000001</v>
      </c>
      <c r="V233" s="458"/>
      <c r="W233" s="458">
        <v>-550.1</v>
      </c>
      <c r="X233" s="462">
        <v>74</v>
      </c>
      <c r="Y233" s="463">
        <v>1</v>
      </c>
      <c r="Z233" s="464">
        <v>628</v>
      </c>
      <c r="AA233" s="527"/>
      <c r="AB233" s="469">
        <v>20501</v>
      </c>
      <c r="AC233" s="307">
        <f>AB233/VPI!R233</f>
        <v>1.108537858517324</v>
      </c>
      <c r="AD233" s="309">
        <f t="shared" si="14"/>
        <v>721458</v>
      </c>
      <c r="AE233" s="307">
        <f>AD233/VPI!R233</f>
        <v>39.010950994107191</v>
      </c>
      <c r="AF233" s="469">
        <v>741959</v>
      </c>
      <c r="AG233" s="469">
        <v>28864</v>
      </c>
      <c r="AH233" s="469">
        <v>84091</v>
      </c>
      <c r="AI233" s="534"/>
      <c r="AJ233" s="464"/>
      <c r="AK233" s="307">
        <f>AJ233/VPI!R233</f>
        <v>0</v>
      </c>
      <c r="AL233" s="309">
        <f t="shared" si="15"/>
        <v>51402</v>
      </c>
      <c r="AM233" s="307">
        <f>AL233/VPI!R233</f>
        <v>2.7794284670751424</v>
      </c>
      <c r="AN233" s="464">
        <v>51402</v>
      </c>
      <c r="AO233" s="534"/>
      <c r="AP233" s="477">
        <v>10.301614942003207</v>
      </c>
      <c r="AR233" s="530">
        <v>0</v>
      </c>
    </row>
    <row r="234" spans="1:44" x14ac:dyDescent="0.25">
      <c r="A234" s="525">
        <v>5804</v>
      </c>
      <c r="B234" s="526" t="s">
        <v>346</v>
      </c>
      <c r="C234" s="454">
        <v>2670540.04</v>
      </c>
      <c r="D234" s="454">
        <v>411572.01</v>
      </c>
      <c r="E234" s="454"/>
      <c r="F234" s="455"/>
      <c r="G234" s="454">
        <v>42893.35</v>
      </c>
      <c r="H234" s="454">
        <v>1304.6500000000001</v>
      </c>
      <c r="I234" s="454"/>
      <c r="J234" s="454">
        <v>44402.87</v>
      </c>
      <c r="K234" s="454">
        <v>3540.4</v>
      </c>
      <c r="L234" s="454">
        <v>287661.45</v>
      </c>
      <c r="M234" s="344">
        <f t="shared" si="12"/>
        <v>3461914.77</v>
      </c>
      <c r="N234" s="458">
        <v>15877.4</v>
      </c>
      <c r="O234" s="458">
        <v>49141.7</v>
      </c>
      <c r="P234" s="458">
        <v>128410.55</v>
      </c>
      <c r="Q234" s="458">
        <v>6766.09</v>
      </c>
      <c r="R234" s="458">
        <v>102883.25</v>
      </c>
      <c r="S234" s="454">
        <v>4282.25</v>
      </c>
      <c r="T234" s="344">
        <f t="shared" si="13"/>
        <v>3769276.01</v>
      </c>
      <c r="U234" s="456">
        <v>-76835.06</v>
      </c>
      <c r="V234" s="458"/>
      <c r="W234" s="458">
        <v>-859.8</v>
      </c>
      <c r="X234" s="462">
        <v>70.5</v>
      </c>
      <c r="Y234" s="463">
        <v>1</v>
      </c>
      <c r="Z234" s="464">
        <v>1576</v>
      </c>
      <c r="AA234" s="527"/>
      <c r="AB234" s="469">
        <v>56343</v>
      </c>
      <c r="AC234" s="307">
        <f>AB234/VPI!R234</f>
        <v>1.1699168394132038</v>
      </c>
      <c r="AD234" s="309">
        <f t="shared" si="14"/>
        <v>565284</v>
      </c>
      <c r="AE234" s="307">
        <f>AD234/VPI!R234</f>
        <v>11.737665205098301</v>
      </c>
      <c r="AF234" s="469">
        <v>621627</v>
      </c>
      <c r="AG234" s="469">
        <v>104353</v>
      </c>
      <c r="AH234" s="469">
        <v>156946</v>
      </c>
      <c r="AI234" s="534"/>
      <c r="AJ234" s="464"/>
      <c r="AK234" s="307">
        <f>AJ234/VPI!R234</f>
        <v>0</v>
      </c>
      <c r="AL234" s="309">
        <f t="shared" si="15"/>
        <v>260849</v>
      </c>
      <c r="AM234" s="307">
        <f>AL234/VPI!R234</f>
        <v>5.4163185780681689</v>
      </c>
      <c r="AN234" s="464">
        <v>260849</v>
      </c>
      <c r="AO234" s="534"/>
      <c r="AP234" s="477">
        <v>12.580404989581655</v>
      </c>
      <c r="AR234" s="530">
        <v>0</v>
      </c>
    </row>
    <row r="235" spans="1:44" x14ac:dyDescent="0.25">
      <c r="A235" s="525">
        <v>5805</v>
      </c>
      <c r="B235" s="526" t="s">
        <v>348</v>
      </c>
      <c r="C235" s="454">
        <v>9826030.3900000006</v>
      </c>
      <c r="D235" s="454">
        <v>1279005</v>
      </c>
      <c r="E235" s="454"/>
      <c r="F235" s="455"/>
      <c r="G235" s="454">
        <v>575487.65</v>
      </c>
      <c r="H235" s="454">
        <v>23721.9</v>
      </c>
      <c r="I235" s="454">
        <v>40675.5</v>
      </c>
      <c r="J235" s="454">
        <v>172477.95</v>
      </c>
      <c r="K235" s="454">
        <v>91591.45</v>
      </c>
      <c r="L235" s="454">
        <v>1235478.95</v>
      </c>
      <c r="M235" s="344">
        <f t="shared" si="12"/>
        <v>13244468.789999999</v>
      </c>
      <c r="N235" s="454">
        <v>169721.85</v>
      </c>
      <c r="O235" s="454">
        <v>115429.5</v>
      </c>
      <c r="P235" s="454">
        <v>977862.5</v>
      </c>
      <c r="Q235" s="454">
        <v>32200.39</v>
      </c>
      <c r="R235" s="454">
        <v>382981.55</v>
      </c>
      <c r="S235" s="454">
        <v>58169.18</v>
      </c>
      <c r="T235" s="344">
        <f t="shared" si="13"/>
        <v>14980833.76</v>
      </c>
      <c r="U235" s="454">
        <v>-151603.07</v>
      </c>
      <c r="V235" s="454"/>
      <c r="W235" s="454">
        <v>-18106.05</v>
      </c>
      <c r="X235" s="454">
        <v>69</v>
      </c>
      <c r="Y235" s="465">
        <v>1.1000000000000001</v>
      </c>
      <c r="Z235" s="464">
        <v>6345</v>
      </c>
      <c r="AA235" s="531"/>
      <c r="AB235" s="470">
        <v>569937</v>
      </c>
      <c r="AC235" s="307">
        <f>AB235/VPI!R235</f>
        <v>3.0128105784482226</v>
      </c>
      <c r="AD235" s="309">
        <f t="shared" si="14"/>
        <v>1042631</v>
      </c>
      <c r="AE235" s="307">
        <f>AD235/VPI!R235</f>
        <v>5.5115735707947531</v>
      </c>
      <c r="AF235" s="470">
        <v>1612568</v>
      </c>
      <c r="AG235" s="470">
        <v>689546</v>
      </c>
      <c r="AH235" s="470">
        <v>664813</v>
      </c>
      <c r="AI235" s="531"/>
      <c r="AJ235" s="454"/>
      <c r="AK235" s="307">
        <f>AJ235/VPI!R235</f>
        <v>0</v>
      </c>
      <c r="AL235" s="309">
        <f t="shared" si="15"/>
        <v>15530</v>
      </c>
      <c r="AM235" s="307">
        <f>AL235/VPI!R235</f>
        <v>8.2094947833358606E-2</v>
      </c>
      <c r="AN235" s="464">
        <v>15530</v>
      </c>
      <c r="AO235" s="531"/>
      <c r="AP235" s="477">
        <v>2.0869631590494606</v>
      </c>
      <c r="AQ235" s="454"/>
      <c r="AR235" s="530">
        <v>0</v>
      </c>
    </row>
    <row r="236" spans="1:44" x14ac:dyDescent="0.25">
      <c r="A236" s="525">
        <v>5806</v>
      </c>
      <c r="B236" s="526" t="s">
        <v>371</v>
      </c>
      <c r="C236" s="454">
        <v>5648294.1600000001</v>
      </c>
      <c r="D236" s="454">
        <v>721227.81</v>
      </c>
      <c r="E236" s="454"/>
      <c r="F236" s="455"/>
      <c r="G236" s="454">
        <v>132447.65</v>
      </c>
      <c r="H236" s="454">
        <v>10132.25</v>
      </c>
      <c r="I236" s="454">
        <v>52354.65</v>
      </c>
      <c r="J236" s="454">
        <v>78975.990000000005</v>
      </c>
      <c r="K236" s="454">
        <v>33842.550000000003</v>
      </c>
      <c r="L236" s="454">
        <v>591003.1</v>
      </c>
      <c r="M236" s="344">
        <f t="shared" si="12"/>
        <v>7268278.1600000011</v>
      </c>
      <c r="N236" s="458">
        <v>34586.400000000001</v>
      </c>
      <c r="O236" s="458">
        <v>351531.3</v>
      </c>
      <c r="P236" s="458">
        <v>319644.75</v>
      </c>
      <c r="Q236" s="458">
        <v>36031.78</v>
      </c>
      <c r="R236" s="458">
        <v>207932.75</v>
      </c>
      <c r="S236" s="454">
        <v>13844.15</v>
      </c>
      <c r="T236" s="344">
        <f t="shared" si="13"/>
        <v>8231849.2900000019</v>
      </c>
      <c r="U236" s="456">
        <v>-74315.05</v>
      </c>
      <c r="V236" s="458"/>
      <c r="W236" s="458">
        <v>-4295.8999999999996</v>
      </c>
      <c r="X236" s="462">
        <v>71</v>
      </c>
      <c r="Y236" s="463">
        <v>1</v>
      </c>
      <c r="Z236" s="464">
        <v>3189</v>
      </c>
      <c r="AA236" s="527"/>
      <c r="AB236" s="469">
        <v>232058</v>
      </c>
      <c r="AC236" s="307">
        <f>AB236/VPI!R236</f>
        <v>2.2758505172744918</v>
      </c>
      <c r="AD236" s="309">
        <f t="shared" si="14"/>
        <v>493590</v>
      </c>
      <c r="AE236" s="307">
        <f>AD236/VPI!R236</f>
        <v>4.8407598825359024</v>
      </c>
      <c r="AF236" s="469">
        <v>725648</v>
      </c>
      <c r="AG236" s="469">
        <v>212929</v>
      </c>
      <c r="AH236" s="469">
        <v>402595</v>
      </c>
      <c r="AI236" s="534"/>
      <c r="AJ236" s="464">
        <v>8591</v>
      </c>
      <c r="AK236" s="307">
        <f>AJ236/VPI!R236</f>
        <v>8.4254073524313577E-2</v>
      </c>
      <c r="AL236" s="309">
        <f t="shared" si="15"/>
        <v>22056</v>
      </c>
      <c r="AM236" s="307">
        <f>AL236/VPI!R236</f>
        <v>0.21630867717986965</v>
      </c>
      <c r="AN236" s="464">
        <v>30647</v>
      </c>
      <c r="AO236" s="534"/>
      <c r="AP236" s="477">
        <v>8.3808726298712379</v>
      </c>
      <c r="AR236" s="530">
        <v>0</v>
      </c>
    </row>
    <row r="237" spans="1:44" x14ac:dyDescent="0.25">
      <c r="A237" s="525">
        <v>5812</v>
      </c>
      <c r="B237" s="526" t="s">
        <v>314</v>
      </c>
      <c r="C237" s="454">
        <v>239350.8</v>
      </c>
      <c r="D237" s="454">
        <v>25359.06</v>
      </c>
      <c r="E237" s="454"/>
      <c r="F237" s="455"/>
      <c r="G237" s="454">
        <v>18478.45</v>
      </c>
      <c r="H237" s="454">
        <v>366.55</v>
      </c>
      <c r="I237" s="454"/>
      <c r="J237" s="454">
        <v>490.74</v>
      </c>
      <c r="K237" s="454">
        <v>894.75</v>
      </c>
      <c r="L237" s="454">
        <v>20061.400000000001</v>
      </c>
      <c r="M237" s="344">
        <f t="shared" si="12"/>
        <v>305001.75</v>
      </c>
      <c r="N237" s="458">
        <v>0</v>
      </c>
      <c r="O237" s="458"/>
      <c r="P237" s="458">
        <v>13090</v>
      </c>
      <c r="Q237" s="458">
        <v>296.37</v>
      </c>
      <c r="R237" s="458">
        <v>22625.3</v>
      </c>
      <c r="S237" s="454">
        <v>1829.8</v>
      </c>
      <c r="T237" s="344">
        <f t="shared" si="13"/>
        <v>342843.22</v>
      </c>
      <c r="U237" s="456">
        <v>-6519.71</v>
      </c>
      <c r="V237" s="458"/>
      <c r="W237" s="458">
        <v>-31.25</v>
      </c>
      <c r="X237" s="462">
        <v>77</v>
      </c>
      <c r="Y237" s="463">
        <v>0.8</v>
      </c>
      <c r="Z237" s="464">
        <v>196</v>
      </c>
      <c r="AA237" s="527"/>
      <c r="AB237" s="469">
        <v>14843</v>
      </c>
      <c r="AC237" s="307">
        <f>AB237/VPI!R237</f>
        <v>3.7399861272687138</v>
      </c>
      <c r="AD237" s="309">
        <f t="shared" si="14"/>
        <v>14812</v>
      </c>
      <c r="AE237" s="307">
        <f>AD237/VPI!R237</f>
        <v>3.7321750668398699</v>
      </c>
      <c r="AF237" s="469">
        <v>29655</v>
      </c>
      <c r="AG237" s="469">
        <v>6929</v>
      </c>
      <c r="AH237" s="469">
        <v>8760</v>
      </c>
      <c r="AI237" s="534"/>
      <c r="AJ237" s="464">
        <v>67</v>
      </c>
      <c r="AK237" s="307">
        <f>AJ237/VPI!R237</f>
        <v>1.6881969313952961E-2</v>
      </c>
      <c r="AL237" s="309">
        <f t="shared" si="15"/>
        <v>1029</v>
      </c>
      <c r="AM237" s="307">
        <f>AL237/VPI!R237</f>
        <v>0.25927681229936717</v>
      </c>
      <c r="AN237" s="464">
        <v>1096</v>
      </c>
      <c r="AO237" s="534"/>
      <c r="AP237" s="477">
        <v>-14.334172809513619</v>
      </c>
      <c r="AR237" s="530">
        <v>0</v>
      </c>
    </row>
    <row r="238" spans="1:44" x14ac:dyDescent="0.25">
      <c r="A238" s="525">
        <v>5813</v>
      </c>
      <c r="B238" s="526" t="s">
        <v>315</v>
      </c>
      <c r="C238" s="454">
        <v>1066411.93</v>
      </c>
      <c r="D238" s="454">
        <v>121683.98</v>
      </c>
      <c r="E238" s="454"/>
      <c r="F238" s="455">
        <v>3390</v>
      </c>
      <c r="G238" s="454">
        <v>14478.7</v>
      </c>
      <c r="H238" s="454">
        <v>1084.3499999999999</v>
      </c>
      <c r="I238" s="454"/>
      <c r="J238" s="454">
        <v>11992.65</v>
      </c>
      <c r="K238" s="454"/>
      <c r="L238" s="454">
        <v>126045.05</v>
      </c>
      <c r="M238" s="344">
        <f t="shared" si="12"/>
        <v>1345086.66</v>
      </c>
      <c r="N238" s="458">
        <v>5091.6000000000004</v>
      </c>
      <c r="O238" s="458">
        <v>2205</v>
      </c>
      <c r="P238" s="458">
        <v>21061.3</v>
      </c>
      <c r="Q238" s="458">
        <v>166.37</v>
      </c>
      <c r="R238" s="458">
        <v>30215.4</v>
      </c>
      <c r="S238" s="454">
        <v>1511.13</v>
      </c>
      <c r="T238" s="344">
        <f t="shared" si="13"/>
        <v>1405337.46</v>
      </c>
      <c r="U238" s="456">
        <v>-4976.6899999999996</v>
      </c>
      <c r="V238" s="458"/>
      <c r="W238" s="458">
        <v>0</v>
      </c>
      <c r="X238" s="462">
        <v>68.5</v>
      </c>
      <c r="Y238" s="463">
        <v>1.2</v>
      </c>
      <c r="Z238" s="464">
        <v>495</v>
      </c>
      <c r="AA238" s="527"/>
      <c r="AB238" s="469">
        <v>190432</v>
      </c>
      <c r="AC238" s="307">
        <f>AB238/VPI!R238</f>
        <v>9.8764308806890764</v>
      </c>
      <c r="AD238" s="309">
        <f t="shared" si="14"/>
        <v>117200</v>
      </c>
      <c r="AE238" s="307">
        <f>AD238/VPI!R238</f>
        <v>6.0783781046082579</v>
      </c>
      <c r="AF238" s="469">
        <v>307632</v>
      </c>
      <c r="AG238" s="469">
        <v>28970</v>
      </c>
      <c r="AH238" s="469">
        <v>38188</v>
      </c>
      <c r="AI238" s="534"/>
      <c r="AJ238" s="464"/>
      <c r="AK238" s="307">
        <f>AJ238/VPI!R238</f>
        <v>0</v>
      </c>
      <c r="AL238" s="309">
        <f t="shared" si="15"/>
        <v>5586</v>
      </c>
      <c r="AM238" s="307">
        <f>AL238/VPI!R238</f>
        <v>0.28970836256264271</v>
      </c>
      <c r="AN238" s="464">
        <v>5586</v>
      </c>
      <c r="AO238" s="534"/>
      <c r="AP238" s="477">
        <v>20.663287908334233</v>
      </c>
      <c r="AR238" s="530">
        <v>0</v>
      </c>
    </row>
    <row r="239" spans="1:44" x14ac:dyDescent="0.25">
      <c r="A239" s="525">
        <v>5816</v>
      </c>
      <c r="B239" s="526" t="s">
        <v>5</v>
      </c>
      <c r="C239" s="454">
        <v>3395136.04</v>
      </c>
      <c r="D239" s="454">
        <v>400368.32</v>
      </c>
      <c r="E239" s="454"/>
      <c r="F239" s="455"/>
      <c r="G239" s="454">
        <v>416363.65</v>
      </c>
      <c r="H239" s="454">
        <v>13284.6</v>
      </c>
      <c r="I239" s="454"/>
      <c r="J239" s="454">
        <v>179334.22</v>
      </c>
      <c r="K239" s="454">
        <v>-32593.1</v>
      </c>
      <c r="L239" s="454">
        <v>318007.7</v>
      </c>
      <c r="M239" s="344">
        <f t="shared" si="12"/>
        <v>4689901.43</v>
      </c>
      <c r="N239" s="458">
        <v>40244.949999999997</v>
      </c>
      <c r="O239" s="458">
        <v>147637</v>
      </c>
      <c r="P239" s="458">
        <v>290810.90000000002</v>
      </c>
      <c r="Q239" s="458">
        <v>96677.87</v>
      </c>
      <c r="R239" s="458">
        <v>239297.55</v>
      </c>
      <c r="S239" s="454">
        <v>41717.769999999997</v>
      </c>
      <c r="T239" s="344">
        <f t="shared" si="13"/>
        <v>5546287.4699999997</v>
      </c>
      <c r="U239" s="456">
        <v>-172014.32</v>
      </c>
      <c r="V239" s="458"/>
      <c r="W239" s="458">
        <v>0</v>
      </c>
      <c r="X239" s="462">
        <v>65</v>
      </c>
      <c r="Y239" s="463">
        <v>0.7</v>
      </c>
      <c r="Z239" s="464">
        <v>3004</v>
      </c>
      <c r="AA239" s="527"/>
      <c r="AB239" s="469">
        <v>146838</v>
      </c>
      <c r="AC239" s="307">
        <f>AB239/VPI!R239</f>
        <v>1.9915132144969578</v>
      </c>
      <c r="AD239" s="309">
        <f t="shared" si="14"/>
        <v>490077</v>
      </c>
      <c r="AE239" s="307">
        <f>AD239/VPI!R239</f>
        <v>6.6467455401260276</v>
      </c>
      <c r="AF239" s="469">
        <v>636915</v>
      </c>
      <c r="AG239" s="469">
        <v>268598</v>
      </c>
      <c r="AH239" s="469">
        <v>262732</v>
      </c>
      <c r="AI239" s="534"/>
      <c r="AJ239" s="464"/>
      <c r="AK239" s="307">
        <f>AJ239/VPI!R239</f>
        <v>0</v>
      </c>
      <c r="AL239" s="309">
        <f t="shared" si="15"/>
        <v>13284</v>
      </c>
      <c r="AM239" s="307">
        <f>AL239/VPI!R239</f>
        <v>0.18016631622180626</v>
      </c>
      <c r="AN239" s="464">
        <v>13284</v>
      </c>
      <c r="AO239" s="534"/>
      <c r="AP239" s="477">
        <v>1.2114414051574718</v>
      </c>
      <c r="AR239" s="530">
        <v>0</v>
      </c>
    </row>
    <row r="240" spans="1:44" x14ac:dyDescent="0.25">
      <c r="A240" s="525">
        <v>5817</v>
      </c>
      <c r="B240" s="526" t="s">
        <v>6</v>
      </c>
      <c r="C240" s="454">
        <v>1610623.32</v>
      </c>
      <c r="D240" s="454">
        <v>172855.25</v>
      </c>
      <c r="E240" s="454"/>
      <c r="F240" s="455">
        <v>6450</v>
      </c>
      <c r="G240" s="454">
        <v>13930.1</v>
      </c>
      <c r="H240" s="454">
        <v>1717.4</v>
      </c>
      <c r="I240" s="454"/>
      <c r="J240" s="454">
        <v>30108.86</v>
      </c>
      <c r="K240" s="454">
        <v>9063.15</v>
      </c>
      <c r="L240" s="454">
        <v>143850.75</v>
      </c>
      <c r="M240" s="344">
        <f t="shared" si="12"/>
        <v>1988598.83</v>
      </c>
      <c r="N240" s="458">
        <v>0</v>
      </c>
      <c r="O240" s="458">
        <v>4751.1000000000004</v>
      </c>
      <c r="P240" s="458">
        <v>53998.85</v>
      </c>
      <c r="Q240" s="458">
        <v>1618.58</v>
      </c>
      <c r="R240" s="458">
        <v>78320</v>
      </c>
      <c r="S240" s="454">
        <v>1519.33</v>
      </c>
      <c r="T240" s="344">
        <f t="shared" si="13"/>
        <v>2128806.6900000004</v>
      </c>
      <c r="U240" s="456">
        <v>-31518</v>
      </c>
      <c r="V240" s="458"/>
      <c r="W240" s="458">
        <v>-105.45</v>
      </c>
      <c r="X240" s="462">
        <v>72</v>
      </c>
      <c r="Y240" s="463">
        <v>1</v>
      </c>
      <c r="Z240" s="464">
        <v>983</v>
      </c>
      <c r="AA240" s="527"/>
      <c r="AB240" s="469">
        <v>95533</v>
      </c>
      <c r="AC240" s="307">
        <f>AB240/VPI!R240</f>
        <v>3.5091726764425943</v>
      </c>
      <c r="AD240" s="309">
        <f t="shared" si="14"/>
        <v>208701</v>
      </c>
      <c r="AE240" s="307">
        <f>AD240/VPI!R240</f>
        <v>7.6661242371352918</v>
      </c>
      <c r="AF240" s="469">
        <v>304234</v>
      </c>
      <c r="AG240" s="469">
        <v>37079</v>
      </c>
      <c r="AH240" s="469">
        <v>94110</v>
      </c>
      <c r="AI240" s="534"/>
      <c r="AJ240" s="464">
        <v>1618</v>
      </c>
      <c r="AK240" s="307">
        <f>AJ240/VPI!R240</f>
        <v>5.9433299388526664E-2</v>
      </c>
      <c r="AL240" s="309">
        <f t="shared" si="15"/>
        <v>49930</v>
      </c>
      <c r="AM240" s="307">
        <f>AL240/VPI!R240</f>
        <v>1.8340572549253005</v>
      </c>
      <c r="AN240" s="464">
        <v>51548</v>
      </c>
      <c r="AO240" s="534"/>
      <c r="AP240" s="477">
        <v>4.1422236293458141</v>
      </c>
      <c r="AR240" s="530">
        <v>0</v>
      </c>
    </row>
    <row r="241" spans="1:44" x14ac:dyDescent="0.25">
      <c r="A241" s="525">
        <v>5819</v>
      </c>
      <c r="B241" s="526" t="s">
        <v>7</v>
      </c>
      <c r="C241" s="454">
        <v>602434.18999999994</v>
      </c>
      <c r="D241" s="454">
        <v>149368.07</v>
      </c>
      <c r="E241" s="454"/>
      <c r="F241" s="455"/>
      <c r="G241" s="454">
        <v>127420.75</v>
      </c>
      <c r="H241" s="454">
        <v>4937.8</v>
      </c>
      <c r="I241" s="454"/>
      <c r="J241" s="454">
        <v>11647.05</v>
      </c>
      <c r="K241" s="454">
        <v>2043.85</v>
      </c>
      <c r="L241" s="454">
        <v>103915.15</v>
      </c>
      <c r="M241" s="344">
        <f t="shared" si="12"/>
        <v>1001766.8600000001</v>
      </c>
      <c r="N241" s="458">
        <v>6123.25</v>
      </c>
      <c r="O241" s="458"/>
      <c r="P241" s="458">
        <v>29206.9</v>
      </c>
      <c r="Q241" s="458">
        <v>54078.18</v>
      </c>
      <c r="R241" s="458">
        <v>14209.25</v>
      </c>
      <c r="S241" s="454">
        <v>12851.68</v>
      </c>
      <c r="T241" s="344">
        <f t="shared" si="13"/>
        <v>1118236.1200000001</v>
      </c>
      <c r="U241" s="456">
        <v>-41851.699999999997</v>
      </c>
      <c r="V241" s="458"/>
      <c r="W241" s="458">
        <v>0</v>
      </c>
      <c r="X241" s="462">
        <v>69</v>
      </c>
      <c r="Y241" s="463">
        <v>1</v>
      </c>
      <c r="Z241" s="464">
        <v>468</v>
      </c>
      <c r="AA241" s="527"/>
      <c r="AB241" s="469">
        <v>48758</v>
      </c>
      <c r="AC241" s="307">
        <f>AB241/VPI!R241</f>
        <v>3.2763483626769689</v>
      </c>
      <c r="AD241" s="309">
        <f t="shared" si="14"/>
        <v>65843</v>
      </c>
      <c r="AE241" s="307">
        <f>AD241/VPI!R241</f>
        <v>4.4243940531551678</v>
      </c>
      <c r="AF241" s="469">
        <v>114601</v>
      </c>
      <c r="AG241" s="469">
        <v>41833</v>
      </c>
      <c r="AH241" s="469">
        <v>61093</v>
      </c>
      <c r="AI241" s="534"/>
      <c r="AJ241" s="464"/>
      <c r="AK241" s="307">
        <f>AJ241/VPI!R241</f>
        <v>0</v>
      </c>
      <c r="AL241" s="309">
        <f t="shared" si="15"/>
        <v>0</v>
      </c>
      <c r="AM241" s="307">
        <f>AL241/VPI!R241</f>
        <v>0</v>
      </c>
      <c r="AN241" s="464"/>
      <c r="AO241" s="534"/>
      <c r="AP241" s="477">
        <v>22.563513141044268</v>
      </c>
      <c r="AR241" s="530">
        <v>0</v>
      </c>
    </row>
    <row r="242" spans="1:44" x14ac:dyDescent="0.25">
      <c r="A242" s="525">
        <v>5821</v>
      </c>
      <c r="B242" s="526" t="s">
        <v>8</v>
      </c>
      <c r="C242" s="454">
        <v>531449.26</v>
      </c>
      <c r="D242" s="454">
        <v>119647.96</v>
      </c>
      <c r="E242" s="454"/>
      <c r="F242" s="455">
        <v>2070</v>
      </c>
      <c r="G242" s="454">
        <v>4300.75</v>
      </c>
      <c r="H242" s="454">
        <v>1187</v>
      </c>
      <c r="I242" s="454"/>
      <c r="J242" s="454">
        <v>16861.29</v>
      </c>
      <c r="K242" s="454">
        <v>1460</v>
      </c>
      <c r="L242" s="454">
        <v>54926.2</v>
      </c>
      <c r="M242" s="344">
        <f t="shared" si="12"/>
        <v>731902.46</v>
      </c>
      <c r="N242" s="458">
        <v>0</v>
      </c>
      <c r="O242" s="458">
        <v>72.400000000000006</v>
      </c>
      <c r="P242" s="458">
        <v>22715</v>
      </c>
      <c r="Q242" s="458">
        <v>318.31</v>
      </c>
      <c r="R242" s="458">
        <v>21471.05</v>
      </c>
      <c r="S242" s="454">
        <v>532.85</v>
      </c>
      <c r="T242" s="344">
        <f t="shared" si="13"/>
        <v>777012.07000000007</v>
      </c>
      <c r="U242" s="456">
        <v>-16194.71</v>
      </c>
      <c r="V242" s="458"/>
      <c r="W242" s="458">
        <v>-58.1</v>
      </c>
      <c r="X242" s="462">
        <v>69</v>
      </c>
      <c r="Y242" s="463">
        <v>1</v>
      </c>
      <c r="Z242" s="464">
        <v>384</v>
      </c>
      <c r="AA242" s="527"/>
      <c r="AB242" s="469">
        <v>15139</v>
      </c>
      <c r="AC242" s="307">
        <f>AB242/VPI!R242</f>
        <v>1.4579062373983918</v>
      </c>
      <c r="AD242" s="309">
        <f t="shared" si="14"/>
        <v>11755</v>
      </c>
      <c r="AE242" s="307">
        <f>AD242/VPI!R242</f>
        <v>1.1320224467017699</v>
      </c>
      <c r="AF242" s="469">
        <v>26894</v>
      </c>
      <c r="AG242" s="469">
        <v>13895</v>
      </c>
      <c r="AH242" s="469">
        <v>39027</v>
      </c>
      <c r="AI242" s="534"/>
      <c r="AJ242" s="464"/>
      <c r="AK242" s="307">
        <f>AJ242/VPI!R242</f>
        <v>0</v>
      </c>
      <c r="AL242" s="309">
        <f t="shared" si="15"/>
        <v>0</v>
      </c>
      <c r="AM242" s="307">
        <f>AL242/VPI!R242</f>
        <v>0</v>
      </c>
      <c r="AN242" s="464"/>
      <c r="AO242" s="534"/>
      <c r="AP242" s="477">
        <v>1.3620765884031929</v>
      </c>
      <c r="AR242" s="530">
        <v>0</v>
      </c>
    </row>
    <row r="243" spans="1:44" x14ac:dyDescent="0.25">
      <c r="A243" s="525">
        <v>5822</v>
      </c>
      <c r="B243" s="526" t="s">
        <v>9</v>
      </c>
      <c r="C243" s="454">
        <v>11751520.34</v>
      </c>
      <c r="D243" s="454">
        <v>1406499.6</v>
      </c>
      <c r="E243" s="454"/>
      <c r="F243" s="455"/>
      <c r="G243" s="454">
        <v>1654605.6</v>
      </c>
      <c r="H243" s="454">
        <v>97972.85</v>
      </c>
      <c r="I243" s="454"/>
      <c r="J243" s="454">
        <v>902858.44</v>
      </c>
      <c r="K243" s="454">
        <v>240220.6</v>
      </c>
      <c r="L243" s="454">
        <v>1679849.65</v>
      </c>
      <c r="M243" s="344">
        <f t="shared" si="12"/>
        <v>17733527.079999998</v>
      </c>
      <c r="N243" s="458">
        <v>416377.45</v>
      </c>
      <c r="O243" s="458">
        <v>110511.7</v>
      </c>
      <c r="P243" s="458">
        <v>1058202.95</v>
      </c>
      <c r="Q243" s="458">
        <v>191748.16</v>
      </c>
      <c r="R243" s="458">
        <v>604809.44999999995</v>
      </c>
      <c r="S243" s="454">
        <v>170100.88</v>
      </c>
      <c r="T243" s="344">
        <f t="shared" si="13"/>
        <v>20285277.669999994</v>
      </c>
      <c r="U243" s="456">
        <v>-547316.68000000005</v>
      </c>
      <c r="V243" s="458"/>
      <c r="W243" s="458">
        <v>-1705.53</v>
      </c>
      <c r="X243" s="462">
        <v>70</v>
      </c>
      <c r="Y243" s="463">
        <v>1</v>
      </c>
      <c r="Z243" s="464">
        <v>10802</v>
      </c>
      <c r="AA243" s="527"/>
      <c r="AB243" s="469">
        <v>490587</v>
      </c>
      <c r="AC243" s="307">
        <f>AB243/VPI!R243</f>
        <v>1.9571638743949169</v>
      </c>
      <c r="AD243" s="309">
        <f t="shared" si="14"/>
        <v>1739191</v>
      </c>
      <c r="AE243" s="307">
        <f>AD243/VPI!R243</f>
        <v>6.9383856398004227</v>
      </c>
      <c r="AF243" s="469">
        <v>2229778</v>
      </c>
      <c r="AG243" s="469">
        <v>1184618</v>
      </c>
      <c r="AH243" s="469">
        <v>1090721</v>
      </c>
      <c r="AI243" s="534"/>
      <c r="AJ243" s="464"/>
      <c r="AK243" s="307">
        <f>AJ243/VPI!R243</f>
        <v>0</v>
      </c>
      <c r="AL243" s="309">
        <f t="shared" si="15"/>
        <v>160591</v>
      </c>
      <c r="AM243" s="307">
        <f>AL243/VPI!R243</f>
        <v>0.64066700453325121</v>
      </c>
      <c r="AN243" s="464">
        <v>160591</v>
      </c>
      <c r="AO243" s="534"/>
      <c r="AP243" s="477">
        <v>-10.535366835254152</v>
      </c>
      <c r="AR243" s="530">
        <v>0</v>
      </c>
    </row>
    <row r="244" spans="1:44" x14ac:dyDescent="0.25">
      <c r="A244" s="525">
        <v>5827</v>
      </c>
      <c r="B244" s="526" t="s">
        <v>10</v>
      </c>
      <c r="C244" s="454">
        <v>559300.1</v>
      </c>
      <c r="D244" s="454">
        <v>65207.08</v>
      </c>
      <c r="E244" s="454"/>
      <c r="F244" s="455">
        <v>1560</v>
      </c>
      <c r="G244" s="454">
        <v>821.55</v>
      </c>
      <c r="H244" s="454">
        <v>1186.05</v>
      </c>
      <c r="I244" s="454"/>
      <c r="J244" s="454">
        <v>4658.21</v>
      </c>
      <c r="K244" s="454">
        <v>1659.35</v>
      </c>
      <c r="L244" s="454">
        <v>48186.75</v>
      </c>
      <c r="M244" s="344">
        <f t="shared" si="12"/>
        <v>682579.09</v>
      </c>
      <c r="N244" s="458">
        <v>0</v>
      </c>
      <c r="O244" s="458"/>
      <c r="P244" s="458">
        <v>20295</v>
      </c>
      <c r="Q244" s="458">
        <v>5939.03</v>
      </c>
      <c r="R244" s="458">
        <v>29501.45</v>
      </c>
      <c r="S244" s="454">
        <v>194.93</v>
      </c>
      <c r="T244" s="344">
        <f t="shared" si="13"/>
        <v>738509.5</v>
      </c>
      <c r="U244" s="456">
        <v>-10545.6</v>
      </c>
      <c r="V244" s="458"/>
      <c r="W244" s="458">
        <v>0</v>
      </c>
      <c r="X244" s="462">
        <v>78</v>
      </c>
      <c r="Y244" s="463">
        <v>1</v>
      </c>
      <c r="Z244" s="464">
        <v>318</v>
      </c>
      <c r="AA244" s="527"/>
      <c r="AB244" s="469">
        <v>38749</v>
      </c>
      <c r="AC244" s="307">
        <f>AB244/VPI!R244</f>
        <v>4.4567488457312425</v>
      </c>
      <c r="AD244" s="309">
        <f t="shared" si="14"/>
        <v>34578</v>
      </c>
      <c r="AE244" s="307">
        <f>AD244/VPI!R244</f>
        <v>3.9770177704636227</v>
      </c>
      <c r="AF244" s="469">
        <v>73327</v>
      </c>
      <c r="AG244" s="469">
        <v>11610</v>
      </c>
      <c r="AH244" s="469">
        <v>32782</v>
      </c>
      <c r="AI244" s="534"/>
      <c r="AJ244" s="464"/>
      <c r="AK244" s="307">
        <f>AJ244/VPI!R244</f>
        <v>0</v>
      </c>
      <c r="AL244" s="309">
        <f t="shared" si="15"/>
        <v>7695</v>
      </c>
      <c r="AM244" s="307">
        <f>AL244/VPI!R244</f>
        <v>0.88504690102717265</v>
      </c>
      <c r="AN244" s="464">
        <v>7695</v>
      </c>
      <c r="AO244" s="534"/>
      <c r="AP244" s="477">
        <v>0.35301939888776301</v>
      </c>
      <c r="AR244" s="530">
        <v>0</v>
      </c>
    </row>
    <row r="245" spans="1:44" x14ac:dyDescent="0.25">
      <c r="A245" s="525">
        <v>5828</v>
      </c>
      <c r="B245" s="526" t="s">
        <v>370</v>
      </c>
      <c r="C245" s="454">
        <v>172612.93</v>
      </c>
      <c r="D245" s="454">
        <v>42135.24</v>
      </c>
      <c r="E245" s="454"/>
      <c r="F245" s="455"/>
      <c r="G245" s="454">
        <v>158.35</v>
      </c>
      <c r="H245" s="454">
        <v>136.94999999999999</v>
      </c>
      <c r="I245" s="454"/>
      <c r="J245" s="454">
        <v>1.0900000000000001</v>
      </c>
      <c r="K245" s="454"/>
      <c r="L245" s="454">
        <v>28126.799999999999</v>
      </c>
      <c r="M245" s="344">
        <f t="shared" si="12"/>
        <v>243171.36</v>
      </c>
      <c r="N245" s="458">
        <v>0</v>
      </c>
      <c r="O245" s="458">
        <v>3654.6</v>
      </c>
      <c r="P245" s="458">
        <v>5318.05</v>
      </c>
      <c r="Q245" s="458"/>
      <c r="R245" s="458"/>
      <c r="S245" s="454">
        <v>28.67</v>
      </c>
      <c r="T245" s="344">
        <f t="shared" si="13"/>
        <v>252172.68</v>
      </c>
      <c r="U245" s="456">
        <v>-1966.38</v>
      </c>
      <c r="V245" s="458"/>
      <c r="W245" s="458">
        <v>-86.7</v>
      </c>
      <c r="X245" s="462">
        <v>81.5</v>
      </c>
      <c r="Y245" s="463">
        <v>1.5</v>
      </c>
      <c r="Z245" s="464">
        <v>109</v>
      </c>
      <c r="AA245" s="527"/>
      <c r="AB245" s="469">
        <v>23967</v>
      </c>
      <c r="AC245" s="307">
        <f>AB245/VPI!R245</f>
        <v>8.4277478644362223</v>
      </c>
      <c r="AD245" s="309">
        <f t="shared" si="14"/>
        <v>34725</v>
      </c>
      <c r="AE245" s="307">
        <f>AD245/VPI!R245</f>
        <v>12.210687386512614</v>
      </c>
      <c r="AF245" s="469">
        <v>58692</v>
      </c>
      <c r="AG245" s="469">
        <v>4017</v>
      </c>
      <c r="AH245" s="469">
        <v>7200</v>
      </c>
      <c r="AI245" s="534"/>
      <c r="AJ245" s="464"/>
      <c r="AK245" s="307">
        <f>AJ245/VPI!R245</f>
        <v>0</v>
      </c>
      <c r="AL245" s="309">
        <f t="shared" si="15"/>
        <v>2711</v>
      </c>
      <c r="AM245" s="307">
        <f>AL245/VPI!R245</f>
        <v>0.95329513332860172</v>
      </c>
      <c r="AN245" s="464">
        <v>2711</v>
      </c>
      <c r="AO245" s="534"/>
      <c r="AP245" s="477">
        <v>-0.43705460635987947</v>
      </c>
      <c r="AR245" s="530">
        <v>0</v>
      </c>
    </row>
    <row r="246" spans="1:44" x14ac:dyDescent="0.25">
      <c r="A246" s="525">
        <v>5830</v>
      </c>
      <c r="B246" s="526" t="s">
        <v>11</v>
      </c>
      <c r="C246" s="454">
        <v>903995.69</v>
      </c>
      <c r="D246" s="454">
        <v>123172.44</v>
      </c>
      <c r="E246" s="454"/>
      <c r="F246" s="455"/>
      <c r="G246" s="454">
        <v>12437.05</v>
      </c>
      <c r="H246" s="454">
        <v>461.2</v>
      </c>
      <c r="I246" s="454"/>
      <c r="J246" s="454">
        <v>14577.07</v>
      </c>
      <c r="K246" s="454">
        <v>2039.2</v>
      </c>
      <c r="L246" s="454">
        <v>68912.600000000006</v>
      </c>
      <c r="M246" s="344">
        <f t="shared" si="12"/>
        <v>1125595.25</v>
      </c>
      <c r="N246" s="458">
        <v>5814</v>
      </c>
      <c r="O246" s="458"/>
      <c r="P246" s="458">
        <v>65940.350000000006</v>
      </c>
      <c r="Q246" s="458">
        <v>413.02</v>
      </c>
      <c r="R246" s="458">
        <v>76701</v>
      </c>
      <c r="S246" s="454">
        <v>1252.3900000000001</v>
      </c>
      <c r="T246" s="344">
        <f t="shared" si="13"/>
        <v>1275716.01</v>
      </c>
      <c r="U246" s="456">
        <v>-1580.16</v>
      </c>
      <c r="V246" s="458"/>
      <c r="W246" s="458">
        <v>-53.1</v>
      </c>
      <c r="X246" s="462">
        <v>75</v>
      </c>
      <c r="Y246" s="463">
        <v>1</v>
      </c>
      <c r="Z246" s="464">
        <v>524</v>
      </c>
      <c r="AA246" s="527"/>
      <c r="AB246" s="469">
        <v>44018</v>
      </c>
      <c r="AC246" s="307">
        <f>AB246/VPI!R246</f>
        <v>2.9328976888799976</v>
      </c>
      <c r="AD246" s="309">
        <f t="shared" si="14"/>
        <v>84562</v>
      </c>
      <c r="AE246" s="307">
        <f>AD246/VPI!R246</f>
        <v>5.6343244665152969</v>
      </c>
      <c r="AF246" s="469">
        <v>128580</v>
      </c>
      <c r="AG246" s="469">
        <v>29025</v>
      </c>
      <c r="AH246" s="469">
        <v>60893</v>
      </c>
      <c r="AI246" s="534"/>
      <c r="AJ246" s="464">
        <v>21087</v>
      </c>
      <c r="AK246" s="307">
        <f>AJ246/VPI!R246</f>
        <v>1.4050164379438526</v>
      </c>
      <c r="AL246" s="309">
        <f t="shared" si="15"/>
        <v>3969</v>
      </c>
      <c r="AM246" s="307">
        <f>AL246/VPI!R246</f>
        <v>0.26445251776920148</v>
      </c>
      <c r="AN246" s="464">
        <v>25056</v>
      </c>
      <c r="AO246" s="534"/>
      <c r="AP246" s="477">
        <v>1.8194189330857302</v>
      </c>
      <c r="AR246" s="530">
        <v>0</v>
      </c>
    </row>
    <row r="247" spans="1:44" x14ac:dyDescent="0.25">
      <c r="A247" s="525">
        <v>5831</v>
      </c>
      <c r="B247" s="526" t="s">
        <v>347</v>
      </c>
      <c r="C247" s="454">
        <v>4438356.57</v>
      </c>
      <c r="D247" s="454">
        <v>688286.66</v>
      </c>
      <c r="E247" s="454"/>
      <c r="F247" s="455"/>
      <c r="G247" s="454">
        <v>273018.40000000002</v>
      </c>
      <c r="H247" s="454">
        <v>20214</v>
      </c>
      <c r="I247" s="454"/>
      <c r="J247" s="454">
        <v>171992.8</v>
      </c>
      <c r="K247" s="454">
        <v>35627.15</v>
      </c>
      <c r="L247" s="454">
        <v>340271.9</v>
      </c>
      <c r="M247" s="344">
        <f t="shared" si="12"/>
        <v>5967767.4800000014</v>
      </c>
      <c r="N247" s="458">
        <v>58127</v>
      </c>
      <c r="O247" s="458">
        <v>2106380</v>
      </c>
      <c r="P247" s="458">
        <v>134544.75</v>
      </c>
      <c r="Q247" s="458">
        <v>7713.13</v>
      </c>
      <c r="R247" s="458">
        <v>205191.15</v>
      </c>
      <c r="S247" s="454">
        <v>28472.13</v>
      </c>
      <c r="T247" s="344">
        <f t="shared" si="13"/>
        <v>8508195.6400000025</v>
      </c>
      <c r="U247" s="456">
        <v>-88903.91</v>
      </c>
      <c r="V247" s="458"/>
      <c r="W247" s="458">
        <v>-190.8</v>
      </c>
      <c r="X247" s="462">
        <v>70.5</v>
      </c>
      <c r="Y247" s="463">
        <v>0.6</v>
      </c>
      <c r="Z247" s="464">
        <v>3435</v>
      </c>
      <c r="AA247" s="527"/>
      <c r="AB247" s="469">
        <v>336432</v>
      </c>
      <c r="AC247" s="307">
        <f>AB247/VPI!R247</f>
        <v>3.8618677190998416</v>
      </c>
      <c r="AD247" s="309">
        <f t="shared" si="14"/>
        <v>733226</v>
      </c>
      <c r="AE247" s="307">
        <f>AD247/VPI!R247</f>
        <v>8.4166245190846904</v>
      </c>
      <c r="AF247" s="469">
        <v>1069658</v>
      </c>
      <c r="AG247" s="469">
        <v>313841</v>
      </c>
      <c r="AH247" s="469">
        <v>381120</v>
      </c>
      <c r="AI247" s="534"/>
      <c r="AJ247" s="464"/>
      <c r="AK247" s="307">
        <f>AJ247/VPI!R247</f>
        <v>0</v>
      </c>
      <c r="AL247" s="309">
        <f t="shared" si="15"/>
        <v>22045</v>
      </c>
      <c r="AM247" s="307">
        <f>AL247/VPI!R247</f>
        <v>0.25305224790613262</v>
      </c>
      <c r="AN247" s="464">
        <v>22045</v>
      </c>
      <c r="AO247" s="534"/>
      <c r="AP247" s="477">
        <v>2.0204597159306825</v>
      </c>
      <c r="AR247" s="530">
        <v>0</v>
      </c>
    </row>
    <row r="248" spans="1:44" x14ac:dyDescent="0.25">
      <c r="A248" s="525">
        <v>5841</v>
      </c>
      <c r="B248" s="526" t="s">
        <v>12</v>
      </c>
      <c r="C248" s="454">
        <v>5825117.6699999999</v>
      </c>
      <c r="D248" s="454">
        <v>1797489.72</v>
      </c>
      <c r="E248" s="454"/>
      <c r="F248" s="455"/>
      <c r="G248" s="454">
        <v>157399.70000000001</v>
      </c>
      <c r="H248" s="454">
        <v>23200</v>
      </c>
      <c r="I248" s="454">
        <v>813757.69</v>
      </c>
      <c r="J248" s="454">
        <v>448589.12</v>
      </c>
      <c r="K248" s="454">
        <v>5882.55</v>
      </c>
      <c r="L248" s="454">
        <v>1668657</v>
      </c>
      <c r="M248" s="344">
        <f t="shared" si="12"/>
        <v>10740093.449999999</v>
      </c>
      <c r="N248" s="458">
        <v>13252.9</v>
      </c>
      <c r="O248" s="458">
        <v>802206.2</v>
      </c>
      <c r="P248" s="458">
        <v>584416.6</v>
      </c>
      <c r="Q248" s="458">
        <v>30588.06</v>
      </c>
      <c r="R248" s="458">
        <v>331683.95</v>
      </c>
      <c r="S248" s="454">
        <v>17535.78</v>
      </c>
      <c r="T248" s="344">
        <f t="shared" si="13"/>
        <v>12519776.939999998</v>
      </c>
      <c r="U248" s="456">
        <v>-116418.19</v>
      </c>
      <c r="V248" s="458"/>
      <c r="W248" s="458">
        <v>-14362.36</v>
      </c>
      <c r="X248" s="462">
        <v>81.5</v>
      </c>
      <c r="Y248" s="463">
        <v>1.5</v>
      </c>
      <c r="Z248" s="464">
        <v>3656</v>
      </c>
      <c r="AA248" s="527"/>
      <c r="AB248" s="469">
        <v>763116</v>
      </c>
      <c r="AC248" s="307">
        <f>AB248/VPI!R248</f>
        <v>6.1570748795679355</v>
      </c>
      <c r="AD248" s="309">
        <f t="shared" si="14"/>
        <v>2739531</v>
      </c>
      <c r="AE248" s="307">
        <f>AD248/VPI!R248</f>
        <v>22.103451509203875</v>
      </c>
      <c r="AF248" s="469">
        <v>3502647</v>
      </c>
      <c r="AG248" s="469">
        <v>444245</v>
      </c>
      <c r="AH248" s="469">
        <v>490141</v>
      </c>
      <c r="AI248" s="534"/>
      <c r="AJ248" s="464">
        <v>16791</v>
      </c>
      <c r="AK248" s="307">
        <f>AJ248/VPI!R248</f>
        <v>0.13547539863248209</v>
      </c>
      <c r="AL248" s="309">
        <f t="shared" si="15"/>
        <v>85467</v>
      </c>
      <c r="AM248" s="307">
        <f>AL248/VPI!R248</f>
        <v>0.68957631438999145</v>
      </c>
      <c r="AN248" s="464">
        <v>102258</v>
      </c>
      <c r="AO248" s="534"/>
      <c r="AP248" s="477">
        <v>12.176220589880684</v>
      </c>
      <c r="AR248" s="530">
        <v>0</v>
      </c>
    </row>
    <row r="249" spans="1:44" x14ac:dyDescent="0.25">
      <c r="A249" s="525">
        <v>5842</v>
      </c>
      <c r="B249" s="526" t="s">
        <v>13</v>
      </c>
      <c r="C249" s="454">
        <v>893197.21</v>
      </c>
      <c r="D249" s="454">
        <v>190209.47</v>
      </c>
      <c r="E249" s="454"/>
      <c r="F249" s="455"/>
      <c r="G249" s="454">
        <v>32097.9</v>
      </c>
      <c r="H249" s="454">
        <v>3921.95</v>
      </c>
      <c r="I249" s="454">
        <v>45819.9</v>
      </c>
      <c r="J249" s="454">
        <v>20211.2</v>
      </c>
      <c r="K249" s="454">
        <v>544.85</v>
      </c>
      <c r="L249" s="454">
        <v>151097.75</v>
      </c>
      <c r="M249" s="344">
        <f t="shared" si="12"/>
        <v>1337100.2299999997</v>
      </c>
      <c r="N249" s="458">
        <v>799</v>
      </c>
      <c r="O249" s="458">
        <v>649395.69999999995</v>
      </c>
      <c r="P249" s="458">
        <v>30360</v>
      </c>
      <c r="Q249" s="458"/>
      <c r="R249" s="458">
        <v>74119.3</v>
      </c>
      <c r="S249" s="454">
        <v>3497.44</v>
      </c>
      <c r="T249" s="344">
        <f t="shared" si="13"/>
        <v>2095271.6699999997</v>
      </c>
      <c r="U249" s="456">
        <v>-3112.18</v>
      </c>
      <c r="V249" s="458"/>
      <c r="W249" s="458">
        <v>-571.42999999999995</v>
      </c>
      <c r="X249" s="462">
        <v>81</v>
      </c>
      <c r="Y249" s="463">
        <v>1.5</v>
      </c>
      <c r="Z249" s="464">
        <v>499</v>
      </c>
      <c r="AA249" s="527"/>
      <c r="AB249" s="469">
        <v>48926</v>
      </c>
      <c r="AC249" s="307">
        <f>AB249/VPI!R249</f>
        <v>3.0803402270918516</v>
      </c>
      <c r="AD249" s="309">
        <f t="shared" si="14"/>
        <v>455101</v>
      </c>
      <c r="AE249" s="307">
        <f>AD249/VPI!R249</f>
        <v>28.652780069691548</v>
      </c>
      <c r="AF249" s="469">
        <v>504027</v>
      </c>
      <c r="AG249" s="469">
        <v>64829</v>
      </c>
      <c r="AH249" s="469">
        <v>110000</v>
      </c>
      <c r="AI249" s="534"/>
      <c r="AJ249" s="464"/>
      <c r="AK249" s="307">
        <f>AJ249/VPI!R249</f>
        <v>0</v>
      </c>
      <c r="AL249" s="309">
        <f t="shared" si="15"/>
        <v>110683</v>
      </c>
      <c r="AM249" s="307">
        <f>AL249/VPI!R249</f>
        <v>6.9685095318482482</v>
      </c>
      <c r="AN249" s="464">
        <v>110683</v>
      </c>
      <c r="AO249" s="534"/>
      <c r="AP249" s="477">
        <v>18.68963073946497</v>
      </c>
      <c r="AR249" s="530">
        <v>0</v>
      </c>
    </row>
    <row r="250" spans="1:44" x14ac:dyDescent="0.25">
      <c r="A250" s="525">
        <v>5843</v>
      </c>
      <c r="B250" s="526" t="s">
        <v>14</v>
      </c>
      <c r="C250" s="454">
        <v>2074740.24</v>
      </c>
      <c r="D250" s="454">
        <v>2269077.14</v>
      </c>
      <c r="E250" s="454"/>
      <c r="F250" s="455"/>
      <c r="G250" s="454">
        <v>118403.7</v>
      </c>
      <c r="H250" s="454">
        <v>22476.95</v>
      </c>
      <c r="I250" s="454">
        <v>1389707.16</v>
      </c>
      <c r="J250" s="454">
        <v>126705.3</v>
      </c>
      <c r="K250" s="454">
        <v>32505.75</v>
      </c>
      <c r="L250" s="454">
        <v>1326009.25</v>
      </c>
      <c r="M250" s="344">
        <f t="shared" si="12"/>
        <v>7359625.4900000002</v>
      </c>
      <c r="N250" s="458">
        <v>8243.65</v>
      </c>
      <c r="O250" s="458">
        <v>340544.7</v>
      </c>
      <c r="P250" s="458">
        <v>447452.15</v>
      </c>
      <c r="Q250" s="458">
        <v>1490.95</v>
      </c>
      <c r="R250" s="458">
        <v>559535.25</v>
      </c>
      <c r="S250" s="454">
        <v>13679.16</v>
      </c>
      <c r="T250" s="344">
        <f t="shared" si="13"/>
        <v>8730571.3500000015</v>
      </c>
      <c r="U250" s="456">
        <v>-16582.93</v>
      </c>
      <c r="V250" s="458"/>
      <c r="W250" s="458">
        <v>-29430.42</v>
      </c>
      <c r="X250" s="462">
        <v>79</v>
      </c>
      <c r="Y250" s="463">
        <v>1.5</v>
      </c>
      <c r="Z250" s="464">
        <v>812</v>
      </c>
      <c r="AA250" s="527"/>
      <c r="AB250" s="469">
        <v>98502</v>
      </c>
      <c r="AC250" s="307">
        <f>AB250/VPI!R250</f>
        <v>1.1299415607320065</v>
      </c>
      <c r="AD250" s="309">
        <f t="shared" si="14"/>
        <v>627023</v>
      </c>
      <c r="AE250" s="307">
        <f>AD250/VPI!R250</f>
        <v>7.1927407284609943</v>
      </c>
      <c r="AF250" s="469">
        <v>725525</v>
      </c>
      <c r="AG250" s="469">
        <v>97550</v>
      </c>
      <c r="AH250" s="469">
        <v>100608</v>
      </c>
      <c r="AI250" s="534"/>
      <c r="AJ250" s="464"/>
      <c r="AK250" s="307">
        <f>AJ250/VPI!R250</f>
        <v>0</v>
      </c>
      <c r="AL250" s="309">
        <f t="shared" si="15"/>
        <v>192578</v>
      </c>
      <c r="AM250" s="307">
        <f>AL250/VPI!R250</f>
        <v>2.2091113468015711</v>
      </c>
      <c r="AN250" s="464">
        <v>192578</v>
      </c>
      <c r="AO250" s="534"/>
      <c r="AP250" s="477">
        <v>45.60986187899546</v>
      </c>
      <c r="AR250" s="530">
        <v>0</v>
      </c>
    </row>
    <row r="251" spans="1:44" x14ac:dyDescent="0.25">
      <c r="A251" s="525">
        <v>5851</v>
      </c>
      <c r="B251" s="526" t="s">
        <v>15</v>
      </c>
      <c r="C251" s="454">
        <v>865473.16</v>
      </c>
      <c r="D251" s="454">
        <v>181692.84</v>
      </c>
      <c r="E251" s="454"/>
      <c r="F251" s="455"/>
      <c r="G251" s="454">
        <v>168739.1</v>
      </c>
      <c r="H251" s="454">
        <v>28372.55</v>
      </c>
      <c r="I251" s="454">
        <v>292503.05</v>
      </c>
      <c r="J251" s="454">
        <v>36682.89</v>
      </c>
      <c r="K251" s="454">
        <v>-10940.6</v>
      </c>
      <c r="L251" s="454">
        <v>273083.3</v>
      </c>
      <c r="M251" s="344">
        <f t="shared" si="12"/>
        <v>1835606.29</v>
      </c>
      <c r="N251" s="458">
        <v>39895.1</v>
      </c>
      <c r="O251" s="458">
        <v>20693.2</v>
      </c>
      <c r="P251" s="458">
        <v>13500.1</v>
      </c>
      <c r="Q251" s="458">
        <v>1556.26</v>
      </c>
      <c r="R251" s="458">
        <v>39533</v>
      </c>
      <c r="S251" s="454">
        <v>19139.05</v>
      </c>
      <c r="T251" s="344">
        <f t="shared" si="13"/>
        <v>1969923.0000000002</v>
      </c>
      <c r="U251" s="456">
        <v>-7737.75</v>
      </c>
      <c r="V251" s="458"/>
      <c r="W251" s="458">
        <v>-684.38</v>
      </c>
      <c r="X251" s="462">
        <v>65</v>
      </c>
      <c r="Y251" s="463">
        <v>1.2</v>
      </c>
      <c r="Z251" s="464">
        <v>430</v>
      </c>
      <c r="AA251" s="527"/>
      <c r="AB251" s="469"/>
      <c r="AC251" s="307">
        <f>AB251/VPI!R251</f>
        <v>0</v>
      </c>
      <c r="AD251" s="309">
        <f t="shared" si="14"/>
        <v>120812</v>
      </c>
      <c r="AE251" s="307">
        <f>AD251/VPI!R251</f>
        <v>4.3569296141095872</v>
      </c>
      <c r="AF251" s="469">
        <v>120812</v>
      </c>
      <c r="AG251" s="469">
        <v>37053</v>
      </c>
      <c r="AH251" s="469">
        <v>40609</v>
      </c>
      <c r="AI251" s="534"/>
      <c r="AJ251" s="464"/>
      <c r="AK251" s="307">
        <f>AJ251/VPI!R251</f>
        <v>0</v>
      </c>
      <c r="AL251" s="309">
        <f t="shared" si="15"/>
        <v>7214</v>
      </c>
      <c r="AM251" s="307">
        <f>AL251/VPI!R251</f>
        <v>0.2601636446394941</v>
      </c>
      <c r="AN251" s="464">
        <v>7214</v>
      </c>
      <c r="AO251" s="534"/>
      <c r="AP251" s="477">
        <v>28.654198139255936</v>
      </c>
      <c r="AR251" s="530">
        <v>0</v>
      </c>
    </row>
    <row r="252" spans="1:44" x14ac:dyDescent="0.25">
      <c r="A252" s="525">
        <v>5852</v>
      </c>
      <c r="B252" s="526" t="s">
        <v>16</v>
      </c>
      <c r="C252" s="454">
        <v>1690561.7</v>
      </c>
      <c r="D252" s="454">
        <v>558909.99</v>
      </c>
      <c r="E252" s="454"/>
      <c r="F252" s="455"/>
      <c r="G252" s="454">
        <v>-19979.900000000001</v>
      </c>
      <c r="H252" s="454">
        <v>7736.45</v>
      </c>
      <c r="I252" s="454">
        <v>265183.87</v>
      </c>
      <c r="J252" s="454">
        <v>5188.38</v>
      </c>
      <c r="K252" s="454">
        <v>12004.85</v>
      </c>
      <c r="L252" s="454">
        <v>151082.20000000001</v>
      </c>
      <c r="M252" s="344">
        <f t="shared" si="12"/>
        <v>2670687.5400000005</v>
      </c>
      <c r="N252" s="458">
        <v>10546.7</v>
      </c>
      <c r="O252" s="458"/>
      <c r="P252" s="458">
        <v>44660</v>
      </c>
      <c r="Q252" s="458"/>
      <c r="R252" s="458">
        <v>89880.5</v>
      </c>
      <c r="S252" s="454">
        <v>-1188.81</v>
      </c>
      <c r="T252" s="344">
        <f t="shared" si="13"/>
        <v>2814585.9300000006</v>
      </c>
      <c r="U252" s="456">
        <v>-3902.17</v>
      </c>
      <c r="V252" s="458"/>
      <c r="W252" s="458">
        <v>-53443.17</v>
      </c>
      <c r="X252" s="462">
        <v>62</v>
      </c>
      <c r="Y252" s="463">
        <v>0.75</v>
      </c>
      <c r="Z252" s="464">
        <v>530</v>
      </c>
      <c r="AA252" s="527"/>
      <c r="AB252" s="469"/>
      <c r="AC252" s="307">
        <f>AB252/VPI!R252</f>
        <v>0</v>
      </c>
      <c r="AD252" s="309">
        <f t="shared" si="14"/>
        <v>0</v>
      </c>
      <c r="AE252" s="307">
        <f>AD252/VPI!R252</f>
        <v>0</v>
      </c>
      <c r="AF252" s="469"/>
      <c r="AG252" s="469"/>
      <c r="AH252" s="469"/>
      <c r="AI252" s="534"/>
      <c r="AJ252" s="464"/>
      <c r="AK252" s="307">
        <f>AJ252/VPI!R252</f>
        <v>0</v>
      </c>
      <c r="AL252" s="309">
        <f t="shared" si="15"/>
        <v>0</v>
      </c>
      <c r="AM252" s="307">
        <f>AL252/VPI!R252</f>
        <v>0</v>
      </c>
      <c r="AN252" s="464"/>
      <c r="AO252" s="534"/>
      <c r="AP252" s="477">
        <v>33.514492584367609</v>
      </c>
      <c r="AR252" s="530">
        <v>0</v>
      </c>
    </row>
    <row r="253" spans="1:44" x14ac:dyDescent="0.25">
      <c r="A253" s="525">
        <v>5853</v>
      </c>
      <c r="B253" s="526" t="s">
        <v>17</v>
      </c>
      <c r="C253" s="454">
        <v>2164438.31</v>
      </c>
      <c r="D253" s="454">
        <v>465764.39</v>
      </c>
      <c r="E253" s="454"/>
      <c r="F253" s="455"/>
      <c r="G253" s="454">
        <v>92269.4</v>
      </c>
      <c r="H253" s="454">
        <v>1315.7</v>
      </c>
      <c r="I253" s="454">
        <v>250191.8</v>
      </c>
      <c r="J253" s="454">
        <v>58204.160000000003</v>
      </c>
      <c r="K253" s="454">
        <v>-3460.75</v>
      </c>
      <c r="L253" s="454">
        <v>231020.79999999999</v>
      </c>
      <c r="M253" s="344">
        <f t="shared" si="12"/>
        <v>3259743.81</v>
      </c>
      <c r="N253" s="458">
        <v>113758.2</v>
      </c>
      <c r="O253" s="458">
        <v>46.3</v>
      </c>
      <c r="P253" s="458">
        <v>57269.95</v>
      </c>
      <c r="Q253" s="458">
        <v>6017.2</v>
      </c>
      <c r="R253" s="458">
        <v>48912.4</v>
      </c>
      <c r="S253" s="454">
        <v>9086.8799999999992</v>
      </c>
      <c r="T253" s="344">
        <f t="shared" si="13"/>
        <v>3494834.74</v>
      </c>
      <c r="U253" s="456">
        <v>-77949.36</v>
      </c>
      <c r="V253" s="458"/>
      <c r="W253" s="458">
        <v>-2130.1999999999998</v>
      </c>
      <c r="X253" s="462">
        <v>71</v>
      </c>
      <c r="Y253" s="463">
        <v>1</v>
      </c>
      <c r="Z253" s="464">
        <v>825</v>
      </c>
      <c r="AA253" s="527"/>
      <c r="AB253" s="469">
        <v>50263</v>
      </c>
      <c r="AC253" s="307">
        <f>AB253/VPI!R253</f>
        <v>1.117036552068237</v>
      </c>
      <c r="AD253" s="309">
        <f t="shared" si="14"/>
        <v>166028</v>
      </c>
      <c r="AE253" s="307">
        <f>AD253/VPI!R253</f>
        <v>3.6897786575967464</v>
      </c>
      <c r="AF253" s="469">
        <v>216291</v>
      </c>
      <c r="AG253" s="469">
        <v>41051</v>
      </c>
      <c r="AH253" s="469">
        <v>74937</v>
      </c>
      <c r="AI253" s="534"/>
      <c r="AJ253" s="464"/>
      <c r="AK253" s="307">
        <f>AJ253/VPI!R253</f>
        <v>0</v>
      </c>
      <c r="AL253" s="309">
        <f t="shared" si="15"/>
        <v>82961</v>
      </c>
      <c r="AM253" s="307">
        <f>AL253/VPI!R253</f>
        <v>1.8437114656135332</v>
      </c>
      <c r="AN253" s="464">
        <v>82961</v>
      </c>
      <c r="AO253" s="534"/>
      <c r="AP253" s="477">
        <v>29.793746885469741</v>
      </c>
      <c r="AR253" s="530">
        <v>0</v>
      </c>
    </row>
    <row r="254" spans="1:44" x14ac:dyDescent="0.25">
      <c r="A254" s="525">
        <v>5854</v>
      </c>
      <c r="B254" s="526" t="s">
        <v>18</v>
      </c>
      <c r="C254" s="454">
        <v>937757.06</v>
      </c>
      <c r="D254" s="454">
        <v>194274.55</v>
      </c>
      <c r="E254" s="454"/>
      <c r="F254" s="455"/>
      <c r="G254" s="454">
        <v>23727.05</v>
      </c>
      <c r="H254" s="454">
        <v>1967.8</v>
      </c>
      <c r="I254" s="454"/>
      <c r="J254" s="454">
        <v>5845.31</v>
      </c>
      <c r="K254" s="454">
        <v>2086.9</v>
      </c>
      <c r="L254" s="454">
        <v>121207.1</v>
      </c>
      <c r="M254" s="344">
        <f t="shared" si="12"/>
        <v>1286865.7700000003</v>
      </c>
      <c r="N254" s="458">
        <v>13386.75</v>
      </c>
      <c r="O254" s="458">
        <v>92703.1</v>
      </c>
      <c r="P254" s="458">
        <v>21092</v>
      </c>
      <c r="Q254" s="458"/>
      <c r="R254" s="458">
        <v>34787.15</v>
      </c>
      <c r="S254" s="454">
        <v>2494.91</v>
      </c>
      <c r="T254" s="344">
        <f t="shared" si="13"/>
        <v>1451329.6800000002</v>
      </c>
      <c r="U254" s="456">
        <v>-769.08</v>
      </c>
      <c r="V254" s="458"/>
      <c r="W254" s="458">
        <v>-527.5</v>
      </c>
      <c r="X254" s="462">
        <v>75</v>
      </c>
      <c r="Y254" s="463">
        <v>1.5</v>
      </c>
      <c r="Z254" s="464">
        <v>401</v>
      </c>
      <c r="AA254" s="527"/>
      <c r="AB254" s="469"/>
      <c r="AC254" s="307">
        <f>AB254/VPI!R254</f>
        <v>0</v>
      </c>
      <c r="AD254" s="309">
        <f t="shared" si="14"/>
        <v>83885</v>
      </c>
      <c r="AE254" s="307">
        <f>AD254/VPI!R254</f>
        <v>5.0425326287691439</v>
      </c>
      <c r="AF254" s="469">
        <v>83885</v>
      </c>
      <c r="AG254" s="469">
        <v>14168</v>
      </c>
      <c r="AH254" s="469">
        <v>41287</v>
      </c>
      <c r="AI254" s="534"/>
      <c r="AJ254" s="464"/>
      <c r="AK254" s="307">
        <f>AJ254/VPI!R254</f>
        <v>0</v>
      </c>
      <c r="AL254" s="309">
        <f t="shared" si="15"/>
        <v>14052</v>
      </c>
      <c r="AM254" s="307">
        <f>AL254/VPI!R254</f>
        <v>0.84470010728335243</v>
      </c>
      <c r="AN254" s="464">
        <v>14052</v>
      </c>
      <c r="AO254" s="534"/>
      <c r="AP254" s="477">
        <v>22.674597737051663</v>
      </c>
      <c r="AR254" s="530">
        <v>0</v>
      </c>
    </row>
    <row r="255" spans="1:44" x14ac:dyDescent="0.25">
      <c r="A255" s="525">
        <v>5855</v>
      </c>
      <c r="B255" s="526" t="s">
        <v>19</v>
      </c>
      <c r="C255" s="454">
        <v>2028843.8</v>
      </c>
      <c r="D255" s="454">
        <v>1632979.46</v>
      </c>
      <c r="E255" s="454"/>
      <c r="F255" s="455"/>
      <c r="G255" s="454">
        <v>60071.9</v>
      </c>
      <c r="H255" s="454">
        <v>37836.85</v>
      </c>
      <c r="I255" s="454">
        <v>1048846.4099999999</v>
      </c>
      <c r="J255" s="454">
        <v>42497.71</v>
      </c>
      <c r="K255" s="454">
        <v>17249</v>
      </c>
      <c r="L255" s="454">
        <v>394439.2</v>
      </c>
      <c r="M255" s="344">
        <f t="shared" ref="M255:M305" si="16">SUM(C255:L255)</f>
        <v>5262764.33</v>
      </c>
      <c r="N255" s="458">
        <v>8003.75</v>
      </c>
      <c r="O255" s="458">
        <v>2079</v>
      </c>
      <c r="P255" s="458">
        <v>184267.25</v>
      </c>
      <c r="Q255" s="458">
        <v>87481.55</v>
      </c>
      <c r="R255" s="458">
        <v>-86462.45</v>
      </c>
      <c r="S255" s="454">
        <v>9400.14</v>
      </c>
      <c r="T255" s="344">
        <f t="shared" ref="T255:T305" si="17">SUM(M255:S255)</f>
        <v>5467533.5699999994</v>
      </c>
      <c r="U255" s="456">
        <v>-89974.71</v>
      </c>
      <c r="V255" s="458"/>
      <c r="W255" s="458">
        <v>-22853.72</v>
      </c>
      <c r="X255" s="462">
        <v>53</v>
      </c>
      <c r="Y255" s="463">
        <v>1</v>
      </c>
      <c r="Z255" s="464">
        <v>623</v>
      </c>
      <c r="AA255" s="527"/>
      <c r="AB255" s="469"/>
      <c r="AC255" s="307">
        <f>AB255/VPI!R255</f>
        <v>0</v>
      </c>
      <c r="AD255" s="309">
        <f t="shared" si="14"/>
        <v>0</v>
      </c>
      <c r="AE255" s="307">
        <f>AD255/VPI!R255</f>
        <v>0</v>
      </c>
      <c r="AF255" s="469"/>
      <c r="AG255" s="469"/>
      <c r="AH255" s="469"/>
      <c r="AI255" s="534"/>
      <c r="AJ255" s="464"/>
      <c r="AK255" s="307">
        <f>AJ255/VPI!R255</f>
        <v>0</v>
      </c>
      <c r="AL255" s="309">
        <f t="shared" si="15"/>
        <v>0</v>
      </c>
      <c r="AM255" s="307">
        <f>AL255/VPI!R255</f>
        <v>0</v>
      </c>
      <c r="AN255" s="464"/>
      <c r="AO255" s="534"/>
      <c r="AP255" s="477">
        <v>42.479337309579648</v>
      </c>
      <c r="AR255" s="530">
        <v>0</v>
      </c>
    </row>
    <row r="256" spans="1:44" x14ac:dyDescent="0.25">
      <c r="A256" s="525">
        <v>5856</v>
      </c>
      <c r="B256" s="526" t="s">
        <v>20</v>
      </c>
      <c r="C256" s="454">
        <v>1715533.42</v>
      </c>
      <c r="D256" s="454">
        <v>260136.68</v>
      </c>
      <c r="E256" s="454"/>
      <c r="F256" s="455"/>
      <c r="G256" s="454">
        <v>1024.25</v>
      </c>
      <c r="H256" s="454">
        <v>1811.55</v>
      </c>
      <c r="I256" s="454">
        <v>230468.2</v>
      </c>
      <c r="J256" s="454">
        <v>21022.47</v>
      </c>
      <c r="K256" s="454">
        <v>2966.5</v>
      </c>
      <c r="L256" s="454">
        <v>268406.3</v>
      </c>
      <c r="M256" s="344">
        <f t="shared" si="16"/>
        <v>2501369.37</v>
      </c>
      <c r="N256" s="458">
        <v>1523.1</v>
      </c>
      <c r="O256" s="458">
        <v>7600.5</v>
      </c>
      <c r="P256" s="458">
        <v>41040.1</v>
      </c>
      <c r="Q256" s="458"/>
      <c r="R256" s="458">
        <v>245667.55</v>
      </c>
      <c r="S256" s="454">
        <v>275.35000000000002</v>
      </c>
      <c r="T256" s="344">
        <f t="shared" si="17"/>
        <v>2797475.97</v>
      </c>
      <c r="U256" s="456">
        <v>-776.45</v>
      </c>
      <c r="V256" s="458"/>
      <c r="W256" s="458">
        <v>-3138.3</v>
      </c>
      <c r="X256" s="462">
        <v>66.5</v>
      </c>
      <c r="Y256" s="463">
        <v>1.3</v>
      </c>
      <c r="Z256" s="464">
        <v>789</v>
      </c>
      <c r="AA256" s="527"/>
      <c r="AB256" s="469">
        <v>29572</v>
      </c>
      <c r="AC256" s="307">
        <f>AB256/VPI!R256</f>
        <v>0.8073511903350471</v>
      </c>
      <c r="AD256" s="309">
        <f t="shared" si="14"/>
        <v>161506</v>
      </c>
      <c r="AE256" s="307">
        <f>AD256/VPI!R256</f>
        <v>4.409308174836065</v>
      </c>
      <c r="AF256" s="469">
        <v>191078</v>
      </c>
      <c r="AG256" s="469">
        <v>26410</v>
      </c>
      <c r="AH256" s="469">
        <v>45988</v>
      </c>
      <c r="AI256" s="534"/>
      <c r="AJ256" s="464">
        <v>8367</v>
      </c>
      <c r="AK256" s="307">
        <f>AJ256/VPI!R256</f>
        <v>0.22842916980702485</v>
      </c>
      <c r="AL256" s="309">
        <f t="shared" si="15"/>
        <v>18606</v>
      </c>
      <c r="AM256" s="307">
        <f>AL256/VPI!R256</f>
        <v>0.50796619259346298</v>
      </c>
      <c r="AN256" s="464">
        <v>26973</v>
      </c>
      <c r="AO256" s="534"/>
      <c r="AP256" s="477">
        <v>28.94690425984232</v>
      </c>
      <c r="AR256" s="530">
        <v>0</v>
      </c>
    </row>
    <row r="257" spans="1:44" x14ac:dyDescent="0.25">
      <c r="A257" s="525">
        <v>5857</v>
      </c>
      <c r="B257" s="526" t="s">
        <v>21</v>
      </c>
      <c r="C257" s="454">
        <v>4760998.05</v>
      </c>
      <c r="D257" s="454">
        <v>929669.16</v>
      </c>
      <c r="E257" s="454"/>
      <c r="F257" s="455"/>
      <c r="G257" s="454">
        <v>30302.7</v>
      </c>
      <c r="H257" s="454">
        <v>-1384.6</v>
      </c>
      <c r="I257" s="454"/>
      <c r="J257" s="454">
        <v>81915.14</v>
      </c>
      <c r="K257" s="454">
        <v>21380.05</v>
      </c>
      <c r="L257" s="454">
        <v>429328.85</v>
      </c>
      <c r="M257" s="344">
        <f t="shared" si="16"/>
        <v>6252209.3499999996</v>
      </c>
      <c r="N257" s="458">
        <v>87820.800000000003</v>
      </c>
      <c r="O257" s="458"/>
      <c r="P257" s="458">
        <v>112919.1</v>
      </c>
      <c r="Q257" s="458">
        <v>285.89999999999998</v>
      </c>
      <c r="R257" s="458">
        <v>308619.05</v>
      </c>
      <c r="S257" s="454">
        <v>2807.88</v>
      </c>
      <c r="T257" s="344">
        <f t="shared" si="17"/>
        <v>6764662.0799999991</v>
      </c>
      <c r="U257" s="456">
        <v>-16103.92</v>
      </c>
      <c r="V257" s="458"/>
      <c r="W257" s="458">
        <v>-3419.6</v>
      </c>
      <c r="X257" s="462">
        <v>64.5</v>
      </c>
      <c r="Y257" s="463">
        <v>1</v>
      </c>
      <c r="Z257" s="464">
        <v>1441</v>
      </c>
      <c r="AA257" s="527"/>
      <c r="AB257" s="469"/>
      <c r="AC257" s="307">
        <f>AB257/VPI!R257</f>
        <v>0</v>
      </c>
      <c r="AD257" s="309">
        <f t="shared" si="14"/>
        <v>0</v>
      </c>
      <c r="AE257" s="307">
        <f>AD257/VPI!R257</f>
        <v>0</v>
      </c>
      <c r="AF257" s="469"/>
      <c r="AG257" s="469"/>
      <c r="AH257" s="469"/>
      <c r="AI257" s="534"/>
      <c r="AJ257" s="464"/>
      <c r="AK257" s="307">
        <f>AJ257/VPI!R257</f>
        <v>0</v>
      </c>
      <c r="AL257" s="309">
        <f t="shared" si="15"/>
        <v>0</v>
      </c>
      <c r="AM257" s="307">
        <f>AL257/VPI!R257</f>
        <v>0</v>
      </c>
      <c r="AN257" s="464"/>
      <c r="AO257" s="534"/>
      <c r="AP257" s="477">
        <v>30.63817110441822</v>
      </c>
      <c r="AR257" s="530">
        <v>0</v>
      </c>
    </row>
    <row r="258" spans="1:44" x14ac:dyDescent="0.25">
      <c r="A258" s="525">
        <v>5858</v>
      </c>
      <c r="B258" s="526" t="s">
        <v>22</v>
      </c>
      <c r="C258" s="454">
        <v>1737548.99</v>
      </c>
      <c r="D258" s="454">
        <v>364600.08</v>
      </c>
      <c r="E258" s="454"/>
      <c r="F258" s="455"/>
      <c r="G258" s="454">
        <v>14135.95</v>
      </c>
      <c r="H258" s="454">
        <v>1454.6</v>
      </c>
      <c r="I258" s="454">
        <v>98270.3</v>
      </c>
      <c r="J258" s="454">
        <v>54504.56</v>
      </c>
      <c r="K258" s="454">
        <v>1298.4000000000001</v>
      </c>
      <c r="L258" s="454">
        <v>254656.15</v>
      </c>
      <c r="M258" s="344">
        <f t="shared" si="16"/>
        <v>2526469.0299999998</v>
      </c>
      <c r="N258" s="458">
        <v>7004.8</v>
      </c>
      <c r="O258" s="458">
        <v>1253.7</v>
      </c>
      <c r="P258" s="458">
        <v>27031.45</v>
      </c>
      <c r="Q258" s="458">
        <v>9306.7000000000007</v>
      </c>
      <c r="R258" s="458">
        <v>43800.35</v>
      </c>
      <c r="S258" s="454">
        <v>1513.8</v>
      </c>
      <c r="T258" s="344">
        <f t="shared" si="17"/>
        <v>2616379.83</v>
      </c>
      <c r="U258" s="456">
        <v>-39924</v>
      </c>
      <c r="V258" s="458"/>
      <c r="W258" s="458">
        <v>-2098.9499999999998</v>
      </c>
      <c r="X258" s="462">
        <v>58.5</v>
      </c>
      <c r="Y258" s="463">
        <v>1.5</v>
      </c>
      <c r="Z258" s="464">
        <v>637</v>
      </c>
      <c r="AA258" s="527"/>
      <c r="AB258" s="469"/>
      <c r="AC258" s="307">
        <f>AB258/VPI!R258</f>
        <v>0</v>
      </c>
      <c r="AD258" s="309">
        <f t="shared" si="14"/>
        <v>0</v>
      </c>
      <c r="AE258" s="307">
        <f>AD258/VPI!R258</f>
        <v>0</v>
      </c>
      <c r="AF258" s="469"/>
      <c r="AG258" s="469"/>
      <c r="AH258" s="469"/>
      <c r="AI258" s="534"/>
      <c r="AJ258" s="464"/>
      <c r="AK258" s="307">
        <f>AJ258/VPI!R258</f>
        <v>0</v>
      </c>
      <c r="AL258" s="309">
        <f t="shared" si="15"/>
        <v>0</v>
      </c>
      <c r="AM258" s="307">
        <f>AL258/VPI!R258</f>
        <v>0</v>
      </c>
      <c r="AN258" s="464"/>
      <c r="AO258" s="534"/>
      <c r="AP258" s="477">
        <v>29.519886591965694</v>
      </c>
      <c r="AR258" s="530">
        <v>0</v>
      </c>
    </row>
    <row r="259" spans="1:44" x14ac:dyDescent="0.25">
      <c r="A259" s="525">
        <v>5859</v>
      </c>
      <c r="B259" s="526" t="s">
        <v>23</v>
      </c>
      <c r="C259" s="454">
        <v>7853278.9800000004</v>
      </c>
      <c r="D259" s="454">
        <v>1888691.68</v>
      </c>
      <c r="E259" s="454"/>
      <c r="F259" s="455"/>
      <c r="G259" s="454">
        <v>107437.15</v>
      </c>
      <c r="H259" s="454">
        <v>43125.3</v>
      </c>
      <c r="I259" s="454">
        <v>387934.9</v>
      </c>
      <c r="J259" s="454">
        <v>131610.04999999999</v>
      </c>
      <c r="K259" s="454">
        <v>27593.8</v>
      </c>
      <c r="L259" s="454">
        <v>720732.65</v>
      </c>
      <c r="M259" s="344">
        <f t="shared" si="16"/>
        <v>11160404.510000004</v>
      </c>
      <c r="N259" s="458">
        <v>86160.35</v>
      </c>
      <c r="O259" s="458">
        <v>604304.19999999995</v>
      </c>
      <c r="P259" s="458">
        <v>255934.25</v>
      </c>
      <c r="Q259" s="458">
        <v>212.81</v>
      </c>
      <c r="R259" s="458">
        <v>304991.90000000002</v>
      </c>
      <c r="S259" s="454">
        <v>14616.94</v>
      </c>
      <c r="T259" s="344">
        <f t="shared" si="17"/>
        <v>12426624.960000003</v>
      </c>
      <c r="U259" s="456">
        <v>-29708.12</v>
      </c>
      <c r="V259" s="458"/>
      <c r="W259" s="458">
        <v>-23361.11</v>
      </c>
      <c r="X259" s="462">
        <v>63.5</v>
      </c>
      <c r="Y259" s="463">
        <v>1</v>
      </c>
      <c r="Z259" s="464">
        <v>2749</v>
      </c>
      <c r="AA259" s="527"/>
      <c r="AB259" s="469">
        <v>125789</v>
      </c>
      <c r="AC259" s="307">
        <f>AB259/VPI!R259</f>
        <v>0.71816966197272802</v>
      </c>
      <c r="AD259" s="309">
        <f t="shared" si="14"/>
        <v>729940</v>
      </c>
      <c r="AE259" s="307">
        <f>AD259/VPI!R259</f>
        <v>4.1674610900823845</v>
      </c>
      <c r="AF259" s="469">
        <v>855729</v>
      </c>
      <c r="AG259" s="469">
        <v>143605</v>
      </c>
      <c r="AH259" s="469">
        <v>257615</v>
      </c>
      <c r="AI259" s="534"/>
      <c r="AJ259" s="464"/>
      <c r="AK259" s="307">
        <f>AJ259/VPI!R259</f>
        <v>0</v>
      </c>
      <c r="AL259" s="309">
        <f t="shared" si="15"/>
        <v>0</v>
      </c>
      <c r="AM259" s="307">
        <f>AL259/VPI!R259</f>
        <v>0</v>
      </c>
      <c r="AN259" s="464"/>
      <c r="AO259" s="534"/>
      <c r="AP259" s="477">
        <v>30.343150037512693</v>
      </c>
      <c r="AR259" s="530">
        <v>0</v>
      </c>
    </row>
    <row r="260" spans="1:44" x14ac:dyDescent="0.25">
      <c r="A260" s="525">
        <v>5860</v>
      </c>
      <c r="B260" s="526" t="s">
        <v>24</v>
      </c>
      <c r="C260" s="454">
        <v>4058518.73</v>
      </c>
      <c r="D260" s="454">
        <v>1420303.77</v>
      </c>
      <c r="E260" s="454"/>
      <c r="F260" s="455"/>
      <c r="G260" s="454">
        <v>116619.05</v>
      </c>
      <c r="H260" s="454">
        <v>19276.599999999999</v>
      </c>
      <c r="I260" s="454">
        <v>486682.68</v>
      </c>
      <c r="J260" s="454">
        <v>53184.35</v>
      </c>
      <c r="K260" s="454">
        <v>39295.9</v>
      </c>
      <c r="L260" s="454">
        <v>752269.35</v>
      </c>
      <c r="M260" s="344">
        <f t="shared" si="16"/>
        <v>6946150.4299999988</v>
      </c>
      <c r="N260" s="458">
        <v>40716.400000000001</v>
      </c>
      <c r="O260" s="458">
        <v>65771.399999999994</v>
      </c>
      <c r="P260" s="458">
        <v>253676</v>
      </c>
      <c r="Q260" s="458">
        <v>10718.56</v>
      </c>
      <c r="R260" s="458">
        <v>204006.2</v>
      </c>
      <c r="S260" s="454">
        <v>13195.13</v>
      </c>
      <c r="T260" s="344">
        <f t="shared" si="17"/>
        <v>7534234.1199999992</v>
      </c>
      <c r="U260" s="456">
        <v>-35574.550000000003</v>
      </c>
      <c r="V260" s="458"/>
      <c r="W260" s="458">
        <v>-43149.64</v>
      </c>
      <c r="X260" s="462">
        <v>58.5</v>
      </c>
      <c r="Y260" s="463">
        <v>1.3</v>
      </c>
      <c r="Z260" s="464">
        <v>1588</v>
      </c>
      <c r="AA260" s="527"/>
      <c r="AB260" s="469"/>
      <c r="AC260" s="307">
        <f>AB260/VPI!R260</f>
        <v>0</v>
      </c>
      <c r="AD260" s="309">
        <f t="shared" si="14"/>
        <v>0</v>
      </c>
      <c r="AE260" s="307">
        <f>AD260/VPI!R260</f>
        <v>0</v>
      </c>
      <c r="AF260" s="469"/>
      <c r="AG260" s="469"/>
      <c r="AH260" s="469"/>
      <c r="AI260" s="534"/>
      <c r="AJ260" s="464"/>
      <c r="AK260" s="307">
        <f>AJ260/VPI!R260</f>
        <v>0</v>
      </c>
      <c r="AL260" s="309">
        <f t="shared" si="15"/>
        <v>0</v>
      </c>
      <c r="AM260" s="307">
        <f>AL260/VPI!R260</f>
        <v>0</v>
      </c>
      <c r="AN260" s="464"/>
      <c r="AO260" s="534"/>
      <c r="AP260" s="477">
        <v>32.385568958778187</v>
      </c>
      <c r="AR260" s="530">
        <v>0</v>
      </c>
    </row>
    <row r="261" spans="1:44" x14ac:dyDescent="0.25">
      <c r="A261" s="525">
        <v>5861</v>
      </c>
      <c r="B261" s="526" t="s">
        <v>25</v>
      </c>
      <c r="C261" s="454">
        <v>14083487.310000001</v>
      </c>
      <c r="D261" s="454">
        <v>3154304.21</v>
      </c>
      <c r="E261" s="454"/>
      <c r="F261" s="455"/>
      <c r="G261" s="454">
        <v>31354428.25</v>
      </c>
      <c r="H261" s="454">
        <v>4324456.8499999996</v>
      </c>
      <c r="I261" s="454">
        <v>318902.87</v>
      </c>
      <c r="J261" s="454">
        <v>861848.21</v>
      </c>
      <c r="K261" s="454">
        <v>365876.25</v>
      </c>
      <c r="L261" s="454">
        <v>1992797.5</v>
      </c>
      <c r="M261" s="344">
        <f t="shared" si="16"/>
        <v>56456101.449999996</v>
      </c>
      <c r="N261" s="458">
        <v>582526.80000000005</v>
      </c>
      <c r="O261" s="458">
        <v>652923.4</v>
      </c>
      <c r="P261" s="458">
        <v>865992.15</v>
      </c>
      <c r="Q261" s="458">
        <v>62233.17</v>
      </c>
      <c r="R261" s="458">
        <v>984624.25</v>
      </c>
      <c r="S261" s="454">
        <v>3458136.85</v>
      </c>
      <c r="T261" s="344">
        <f t="shared" si="17"/>
        <v>63062538.069999993</v>
      </c>
      <c r="U261" s="456">
        <v>-247662.71</v>
      </c>
      <c r="V261" s="458"/>
      <c r="W261" s="458">
        <v>-131720.28</v>
      </c>
      <c r="X261" s="462">
        <v>59.5</v>
      </c>
      <c r="Y261" s="463">
        <v>1</v>
      </c>
      <c r="Z261" s="464">
        <v>6537</v>
      </c>
      <c r="AA261" s="527"/>
      <c r="AB261" s="469"/>
      <c r="AC261" s="307">
        <f>AB261/VPI!R261</f>
        <v>0</v>
      </c>
      <c r="AD261" s="309">
        <f t="shared" si="14"/>
        <v>0</v>
      </c>
      <c r="AE261" s="307">
        <f>AD261/VPI!R261</f>
        <v>0</v>
      </c>
      <c r="AF261" s="469"/>
      <c r="AG261" s="469"/>
      <c r="AH261" s="469"/>
      <c r="AI261" s="534"/>
      <c r="AJ261" s="464"/>
      <c r="AK261" s="307">
        <f>AJ261/VPI!R261</f>
        <v>0</v>
      </c>
      <c r="AL261" s="309">
        <f t="shared" si="15"/>
        <v>0</v>
      </c>
      <c r="AM261" s="307">
        <f>AL261/VPI!R261</f>
        <v>0</v>
      </c>
      <c r="AN261" s="464"/>
      <c r="AO261" s="534"/>
      <c r="AP261" s="477">
        <v>45.613755831086095</v>
      </c>
      <c r="AR261" s="530">
        <v>0</v>
      </c>
    </row>
    <row r="262" spans="1:44" x14ac:dyDescent="0.25">
      <c r="A262" s="525">
        <v>5862</v>
      </c>
      <c r="B262" s="526" t="s">
        <v>26</v>
      </c>
      <c r="C262" s="454">
        <v>766026.35</v>
      </c>
      <c r="D262" s="454">
        <v>68695.77</v>
      </c>
      <c r="E262" s="454"/>
      <c r="F262" s="455"/>
      <c r="G262" s="454">
        <v>5715.05</v>
      </c>
      <c r="H262" s="454">
        <v>1375.9</v>
      </c>
      <c r="I262" s="454"/>
      <c r="J262" s="454">
        <v>84722.65</v>
      </c>
      <c r="K262" s="454">
        <v>3988.35</v>
      </c>
      <c r="L262" s="454">
        <v>50741</v>
      </c>
      <c r="M262" s="344">
        <f t="shared" si="16"/>
        <v>981265.07000000007</v>
      </c>
      <c r="N262" s="458">
        <v>10598.85</v>
      </c>
      <c r="O262" s="458">
        <v>2188.6</v>
      </c>
      <c r="P262" s="458">
        <v>25465</v>
      </c>
      <c r="Q262" s="458"/>
      <c r="R262" s="458"/>
      <c r="S262" s="454">
        <v>688.51</v>
      </c>
      <c r="T262" s="344">
        <f t="shared" si="17"/>
        <v>1020206.03</v>
      </c>
      <c r="U262" s="456">
        <v>-4001.47</v>
      </c>
      <c r="V262" s="458"/>
      <c r="W262" s="458">
        <v>-68.75</v>
      </c>
      <c r="X262" s="462">
        <v>79</v>
      </c>
      <c r="Y262" s="463">
        <v>1</v>
      </c>
      <c r="Z262" s="464">
        <v>238</v>
      </c>
      <c r="AA262" s="527"/>
      <c r="AB262" s="469"/>
      <c r="AC262" s="307">
        <f>AB262/VPI!R262</f>
        <v>0</v>
      </c>
      <c r="AD262" s="309">
        <f t="shared" si="14"/>
        <v>0</v>
      </c>
      <c r="AE262" s="307">
        <f>AD262/VPI!R262</f>
        <v>0</v>
      </c>
      <c r="AF262" s="469"/>
      <c r="AG262" s="469"/>
      <c r="AH262" s="469"/>
      <c r="AI262" s="534"/>
      <c r="AJ262" s="464"/>
      <c r="AK262" s="307">
        <f>AJ262/VPI!R262</f>
        <v>0</v>
      </c>
      <c r="AL262" s="309">
        <f t="shared" si="15"/>
        <v>0</v>
      </c>
      <c r="AM262" s="307">
        <f>AL262/VPI!R262</f>
        <v>0</v>
      </c>
      <c r="AN262" s="464"/>
      <c r="AO262" s="534"/>
      <c r="AP262" s="477">
        <v>25.763741464949128</v>
      </c>
      <c r="AR262" s="530">
        <v>0</v>
      </c>
    </row>
    <row r="263" spans="1:44" x14ac:dyDescent="0.25">
      <c r="A263" s="525">
        <v>5863</v>
      </c>
      <c r="B263" s="526" t="s">
        <v>27</v>
      </c>
      <c r="C263" s="454">
        <v>945366.33</v>
      </c>
      <c r="D263" s="454">
        <v>211355.49</v>
      </c>
      <c r="F263" s="455"/>
      <c r="G263" s="454">
        <v>18436.849999999999</v>
      </c>
      <c r="H263" s="454">
        <v>9984.6</v>
      </c>
      <c r="I263" s="454">
        <v>30606.55</v>
      </c>
      <c r="J263" s="454">
        <v>-8185.81</v>
      </c>
      <c r="K263" s="454">
        <v>2397.9</v>
      </c>
      <c r="L263" s="454">
        <v>98899.1</v>
      </c>
      <c r="M263" s="344">
        <f t="shared" si="16"/>
        <v>1308861.01</v>
      </c>
      <c r="N263" s="458">
        <v>20613.25</v>
      </c>
      <c r="O263" s="458">
        <v>11179.1</v>
      </c>
      <c r="P263" s="458">
        <v>32442.6</v>
      </c>
      <c r="Q263" s="458"/>
      <c r="R263" s="458">
        <v>59564.15</v>
      </c>
      <c r="S263" s="454">
        <v>2759.65</v>
      </c>
      <c r="T263" s="344">
        <f t="shared" si="17"/>
        <v>1435419.76</v>
      </c>
      <c r="U263" s="456">
        <v>-3587.75</v>
      </c>
      <c r="V263" s="458"/>
      <c r="W263" s="458">
        <v>-263.85000000000002</v>
      </c>
      <c r="X263" s="462">
        <v>65</v>
      </c>
      <c r="Y263" s="463">
        <v>1</v>
      </c>
      <c r="Z263" s="464">
        <v>387</v>
      </c>
      <c r="AA263" s="527"/>
      <c r="AB263" s="469"/>
      <c r="AC263" s="307">
        <f>AB263/VPI!R263</f>
        <v>0</v>
      </c>
      <c r="AD263" s="309">
        <f t="shared" ref="AD263:AD305" si="18">AF263-AB263</f>
        <v>0</v>
      </c>
      <c r="AE263" s="307">
        <f>AD263/VPI!R263</f>
        <v>0</v>
      </c>
      <c r="AF263" s="469"/>
      <c r="AG263" s="469"/>
      <c r="AH263" s="469"/>
      <c r="AI263" s="534"/>
      <c r="AJ263" s="464"/>
      <c r="AK263" s="307">
        <f>AJ263/VPI!R263</f>
        <v>0</v>
      </c>
      <c r="AL263" s="309">
        <f t="shared" ref="AL263:AL305" si="19">+AN263-AJ263</f>
        <v>0</v>
      </c>
      <c r="AM263" s="307">
        <f>AL263/VPI!R263</f>
        <v>0</v>
      </c>
      <c r="AN263" s="464"/>
      <c r="AO263" s="534"/>
      <c r="AP263" s="477">
        <v>30.718581988708877</v>
      </c>
      <c r="AR263" s="530">
        <v>0</v>
      </c>
    </row>
    <row r="264" spans="1:44" x14ac:dyDescent="0.25">
      <c r="A264" s="525">
        <v>5871</v>
      </c>
      <c r="B264" s="526" t="s">
        <v>28</v>
      </c>
      <c r="C264" s="454">
        <v>2902899.13</v>
      </c>
      <c r="D264" s="454">
        <v>529582.56999999995</v>
      </c>
      <c r="F264" s="455"/>
      <c r="G264" s="454">
        <v>86833.7</v>
      </c>
      <c r="H264" s="456">
        <v>24856.5</v>
      </c>
      <c r="I264" s="454"/>
      <c r="J264" s="454">
        <v>14949.35</v>
      </c>
      <c r="K264" s="454">
        <v>5558.2</v>
      </c>
      <c r="L264" s="454">
        <v>309187.90000000002</v>
      </c>
      <c r="M264" s="344">
        <f t="shared" si="16"/>
        <v>3873867.35</v>
      </c>
      <c r="N264" s="458">
        <v>701183.25</v>
      </c>
      <c r="O264" s="458">
        <v>54676.3</v>
      </c>
      <c r="P264" s="458">
        <v>127553.3</v>
      </c>
      <c r="Q264" s="458">
        <v>1806.78</v>
      </c>
      <c r="R264" s="458">
        <v>113006.95</v>
      </c>
      <c r="S264" s="454">
        <v>10844.84</v>
      </c>
      <c r="T264" s="344">
        <f t="shared" si="17"/>
        <v>4882938.7699999996</v>
      </c>
      <c r="U264" s="456">
        <v>-15203.46</v>
      </c>
      <c r="V264" s="458"/>
      <c r="W264" s="458">
        <v>-235.65</v>
      </c>
      <c r="X264" s="593">
        <v>77.209999999999994</v>
      </c>
      <c r="Y264" s="463">
        <v>1</v>
      </c>
      <c r="Z264" s="464">
        <v>1538</v>
      </c>
      <c r="AA264" s="527"/>
      <c r="AB264" s="469">
        <v>153373</v>
      </c>
      <c r="AC264" s="307">
        <f>AB264/VPI!R264</f>
        <v>3.0590764743355097</v>
      </c>
      <c r="AD264" s="309">
        <f t="shared" si="18"/>
        <v>213934</v>
      </c>
      <c r="AE264" s="307">
        <f>AD264/VPI!R264</f>
        <v>4.2669861478910436</v>
      </c>
      <c r="AF264" s="469">
        <v>367307</v>
      </c>
      <c r="AG264" s="469">
        <v>189539</v>
      </c>
      <c r="AH264" s="469">
        <v>205509</v>
      </c>
      <c r="AI264" s="534"/>
      <c r="AJ264" s="464"/>
      <c r="AK264" s="307">
        <f>AJ264/VPI!R264</f>
        <v>0</v>
      </c>
      <c r="AL264" s="309">
        <f t="shared" si="19"/>
        <v>-68594</v>
      </c>
      <c r="AM264" s="307">
        <f>AL264/VPI!R264</f>
        <v>-1.3681305815271916</v>
      </c>
      <c r="AN264" s="464">
        <v>-68594</v>
      </c>
      <c r="AO264" s="534"/>
      <c r="AP264" s="477">
        <v>12.22533550511854</v>
      </c>
      <c r="AR264" s="530">
        <v>0</v>
      </c>
    </row>
    <row r="265" spans="1:44" x14ac:dyDescent="0.25">
      <c r="A265" s="525">
        <v>5872</v>
      </c>
      <c r="B265" s="526" t="s">
        <v>184</v>
      </c>
      <c r="C265" s="454">
        <v>7145636.9699999997</v>
      </c>
      <c r="D265" s="454">
        <v>1052446.1000000001</v>
      </c>
      <c r="F265" s="455"/>
      <c r="G265" s="454">
        <v>12601022.9</v>
      </c>
      <c r="H265" s="454">
        <v>373460.25</v>
      </c>
      <c r="I265" s="454"/>
      <c r="J265" s="454">
        <v>623089.13</v>
      </c>
      <c r="K265" s="454">
        <v>18107</v>
      </c>
      <c r="L265" s="454">
        <v>860230.35</v>
      </c>
      <c r="M265" s="344">
        <f t="shared" si="16"/>
        <v>22673992.699999999</v>
      </c>
      <c r="N265" s="458">
        <v>6670500.4500000002</v>
      </c>
      <c r="O265" s="458">
        <v>295038.7</v>
      </c>
      <c r="P265" s="458">
        <v>420682.25</v>
      </c>
      <c r="Q265" s="458">
        <v>46879.89</v>
      </c>
      <c r="R265" s="458">
        <v>178632.2</v>
      </c>
      <c r="S265" s="454">
        <v>1259782.73</v>
      </c>
      <c r="T265" s="344">
        <f t="shared" si="17"/>
        <v>31545508.919999998</v>
      </c>
      <c r="U265" s="456">
        <v>-127250.74</v>
      </c>
      <c r="V265" s="458"/>
      <c r="W265" s="458">
        <v>-2458.8200000000002</v>
      </c>
      <c r="X265" s="593">
        <v>66.33</v>
      </c>
      <c r="Y265" s="463">
        <v>1</v>
      </c>
      <c r="Z265" s="464">
        <v>4760</v>
      </c>
      <c r="AA265" s="527"/>
      <c r="AB265" s="469">
        <v>494352</v>
      </c>
      <c r="AC265" s="307">
        <f>AB265/VPI!R265</f>
        <v>1.3748036866107061</v>
      </c>
      <c r="AD265" s="309">
        <f t="shared" si="18"/>
        <v>1400305</v>
      </c>
      <c r="AE265" s="307">
        <f>AD265/VPI!R265</f>
        <v>3.8942787252391109</v>
      </c>
      <c r="AF265" s="469">
        <v>1894657</v>
      </c>
      <c r="AG265" s="469">
        <v>582209</v>
      </c>
      <c r="AH265" s="469">
        <v>612378</v>
      </c>
      <c r="AI265" s="534"/>
      <c r="AJ265" s="464"/>
      <c r="AK265" s="307">
        <f>AJ265/VPI!R265</f>
        <v>0</v>
      </c>
      <c r="AL265" s="309">
        <f t="shared" si="19"/>
        <v>442586</v>
      </c>
      <c r="AM265" s="307">
        <f>AL265/VPI!R265</f>
        <v>1.2308413123488648</v>
      </c>
      <c r="AN265" s="464">
        <v>442586</v>
      </c>
      <c r="AO265" s="534"/>
      <c r="AP265" s="477">
        <v>29.574215192051643</v>
      </c>
      <c r="AR265" s="530">
        <v>0</v>
      </c>
    </row>
    <row r="266" spans="1:44" x14ac:dyDescent="0.25">
      <c r="A266" s="525">
        <v>5873</v>
      </c>
      <c r="B266" s="526" t="s">
        <v>185</v>
      </c>
      <c r="C266" s="454">
        <v>1504828.82</v>
      </c>
      <c r="D266" s="454">
        <v>390357.83</v>
      </c>
      <c r="F266" s="455"/>
      <c r="G266" s="457">
        <v>102136.9</v>
      </c>
      <c r="H266" s="456">
        <v>12379.25</v>
      </c>
      <c r="I266" s="454"/>
      <c r="J266" s="454">
        <v>60518.12</v>
      </c>
      <c r="K266" s="454"/>
      <c r="L266" s="454">
        <v>124940</v>
      </c>
      <c r="M266" s="344">
        <f t="shared" si="16"/>
        <v>2195160.92</v>
      </c>
      <c r="N266" s="458">
        <v>1193711.25</v>
      </c>
      <c r="O266" s="458"/>
      <c r="P266" s="458">
        <v>81280.75</v>
      </c>
      <c r="Q266" s="458">
        <v>4511.55</v>
      </c>
      <c r="R266" s="458">
        <v>106598.7</v>
      </c>
      <c r="S266" s="454">
        <v>11119.23</v>
      </c>
      <c r="T266" s="344">
        <f t="shared" si="17"/>
        <v>3592382.4</v>
      </c>
      <c r="U266" s="456">
        <v>-33153.089999999997</v>
      </c>
      <c r="V266" s="458"/>
      <c r="W266" s="458">
        <v>-336.93</v>
      </c>
      <c r="X266" s="593">
        <v>70</v>
      </c>
      <c r="Y266" s="463">
        <v>0.8</v>
      </c>
      <c r="Z266" s="464">
        <v>925</v>
      </c>
      <c r="AA266" s="527"/>
      <c r="AB266" s="469">
        <v>47162</v>
      </c>
      <c r="AC266" s="307">
        <f>AB266/VPI!R266</f>
        <v>1.4948087708464048</v>
      </c>
      <c r="AD266" s="309">
        <f t="shared" si="18"/>
        <v>1680081</v>
      </c>
      <c r="AE266" s="307">
        <f>AD266/VPI!R266</f>
        <v>53.250494349951204</v>
      </c>
      <c r="AF266" s="469">
        <v>1727243</v>
      </c>
      <c r="AG266" s="469">
        <v>121201</v>
      </c>
      <c r="AH266" s="469">
        <v>117536</v>
      </c>
      <c r="AI266" s="534"/>
      <c r="AJ266" s="464"/>
      <c r="AK266" s="307">
        <f>AJ266/VPI!R266</f>
        <v>0</v>
      </c>
      <c r="AL266" s="309">
        <f t="shared" si="19"/>
        <v>561777</v>
      </c>
      <c r="AM266" s="307">
        <f>AL266/VPI!R266</f>
        <v>17.805631373982884</v>
      </c>
      <c r="AN266" s="464">
        <v>561777</v>
      </c>
      <c r="AO266" s="534"/>
      <c r="AP266" s="477">
        <v>19.149873301566057</v>
      </c>
      <c r="AR266" s="530">
        <v>0</v>
      </c>
    </row>
    <row r="267" spans="1:44" x14ac:dyDescent="0.25">
      <c r="A267" s="525">
        <v>5882</v>
      </c>
      <c r="B267" s="526" t="s">
        <v>186</v>
      </c>
      <c r="C267" s="454">
        <v>9442301.5199999996</v>
      </c>
      <c r="D267" s="454">
        <v>2157573.62</v>
      </c>
      <c r="E267" s="454"/>
      <c r="F267" s="455"/>
      <c r="G267" s="454">
        <v>136934.15</v>
      </c>
      <c r="H267" s="454">
        <v>23224.7</v>
      </c>
      <c r="I267" s="454">
        <v>513516.3</v>
      </c>
      <c r="J267" s="454">
        <v>427364.26</v>
      </c>
      <c r="K267" s="454">
        <v>100248.65</v>
      </c>
      <c r="L267" s="454">
        <v>1103305.68</v>
      </c>
      <c r="M267" s="344">
        <f t="shared" si="16"/>
        <v>13904468.880000001</v>
      </c>
      <c r="N267" s="458">
        <v>17427</v>
      </c>
      <c r="O267" s="458">
        <v>242082.1</v>
      </c>
      <c r="P267" s="458">
        <v>611176.55000000005</v>
      </c>
      <c r="Q267" s="458">
        <v>18746.75</v>
      </c>
      <c r="R267" s="458">
        <v>486509.2</v>
      </c>
      <c r="S267" s="454">
        <v>15550.78</v>
      </c>
      <c r="T267" s="344">
        <f t="shared" si="17"/>
        <v>15295961.26</v>
      </c>
      <c r="U267" s="456">
        <v>-174751.69</v>
      </c>
      <c r="V267" s="458"/>
      <c r="W267" s="458">
        <v>-24583.07</v>
      </c>
      <c r="X267" s="462">
        <v>68</v>
      </c>
      <c r="Y267" s="463">
        <v>1</v>
      </c>
      <c r="Z267" s="464">
        <v>3340</v>
      </c>
      <c r="AA267" s="527"/>
      <c r="AB267" s="469">
        <v>219237</v>
      </c>
      <c r="AC267" s="307">
        <f>AB267/VPI!R267</f>
        <v>1.0850606036531356</v>
      </c>
      <c r="AD267" s="309">
        <f t="shared" si="18"/>
        <v>1149858</v>
      </c>
      <c r="AE267" s="307">
        <f>AD267/VPI!R267</f>
        <v>5.6909445741156253</v>
      </c>
      <c r="AF267" s="469">
        <v>1369095</v>
      </c>
      <c r="AG267" s="469">
        <v>397431</v>
      </c>
      <c r="AH267" s="469">
        <v>255345</v>
      </c>
      <c r="AI267" s="534"/>
      <c r="AJ267" s="464"/>
      <c r="AK267" s="307">
        <f>AJ267/VPI!R267</f>
        <v>0</v>
      </c>
      <c r="AL267" s="309">
        <f t="shared" si="19"/>
        <v>-12187</v>
      </c>
      <c r="AM267" s="307">
        <f>AL267/VPI!R267</f>
        <v>-6.0316614333897858E-2</v>
      </c>
      <c r="AN267" s="464">
        <v>-12187</v>
      </c>
      <c r="AO267" s="534"/>
      <c r="AP267" s="477">
        <v>27.760479864917293</v>
      </c>
      <c r="AR267" s="530">
        <v>1</v>
      </c>
    </row>
    <row r="268" spans="1:44" x14ac:dyDescent="0.25">
      <c r="A268" s="525">
        <v>5883</v>
      </c>
      <c r="B268" s="526" t="s">
        <v>187</v>
      </c>
      <c r="C268" s="454">
        <v>9382129.2799999993</v>
      </c>
      <c r="D268" s="454">
        <v>1889621.6</v>
      </c>
      <c r="E268" s="454"/>
      <c r="F268" s="455"/>
      <c r="G268" s="454">
        <v>98655.1</v>
      </c>
      <c r="H268" s="454">
        <v>23727.95</v>
      </c>
      <c r="I268" s="454">
        <v>501781</v>
      </c>
      <c r="J268" s="454">
        <v>45201.57</v>
      </c>
      <c r="K268" s="454">
        <v>21064</v>
      </c>
      <c r="L268" s="454">
        <v>751675.35</v>
      </c>
      <c r="M268" s="344">
        <f t="shared" si="16"/>
        <v>12713855.849999998</v>
      </c>
      <c r="N268" s="458">
        <v>6678.2</v>
      </c>
      <c r="O268" s="458">
        <v>295572.2</v>
      </c>
      <c r="P268" s="458">
        <v>371486.85</v>
      </c>
      <c r="Q268" s="458">
        <v>33806.85</v>
      </c>
      <c r="R268" s="458">
        <v>335581.5</v>
      </c>
      <c r="S268" s="454">
        <v>11883.09</v>
      </c>
      <c r="T268" s="344">
        <f t="shared" si="17"/>
        <v>13768864.539999995</v>
      </c>
      <c r="U268" s="456">
        <v>-55635.17</v>
      </c>
      <c r="V268" s="458"/>
      <c r="W268" s="458">
        <v>-30888.5</v>
      </c>
      <c r="X268" s="462">
        <v>67.5</v>
      </c>
      <c r="Y268" s="463">
        <v>1</v>
      </c>
      <c r="Z268" s="464">
        <v>2322</v>
      </c>
      <c r="AA268" s="527"/>
      <c r="AB268" s="469">
        <v>329993</v>
      </c>
      <c r="AC268" s="307">
        <f>AB268/VPI!R268</f>
        <v>1.7576334428429137</v>
      </c>
      <c r="AD268" s="309">
        <f t="shared" si="18"/>
        <v>306040</v>
      </c>
      <c r="AE268" s="307">
        <f>AD268/VPI!R268</f>
        <v>1.630053179454247</v>
      </c>
      <c r="AF268" s="469">
        <v>636033</v>
      </c>
      <c r="AG268" s="469">
        <v>577991</v>
      </c>
      <c r="AH268" s="469">
        <v>187765</v>
      </c>
      <c r="AI268" s="534"/>
      <c r="AJ268" s="464"/>
      <c r="AK268" s="307">
        <f>AJ268/VPI!R268</f>
        <v>0</v>
      </c>
      <c r="AL268" s="309">
        <f t="shared" si="19"/>
        <v>1628</v>
      </c>
      <c r="AM268" s="307">
        <f>AL268/VPI!R268</f>
        <v>8.6711755853859426E-3</v>
      </c>
      <c r="AN268" s="464">
        <v>1628</v>
      </c>
      <c r="AO268" s="534"/>
      <c r="AP268" s="477">
        <v>32.753627230521744</v>
      </c>
      <c r="AR268" s="530">
        <v>1</v>
      </c>
    </row>
    <row r="269" spans="1:44" x14ac:dyDescent="0.25">
      <c r="A269" s="525">
        <v>5884</v>
      </c>
      <c r="B269" s="526" t="s">
        <v>45</v>
      </c>
      <c r="C269" s="454">
        <v>5428891.3099999996</v>
      </c>
      <c r="D269" s="454">
        <v>842685.26</v>
      </c>
      <c r="E269" s="454"/>
      <c r="F269" s="455"/>
      <c r="G269" s="454">
        <v>2596193.9</v>
      </c>
      <c r="H269" s="454">
        <v>22834.35</v>
      </c>
      <c r="I269" s="454">
        <v>35229.4</v>
      </c>
      <c r="J269" s="454">
        <v>168431.63</v>
      </c>
      <c r="K269" s="454">
        <v>190820</v>
      </c>
      <c r="L269" s="454">
        <v>1015825.85</v>
      </c>
      <c r="M269" s="344">
        <f t="shared" si="16"/>
        <v>10300911.699999999</v>
      </c>
      <c r="N269" s="458">
        <v>621863.85</v>
      </c>
      <c r="O269" s="458">
        <v>315747.7</v>
      </c>
      <c r="P269" s="458">
        <v>207181.25</v>
      </c>
      <c r="Q269" s="458">
        <v>102575.4</v>
      </c>
      <c r="R269" s="458">
        <v>303937.3</v>
      </c>
      <c r="S269" s="454">
        <v>254300.42</v>
      </c>
      <c r="T269" s="344">
        <f t="shared" si="17"/>
        <v>12106517.619999999</v>
      </c>
      <c r="U269" s="456">
        <v>-144256.37</v>
      </c>
      <c r="V269" s="458"/>
      <c r="W269" s="458">
        <v>-4277.8599999999997</v>
      </c>
      <c r="X269" s="462">
        <v>64.5</v>
      </c>
      <c r="Y269" s="463">
        <v>1.2</v>
      </c>
      <c r="Z269" s="464">
        <v>3389</v>
      </c>
      <c r="AA269" s="527"/>
      <c r="AB269" s="469">
        <v>1146293</v>
      </c>
      <c r="AC269" s="307">
        <f>AB269/VPI!R269</f>
        <v>7.150509023892929</v>
      </c>
      <c r="AD269" s="309">
        <f t="shared" si="18"/>
        <v>756825</v>
      </c>
      <c r="AE269" s="307">
        <f>AD269/VPI!R269</f>
        <v>4.7210303055220315</v>
      </c>
      <c r="AF269" s="469">
        <v>1903118</v>
      </c>
      <c r="AG269" s="469">
        <v>977479</v>
      </c>
      <c r="AH269" s="469">
        <v>304767</v>
      </c>
      <c r="AI269" s="534"/>
      <c r="AJ269" s="464"/>
      <c r="AK269" s="307">
        <f>AJ269/VPI!R269</f>
        <v>0</v>
      </c>
      <c r="AL269" s="309">
        <f t="shared" si="19"/>
        <v>40479</v>
      </c>
      <c r="AM269" s="307">
        <f>AL269/VPI!R269</f>
        <v>0.2525056462685909</v>
      </c>
      <c r="AN269" s="464">
        <v>40479</v>
      </c>
      <c r="AO269" s="534"/>
      <c r="AP269" s="477">
        <v>20.964497408022694</v>
      </c>
      <c r="AR269" s="530">
        <v>1</v>
      </c>
    </row>
    <row r="270" spans="1:44" x14ac:dyDescent="0.25">
      <c r="A270" s="525">
        <v>5885</v>
      </c>
      <c r="B270" s="526" t="s">
        <v>46</v>
      </c>
      <c r="C270" s="454">
        <v>5711913.2800000003</v>
      </c>
      <c r="D270" s="454">
        <v>922094.09</v>
      </c>
      <c r="E270" s="454"/>
      <c r="F270" s="455"/>
      <c r="G270" s="454">
        <v>53885.85</v>
      </c>
      <c r="H270" s="454">
        <v>10355.65</v>
      </c>
      <c r="I270" s="454">
        <v>97764.94</v>
      </c>
      <c r="J270" s="454">
        <v>-26569.32</v>
      </c>
      <c r="K270" s="454">
        <v>52463.55</v>
      </c>
      <c r="L270" s="454">
        <v>587705.44999999995</v>
      </c>
      <c r="M270" s="344">
        <f t="shared" si="16"/>
        <v>7409613.4900000002</v>
      </c>
      <c r="N270" s="458">
        <v>7430.95</v>
      </c>
      <c r="O270" s="458">
        <v>52953.9</v>
      </c>
      <c r="P270" s="458">
        <v>343831.9</v>
      </c>
      <c r="Q270" s="458">
        <v>68297.03</v>
      </c>
      <c r="R270" s="458">
        <v>241966.85</v>
      </c>
      <c r="S270" s="454">
        <v>6228.11</v>
      </c>
      <c r="T270" s="344">
        <f t="shared" si="17"/>
        <v>8130322.2300000014</v>
      </c>
      <c r="U270" s="456">
        <v>-71643.22</v>
      </c>
      <c r="V270" s="458"/>
      <c r="W270" s="458">
        <v>-6394.05</v>
      </c>
      <c r="X270" s="462">
        <v>69.5</v>
      </c>
      <c r="Y270" s="463">
        <v>1.2</v>
      </c>
      <c r="Z270" s="464">
        <v>1921</v>
      </c>
      <c r="AA270" s="527"/>
      <c r="AB270" s="469">
        <v>72972</v>
      </c>
      <c r="AC270" s="307">
        <f>AB270/VPI!R270</f>
        <v>0.6939586197002009</v>
      </c>
      <c r="AD270" s="309">
        <f t="shared" si="18"/>
        <v>593191</v>
      </c>
      <c r="AE270" s="307">
        <f>AD270/VPI!R270</f>
        <v>5.6412049495502634</v>
      </c>
      <c r="AF270" s="469">
        <v>666163</v>
      </c>
      <c r="AG270" s="469">
        <v>188041</v>
      </c>
      <c r="AH270" s="469">
        <v>181351</v>
      </c>
      <c r="AI270" s="534"/>
      <c r="AJ270" s="464"/>
      <c r="AK270" s="307">
        <f>AJ270/VPI!R270</f>
        <v>0</v>
      </c>
      <c r="AL270" s="309">
        <f t="shared" si="19"/>
        <v>14903</v>
      </c>
      <c r="AM270" s="307">
        <f>AL270/VPI!R270</f>
        <v>0.14172648837077362</v>
      </c>
      <c r="AN270" s="464">
        <v>14903</v>
      </c>
      <c r="AO270" s="534"/>
      <c r="AP270" s="477">
        <v>26.43390449317679</v>
      </c>
      <c r="AR270" s="530">
        <v>1</v>
      </c>
    </row>
    <row r="271" spans="1:44" x14ac:dyDescent="0.25">
      <c r="A271" s="525">
        <v>5886</v>
      </c>
      <c r="B271" s="526" t="s">
        <v>47</v>
      </c>
      <c r="C271" s="454">
        <v>45219754.960000001</v>
      </c>
      <c r="D271" s="454">
        <v>11296903.550000001</v>
      </c>
      <c r="E271" s="454"/>
      <c r="F271" s="455"/>
      <c r="G271" s="454">
        <v>3163097.25</v>
      </c>
      <c r="H271" s="454">
        <v>691609</v>
      </c>
      <c r="I271" s="454">
        <v>5377468.1799999997</v>
      </c>
      <c r="J271" s="454">
        <v>2613040.96</v>
      </c>
      <c r="K271" s="454">
        <v>762834</v>
      </c>
      <c r="L271" s="454">
        <v>11504115.279999999</v>
      </c>
      <c r="M271" s="344">
        <f t="shared" si="16"/>
        <v>80628823.180000007</v>
      </c>
      <c r="N271" s="458">
        <v>1416315.25</v>
      </c>
      <c r="O271" s="458">
        <v>22993059.199999999</v>
      </c>
      <c r="P271" s="458">
        <v>5137090.3</v>
      </c>
      <c r="Q271" s="458">
        <v>631363.47</v>
      </c>
      <c r="R271" s="458">
        <v>4032855.35</v>
      </c>
      <c r="S271" s="454">
        <v>374048.14</v>
      </c>
      <c r="T271" s="344">
        <f t="shared" si="17"/>
        <v>115213554.89</v>
      </c>
      <c r="U271" s="456">
        <v>-4775480.5199999996</v>
      </c>
      <c r="V271" s="458"/>
      <c r="W271" s="458">
        <v>-162621.25</v>
      </c>
      <c r="X271" s="462">
        <v>65</v>
      </c>
      <c r="Y271" s="463">
        <v>1.5</v>
      </c>
      <c r="Z271" s="464">
        <v>26964</v>
      </c>
      <c r="AA271" s="527"/>
      <c r="AB271" s="469">
        <v>1643069</v>
      </c>
      <c r="AC271" s="307">
        <f>AB271/VPI!R271</f>
        <v>1.4657890743987503</v>
      </c>
      <c r="AD271" s="309">
        <f t="shared" si="18"/>
        <v>8678732</v>
      </c>
      <c r="AE271" s="307">
        <f>AD271/VPI!R271</f>
        <v>7.7423349507749313</v>
      </c>
      <c r="AF271" s="469">
        <v>10321801</v>
      </c>
      <c r="AG271" s="469">
        <v>7089717</v>
      </c>
      <c r="AH271" s="469">
        <v>478962</v>
      </c>
      <c r="AI271" s="534"/>
      <c r="AJ271" s="464">
        <v>41344</v>
      </c>
      <c r="AK271" s="307">
        <f>AJ271/VPI!R271</f>
        <v>3.6883164061851291E-2</v>
      </c>
      <c r="AL271" s="309">
        <f t="shared" si="19"/>
        <v>1734385</v>
      </c>
      <c r="AM271" s="307">
        <f>AL271/VPI!R271</f>
        <v>1.5472524792331159</v>
      </c>
      <c r="AN271" s="464">
        <v>1775729</v>
      </c>
      <c r="AO271" s="534"/>
      <c r="AP271" s="477">
        <v>8.5769829383223986</v>
      </c>
      <c r="AR271" s="530">
        <v>1</v>
      </c>
    </row>
    <row r="272" spans="1:44" x14ac:dyDescent="0.25">
      <c r="A272" s="525">
        <v>5889</v>
      </c>
      <c r="B272" s="526" t="s">
        <v>48</v>
      </c>
      <c r="C272" s="454">
        <v>26278702.82</v>
      </c>
      <c r="D272" s="454">
        <v>5955634.0999999996</v>
      </c>
      <c r="E272" s="454"/>
      <c r="F272" s="455"/>
      <c r="G272" s="454">
        <v>10306053.050000001</v>
      </c>
      <c r="H272" s="454">
        <v>-86745.9</v>
      </c>
      <c r="I272" s="454">
        <v>1025840.96</v>
      </c>
      <c r="J272" s="454">
        <v>1093684.1100000001</v>
      </c>
      <c r="K272" s="454">
        <v>267276.45</v>
      </c>
      <c r="L272" s="454">
        <v>3370826.35</v>
      </c>
      <c r="M272" s="344">
        <f t="shared" si="16"/>
        <v>48211271.940000005</v>
      </c>
      <c r="N272" s="458">
        <v>60579.05</v>
      </c>
      <c r="O272" s="458">
        <v>2550290.7000000002</v>
      </c>
      <c r="P272" s="458">
        <v>3393757.55</v>
      </c>
      <c r="Q272" s="458">
        <v>100391.02</v>
      </c>
      <c r="R272" s="458">
        <v>1419522</v>
      </c>
      <c r="S272" s="454">
        <v>841760.02</v>
      </c>
      <c r="T272" s="344">
        <f t="shared" si="17"/>
        <v>56577572.280000009</v>
      </c>
      <c r="U272" s="456">
        <v>-340513.98</v>
      </c>
      <c r="V272" s="458"/>
      <c r="W272" s="458">
        <v>-1605235.16</v>
      </c>
      <c r="X272" s="462">
        <v>64</v>
      </c>
      <c r="Y272" s="463">
        <v>1.2</v>
      </c>
      <c r="Z272" s="464">
        <v>12812</v>
      </c>
      <c r="AA272" s="527"/>
      <c r="AB272" s="469">
        <v>793495</v>
      </c>
      <c r="AC272" s="307">
        <f>AB272/VPI!R272</f>
        <v>1.0887069016100093</v>
      </c>
      <c r="AD272" s="309">
        <f t="shared" si="18"/>
        <v>3027475</v>
      </c>
      <c r="AE272" s="307">
        <f>AD272/VPI!R272</f>
        <v>4.1538168822132002</v>
      </c>
      <c r="AF272" s="469">
        <v>3820970</v>
      </c>
      <c r="AG272" s="469">
        <v>3429127</v>
      </c>
      <c r="AH272" s="469">
        <v>1821</v>
      </c>
      <c r="AI272" s="534"/>
      <c r="AJ272" s="464"/>
      <c r="AK272" s="307">
        <f>AJ272/VPI!R272</f>
        <v>0</v>
      </c>
      <c r="AL272" s="309">
        <f t="shared" si="19"/>
        <v>-3633</v>
      </c>
      <c r="AM272" s="307">
        <f>AL272/VPI!R272</f>
        <v>-4.984621419856664E-3</v>
      </c>
      <c r="AN272" s="464">
        <v>-3633</v>
      </c>
      <c r="AO272" s="534"/>
      <c r="AP272" s="477">
        <v>23.648070625190449</v>
      </c>
      <c r="AR272" s="530">
        <v>1</v>
      </c>
    </row>
    <row r="273" spans="1:44" x14ac:dyDescent="0.25">
      <c r="A273" s="525">
        <v>5890</v>
      </c>
      <c r="B273" s="526" t="s">
        <v>49</v>
      </c>
      <c r="C273" s="454">
        <v>39249496.539999999</v>
      </c>
      <c r="D273" s="454">
        <v>4882461.3099999996</v>
      </c>
      <c r="E273" s="454"/>
      <c r="F273" s="455"/>
      <c r="G273" s="454">
        <v>28892397.850000001</v>
      </c>
      <c r="H273" s="454">
        <v>-434362.35</v>
      </c>
      <c r="I273" s="454">
        <v>181880.05</v>
      </c>
      <c r="J273" s="454">
        <v>2642860.2000000002</v>
      </c>
      <c r="K273" s="454">
        <v>964674.35</v>
      </c>
      <c r="L273" s="454">
        <v>6276424.1600000001</v>
      </c>
      <c r="M273" s="344">
        <f t="shared" si="16"/>
        <v>82655832.109999999</v>
      </c>
      <c r="N273" s="458">
        <v>944752.85</v>
      </c>
      <c r="O273" s="458">
        <v>865599.6</v>
      </c>
      <c r="P273" s="458">
        <v>1870283.35</v>
      </c>
      <c r="Q273" s="458">
        <v>206785.5</v>
      </c>
      <c r="R273" s="458">
        <v>1357628.75</v>
      </c>
      <c r="S273" s="454">
        <v>2461888.6800000002</v>
      </c>
      <c r="T273" s="344">
        <f t="shared" si="17"/>
        <v>90362770.839999989</v>
      </c>
      <c r="U273" s="456">
        <v>-783103.53</v>
      </c>
      <c r="V273" s="458"/>
      <c r="W273" s="458">
        <v>-3157025.5</v>
      </c>
      <c r="X273" s="462">
        <v>74.5</v>
      </c>
      <c r="Y273" s="463">
        <v>1.5</v>
      </c>
      <c r="Z273" s="464">
        <v>20146</v>
      </c>
      <c r="AA273" s="527"/>
      <c r="AB273" s="469">
        <v>1236453</v>
      </c>
      <c r="AC273" s="307">
        <f>AB273/VPI!R273</f>
        <v>1.1617246945483009</v>
      </c>
      <c r="AD273" s="309">
        <f t="shared" si="18"/>
        <v>5790164</v>
      </c>
      <c r="AE273" s="307">
        <f>AD273/VPI!R273</f>
        <v>5.4402201331426001</v>
      </c>
      <c r="AF273" s="469">
        <v>7026617</v>
      </c>
      <c r="AG273" s="469">
        <v>5598060</v>
      </c>
      <c r="AH273" s="469">
        <v>183311</v>
      </c>
      <c r="AI273" s="534"/>
      <c r="AJ273" s="464">
        <v>6623</v>
      </c>
      <c r="AK273" s="307">
        <f>AJ273/VPI!R273</f>
        <v>6.2227214879929903E-3</v>
      </c>
      <c r="AL273" s="309">
        <f t="shared" si="19"/>
        <v>100000</v>
      </c>
      <c r="AM273" s="307">
        <f>AL273/VPI!R273</f>
        <v>9.395623566349072E-2</v>
      </c>
      <c r="AN273" s="464">
        <v>106623</v>
      </c>
      <c r="AO273" s="534"/>
      <c r="AP273" s="477">
        <v>15.904281008549445</v>
      </c>
      <c r="AR273" s="530">
        <v>1</v>
      </c>
    </row>
    <row r="274" spans="1:44" x14ac:dyDescent="0.25">
      <c r="A274" s="525">
        <v>5891</v>
      </c>
      <c r="B274" s="526" t="s">
        <v>50</v>
      </c>
      <c r="C274" s="454">
        <v>1912545.14</v>
      </c>
      <c r="D274" s="454">
        <v>508675.3</v>
      </c>
      <c r="E274" s="454"/>
      <c r="F274" s="455"/>
      <c r="G274" s="454">
        <v>9802.6</v>
      </c>
      <c r="H274" s="454">
        <v>40782.75</v>
      </c>
      <c r="I274" s="454"/>
      <c r="J274" s="454">
        <v>60219.75</v>
      </c>
      <c r="K274" s="454">
        <v>14975.35</v>
      </c>
      <c r="L274" s="454">
        <v>469954.45</v>
      </c>
      <c r="M274" s="344">
        <f t="shared" si="16"/>
        <v>3016955.3400000003</v>
      </c>
      <c r="N274" s="458">
        <v>17190.900000000001</v>
      </c>
      <c r="O274" s="458">
        <v>1000</v>
      </c>
      <c r="P274" s="458">
        <v>114856.45</v>
      </c>
      <c r="Q274" s="458">
        <v>735.6</v>
      </c>
      <c r="R274" s="458">
        <v>147715.65</v>
      </c>
      <c r="S274" s="454">
        <v>4911.71</v>
      </c>
      <c r="T274" s="344">
        <f t="shared" si="17"/>
        <v>3303365.6500000004</v>
      </c>
      <c r="U274" s="456">
        <v>-86427.62</v>
      </c>
      <c r="V274" s="458"/>
      <c r="W274" s="458">
        <v>-7422.95</v>
      </c>
      <c r="X274" s="462">
        <v>67.5</v>
      </c>
      <c r="Y274" s="463">
        <v>1.5</v>
      </c>
      <c r="Z274" s="464">
        <v>1043</v>
      </c>
      <c r="AA274" s="527"/>
      <c r="AB274" s="469"/>
      <c r="AC274" s="307">
        <f>AB274/VPI!R274</f>
        <v>0</v>
      </c>
      <c r="AD274" s="309">
        <f t="shared" si="18"/>
        <v>453610</v>
      </c>
      <c r="AE274" s="307">
        <f>AD274/VPI!R274</f>
        <v>11.045297214977571</v>
      </c>
      <c r="AF274" s="469">
        <v>453610</v>
      </c>
      <c r="AG274" s="469">
        <v>326551</v>
      </c>
      <c r="AH274" s="469">
        <v>30000</v>
      </c>
      <c r="AI274" s="534"/>
      <c r="AJ274" s="464">
        <v>12885</v>
      </c>
      <c r="AK274" s="307">
        <f>AJ274/VPI!R274</f>
        <v>0.31374673092521332</v>
      </c>
      <c r="AL274" s="309">
        <f t="shared" si="19"/>
        <v>406483</v>
      </c>
      <c r="AM274" s="307">
        <f>AL274/VPI!R274</f>
        <v>9.8977658072699644</v>
      </c>
      <c r="AN274" s="464">
        <v>419368</v>
      </c>
      <c r="AO274" s="534"/>
      <c r="AP274" s="477">
        <v>26.446759806841911</v>
      </c>
      <c r="AR274" s="530">
        <v>1</v>
      </c>
    </row>
    <row r="275" spans="1:44" x14ac:dyDescent="0.25">
      <c r="A275" s="525">
        <v>5892</v>
      </c>
      <c r="B275" s="526" t="s">
        <v>583</v>
      </c>
      <c r="C275" s="454">
        <v>37752733.869999997</v>
      </c>
      <c r="D275" s="454">
        <v>8046443.29</v>
      </c>
      <c r="E275" s="454"/>
      <c r="F275" s="455"/>
      <c r="G275" s="454">
        <v>890324.55</v>
      </c>
      <c r="H275" s="454">
        <v>177035.5</v>
      </c>
      <c r="I275" s="454">
        <v>1016803.77</v>
      </c>
      <c r="J275" s="454">
        <v>214672.09</v>
      </c>
      <c r="K275" s="454">
        <v>176006.45</v>
      </c>
      <c r="L275" s="454">
        <v>3849152.85</v>
      </c>
      <c r="M275" s="344">
        <f t="shared" si="16"/>
        <v>52123172.370000005</v>
      </c>
      <c r="N275" s="454">
        <v>335219.55</v>
      </c>
      <c r="O275" s="454">
        <v>1986264.7</v>
      </c>
      <c r="P275" s="454">
        <v>2387821.9500000002</v>
      </c>
      <c r="Q275" s="454">
        <v>61560.37</v>
      </c>
      <c r="R275" s="454">
        <v>2656074.7000000002</v>
      </c>
      <c r="S275" s="454">
        <v>102472.72</v>
      </c>
      <c r="T275" s="344">
        <f t="shared" si="17"/>
        <v>59652586.360000007</v>
      </c>
      <c r="U275" s="454">
        <v>-252666.23</v>
      </c>
      <c r="V275" s="454"/>
      <c r="W275" s="454">
        <v>-255047.02</v>
      </c>
      <c r="X275" s="454">
        <v>68.5</v>
      </c>
      <c r="Y275" s="465">
        <v>1</v>
      </c>
      <c r="Z275" s="464">
        <v>12463</v>
      </c>
      <c r="AA275" s="531"/>
      <c r="AB275" s="470">
        <v>1205267</v>
      </c>
      <c r="AC275" s="307">
        <f>AB275/VPI!R275</f>
        <v>1.594468890601737</v>
      </c>
      <c r="AD275" s="309">
        <f t="shared" si="18"/>
        <v>4343053</v>
      </c>
      <c r="AE275" s="307">
        <f>AD275/VPI!R275</f>
        <v>5.7455011202783659</v>
      </c>
      <c r="AF275" s="470">
        <v>5548320</v>
      </c>
      <c r="AG275" s="470">
        <v>2544416</v>
      </c>
      <c r="AH275" s="470">
        <v>865508</v>
      </c>
      <c r="AI275" s="531"/>
      <c r="AJ275" s="470">
        <v>65650</v>
      </c>
      <c r="AK275" s="307">
        <f>AJ275/VPI!R275</f>
        <v>8.6849538457457173E-2</v>
      </c>
      <c r="AL275" s="309">
        <f t="shared" si="19"/>
        <v>1370537</v>
      </c>
      <c r="AM275" s="307">
        <f>AL275/VPI!R275</f>
        <v>1.8131074773628024</v>
      </c>
      <c r="AN275" s="470">
        <v>1436187</v>
      </c>
      <c r="AO275" s="531"/>
      <c r="AP275" s="477">
        <v>22.492459050607327</v>
      </c>
      <c r="AQ275" s="454"/>
      <c r="AR275" s="530">
        <v>1</v>
      </c>
    </row>
    <row r="276" spans="1:44" x14ac:dyDescent="0.25">
      <c r="A276" s="525">
        <v>5902</v>
      </c>
      <c r="B276" s="526" t="s">
        <v>51</v>
      </c>
      <c r="C276" s="454">
        <v>737846.09</v>
      </c>
      <c r="D276" s="454">
        <v>68602.7</v>
      </c>
      <c r="E276" s="454"/>
      <c r="F276" s="455"/>
      <c r="G276" s="454">
        <v>875.55</v>
      </c>
      <c r="H276" s="454">
        <v>441.7</v>
      </c>
      <c r="I276" s="454"/>
      <c r="J276" s="454">
        <v>-4301.55</v>
      </c>
      <c r="K276" s="454"/>
      <c r="L276" s="454">
        <v>74724.5</v>
      </c>
      <c r="M276" s="344">
        <f t="shared" si="16"/>
        <v>878188.98999999987</v>
      </c>
      <c r="N276" s="458">
        <v>0</v>
      </c>
      <c r="O276" s="458"/>
      <c r="P276" s="458">
        <v>4723.3999999999996</v>
      </c>
      <c r="Q276" s="458">
        <v>174.91</v>
      </c>
      <c r="R276" s="458">
        <v>24163.7</v>
      </c>
      <c r="S276" s="454">
        <v>127.9</v>
      </c>
      <c r="T276" s="344">
        <f t="shared" si="17"/>
        <v>907378.89999999991</v>
      </c>
      <c r="U276" s="532">
        <v>-13428.12</v>
      </c>
      <c r="V276" s="458"/>
      <c r="W276" s="458">
        <v>-36.549999999999997</v>
      </c>
      <c r="X276" s="462">
        <v>70</v>
      </c>
      <c r="Y276" s="463">
        <v>1</v>
      </c>
      <c r="Z276" s="464">
        <v>445</v>
      </c>
      <c r="AA276" s="527"/>
      <c r="AB276" s="469"/>
      <c r="AC276" s="307">
        <f>AB276/VPI!R276</f>
        <v>0</v>
      </c>
      <c r="AD276" s="309">
        <f t="shared" si="18"/>
        <v>44906</v>
      </c>
      <c r="AE276" s="307">
        <f>AD276/VPI!R276</f>
        <v>3.6338975865415928</v>
      </c>
      <c r="AF276" s="469">
        <v>44906</v>
      </c>
      <c r="AG276" s="469">
        <v>21895</v>
      </c>
      <c r="AH276" s="469">
        <v>57487</v>
      </c>
      <c r="AI276" s="534"/>
      <c r="AJ276" s="464"/>
      <c r="AK276" s="307">
        <f>AJ276/VPI!R276</f>
        <v>0</v>
      </c>
      <c r="AL276" s="309">
        <f t="shared" si="19"/>
        <v>20170</v>
      </c>
      <c r="AM276" s="307">
        <f>AL276/VPI!R276</f>
        <v>1.6322031425765806</v>
      </c>
      <c r="AN276" s="464">
        <v>20170</v>
      </c>
      <c r="AO276" s="534"/>
      <c r="AP276" s="477">
        <v>14.084367038566677</v>
      </c>
      <c r="AR276" s="530">
        <v>0</v>
      </c>
    </row>
    <row r="277" spans="1:44" x14ac:dyDescent="0.25">
      <c r="A277" s="525">
        <v>5903</v>
      </c>
      <c r="B277" s="526" t="s">
        <v>52</v>
      </c>
      <c r="C277" s="454">
        <v>406735.48</v>
      </c>
      <c r="D277" s="454">
        <v>55036.800000000003</v>
      </c>
      <c r="E277" s="454"/>
      <c r="F277" s="455"/>
      <c r="G277" s="454">
        <v>1179.0999999999999</v>
      </c>
      <c r="H277" s="454">
        <v>172.8</v>
      </c>
      <c r="I277" s="454"/>
      <c r="J277" s="454">
        <v>1245.98</v>
      </c>
      <c r="K277" s="454"/>
      <c r="L277" s="454">
        <v>30148.25</v>
      </c>
      <c r="M277" s="344">
        <f t="shared" si="16"/>
        <v>494518.40999999992</v>
      </c>
      <c r="N277" s="458">
        <v>37005.75</v>
      </c>
      <c r="O277" s="458">
        <v>15.9</v>
      </c>
      <c r="P277" s="458">
        <v>27800.799999999999</v>
      </c>
      <c r="Q277" s="458"/>
      <c r="R277" s="458">
        <v>9263.75</v>
      </c>
      <c r="S277" s="454">
        <v>131.27000000000001</v>
      </c>
      <c r="T277" s="344">
        <f t="shared" si="17"/>
        <v>568735.88</v>
      </c>
      <c r="U277" s="456">
        <v>-1954.47</v>
      </c>
      <c r="V277" s="458"/>
      <c r="W277" s="458">
        <v>-166.3</v>
      </c>
      <c r="X277" s="462">
        <v>72</v>
      </c>
      <c r="Y277" s="463">
        <v>0.7</v>
      </c>
      <c r="Z277" s="464">
        <v>257</v>
      </c>
      <c r="AA277" s="527"/>
      <c r="AB277" s="469">
        <v>118333</v>
      </c>
      <c r="AC277" s="307">
        <f>AB277/VPI!R277</f>
        <v>16.856232931320278</v>
      </c>
      <c r="AD277" s="309">
        <f t="shared" si="18"/>
        <v>170781</v>
      </c>
      <c r="AE277" s="307">
        <f>AD277/VPI!R277</f>
        <v>24.327316270556889</v>
      </c>
      <c r="AF277" s="469">
        <v>289114</v>
      </c>
      <c r="AG277" s="469">
        <v>12504</v>
      </c>
      <c r="AH277" s="469">
        <v>25502</v>
      </c>
      <c r="AI277" s="534"/>
      <c r="AJ277" s="464"/>
      <c r="AK277" s="307">
        <f>AJ277/VPI!R277</f>
        <v>0</v>
      </c>
      <c r="AL277" s="309">
        <f t="shared" si="19"/>
        <v>27424</v>
      </c>
      <c r="AM277" s="307">
        <f>AL277/VPI!R277</f>
        <v>3.9064785977582526</v>
      </c>
      <c r="AN277" s="464">
        <v>27424</v>
      </c>
      <c r="AO277" s="534"/>
      <c r="AP277" s="477">
        <v>4.9281153181064354</v>
      </c>
      <c r="AR277" s="530">
        <v>0</v>
      </c>
    </row>
    <row r="278" spans="1:44" x14ac:dyDescent="0.25">
      <c r="A278" s="525">
        <v>5904</v>
      </c>
      <c r="B278" s="526" t="s">
        <v>53</v>
      </c>
      <c r="C278" s="454">
        <v>830394.58</v>
      </c>
      <c r="D278" s="454">
        <v>156224.71</v>
      </c>
      <c r="E278" s="454"/>
      <c r="F278" s="455"/>
      <c r="G278" s="454">
        <v>22935.599999999999</v>
      </c>
      <c r="H278" s="454">
        <v>392.2</v>
      </c>
      <c r="I278" s="454"/>
      <c r="J278" s="454">
        <v>18476.64</v>
      </c>
      <c r="K278" s="454">
        <v>2416.25</v>
      </c>
      <c r="L278" s="454">
        <v>103785.9</v>
      </c>
      <c r="M278" s="344">
        <f t="shared" si="16"/>
        <v>1134625.8799999999</v>
      </c>
      <c r="N278" s="458">
        <v>55701</v>
      </c>
      <c r="O278" s="458"/>
      <c r="P278" s="458">
        <v>37984.699999999997</v>
      </c>
      <c r="Q278" s="458">
        <v>5325.11</v>
      </c>
      <c r="R278" s="458">
        <v>44214.65</v>
      </c>
      <c r="S278" s="454">
        <v>2265.0700000000002</v>
      </c>
      <c r="T278" s="344">
        <f t="shared" si="17"/>
        <v>1280116.4099999999</v>
      </c>
      <c r="U278" s="456">
        <v>-13818.86</v>
      </c>
      <c r="V278" s="458"/>
      <c r="W278" s="458">
        <v>-164.37</v>
      </c>
      <c r="X278" s="462">
        <v>66</v>
      </c>
      <c r="Y278" s="463">
        <v>1</v>
      </c>
      <c r="Z278" s="464">
        <v>554</v>
      </c>
      <c r="AA278" s="527"/>
      <c r="AB278" s="469">
        <v>4709</v>
      </c>
      <c r="AC278" s="307">
        <f>AB278/VPI!R278</f>
        <v>0.27546973615366255</v>
      </c>
      <c r="AD278" s="309">
        <f t="shared" si="18"/>
        <v>90240</v>
      </c>
      <c r="AE278" s="307">
        <f>AD278/VPI!R278</f>
        <v>5.2789103823543231</v>
      </c>
      <c r="AF278" s="469">
        <v>94949</v>
      </c>
      <c r="AG278" s="469">
        <v>27727</v>
      </c>
      <c r="AH278" s="469">
        <v>21437</v>
      </c>
      <c r="AI278" s="534"/>
      <c r="AJ278" s="464"/>
      <c r="AK278" s="307">
        <f>AJ278/VPI!R278</f>
        <v>0</v>
      </c>
      <c r="AL278" s="309">
        <f t="shared" si="19"/>
        <v>3495</v>
      </c>
      <c r="AM278" s="307">
        <f>AL278/VPI!R278</f>
        <v>0.20445247990168838</v>
      </c>
      <c r="AN278" s="464">
        <v>3495</v>
      </c>
      <c r="AO278" s="534"/>
      <c r="AP278" s="477">
        <v>17.54369927115879</v>
      </c>
      <c r="AR278" s="530">
        <v>1</v>
      </c>
    </row>
    <row r="279" spans="1:44" x14ac:dyDescent="0.25">
      <c r="A279" s="525">
        <v>5905</v>
      </c>
      <c r="B279" s="526" t="s">
        <v>54</v>
      </c>
      <c r="C279" s="454">
        <v>1127114.32</v>
      </c>
      <c r="D279" s="454">
        <v>164973.23000000001</v>
      </c>
      <c r="E279" s="454"/>
      <c r="F279" s="455"/>
      <c r="G279" s="454">
        <v>27926.400000000001</v>
      </c>
      <c r="H279" s="454">
        <v>3055.35</v>
      </c>
      <c r="I279" s="454"/>
      <c r="J279" s="454">
        <v>45619.82</v>
      </c>
      <c r="K279" s="454">
        <v>3646.65</v>
      </c>
      <c r="L279" s="455">
        <v>118057.5</v>
      </c>
      <c r="M279" s="344">
        <f t="shared" si="16"/>
        <v>1490393.27</v>
      </c>
      <c r="N279" s="458">
        <v>185925.25</v>
      </c>
      <c r="O279" s="458">
        <v>58287.7</v>
      </c>
      <c r="P279" s="458">
        <v>12570.2</v>
      </c>
      <c r="Q279" s="458"/>
      <c r="R279" s="458">
        <v>21075.75</v>
      </c>
      <c r="S279" s="454">
        <v>3008.25</v>
      </c>
      <c r="T279" s="344">
        <f t="shared" si="17"/>
        <v>1771260.42</v>
      </c>
      <c r="U279" s="456">
        <v>-18200.060000000001</v>
      </c>
      <c r="V279" s="458"/>
      <c r="W279" s="458">
        <v>0</v>
      </c>
      <c r="X279" s="462">
        <v>70</v>
      </c>
      <c r="Y279" s="463">
        <v>1</v>
      </c>
      <c r="Z279" s="464">
        <v>725</v>
      </c>
      <c r="AA279" s="527"/>
      <c r="AB279" s="469">
        <v>9232</v>
      </c>
      <c r="AC279" s="307">
        <f>AB279/VPI!R279</f>
        <v>0.43806898076144807</v>
      </c>
      <c r="AD279" s="309">
        <f t="shared" si="18"/>
        <v>39322</v>
      </c>
      <c r="AE279" s="307">
        <f>AD279/VPI!R279</f>
        <v>1.8658739668004398</v>
      </c>
      <c r="AF279" s="469">
        <v>48554</v>
      </c>
      <c r="AG279" s="469">
        <v>90321</v>
      </c>
      <c r="AH279" s="469">
        <v>32489</v>
      </c>
      <c r="AI279" s="534"/>
      <c r="AJ279" s="464"/>
      <c r="AK279" s="307">
        <f>AJ279/VPI!R279</f>
        <v>0</v>
      </c>
      <c r="AL279" s="309">
        <f t="shared" si="19"/>
        <v>184392</v>
      </c>
      <c r="AM279" s="307">
        <f>AL279/VPI!R279</f>
        <v>8.7496117309970671</v>
      </c>
      <c r="AN279" s="464">
        <v>184392</v>
      </c>
      <c r="AO279" s="534"/>
      <c r="AP279" s="477">
        <v>14.248284106392344</v>
      </c>
      <c r="AR279" s="530">
        <v>0</v>
      </c>
    </row>
    <row r="280" spans="1:44" x14ac:dyDescent="0.25">
      <c r="A280" s="525">
        <v>5907</v>
      </c>
      <c r="B280" s="526" t="s">
        <v>55</v>
      </c>
      <c r="C280" s="454">
        <v>469412.39</v>
      </c>
      <c r="D280" s="454">
        <v>54559.41</v>
      </c>
      <c r="E280" s="454"/>
      <c r="F280" s="455">
        <v>2100</v>
      </c>
      <c r="G280" s="454">
        <v>3487.55</v>
      </c>
      <c r="H280" s="454">
        <v>710.3</v>
      </c>
      <c r="I280" s="454"/>
      <c r="J280" s="454">
        <v>6895.64</v>
      </c>
      <c r="K280" s="454">
        <v>630.20000000000005</v>
      </c>
      <c r="L280" s="454">
        <v>54905.7</v>
      </c>
      <c r="M280" s="344">
        <f t="shared" si="16"/>
        <v>592701.19000000006</v>
      </c>
      <c r="N280" s="458">
        <v>4344.3999999999996</v>
      </c>
      <c r="O280" s="458"/>
      <c r="P280" s="458">
        <v>11280.05</v>
      </c>
      <c r="Q280" s="458"/>
      <c r="R280" s="458">
        <v>16305</v>
      </c>
      <c r="S280" s="454">
        <v>407.6</v>
      </c>
      <c r="T280" s="344">
        <f t="shared" si="17"/>
        <v>625038.24000000011</v>
      </c>
      <c r="U280" s="456">
        <v>-8183.33</v>
      </c>
      <c r="V280" s="458"/>
      <c r="W280" s="458">
        <v>-124.05</v>
      </c>
      <c r="X280" s="462">
        <v>75</v>
      </c>
      <c r="Y280" s="463">
        <v>1</v>
      </c>
      <c r="Z280" s="464">
        <v>322</v>
      </c>
      <c r="AA280" s="527"/>
      <c r="AB280" s="469">
        <v>46400</v>
      </c>
      <c r="AC280" s="307">
        <f>AB280/VPI!R280</f>
        <v>5.9507380462711277</v>
      </c>
      <c r="AD280" s="309">
        <f t="shared" si="18"/>
        <v>55960</v>
      </c>
      <c r="AE280" s="307">
        <f>AD280/VPI!R280</f>
        <v>7.176795281666644</v>
      </c>
      <c r="AF280" s="469">
        <v>102360</v>
      </c>
      <c r="AG280" s="469">
        <v>15667</v>
      </c>
      <c r="AH280" s="469">
        <v>34891</v>
      </c>
      <c r="AI280" s="534"/>
      <c r="AJ280" s="464"/>
      <c r="AK280" s="307">
        <f>AJ280/VPI!R280</f>
        <v>0</v>
      </c>
      <c r="AL280" s="309">
        <f t="shared" si="19"/>
        <v>17249</v>
      </c>
      <c r="AM280" s="307">
        <f>AL280/VPI!R280</f>
        <v>2.2121612189683337</v>
      </c>
      <c r="AN280" s="464">
        <v>17249</v>
      </c>
      <c r="AO280" s="534"/>
      <c r="AP280" s="477">
        <v>8.4760151850144574</v>
      </c>
      <c r="AR280" s="530">
        <v>0</v>
      </c>
    </row>
    <row r="281" spans="1:44" x14ac:dyDescent="0.25">
      <c r="A281" s="525">
        <v>5908</v>
      </c>
      <c r="B281" s="526" t="s">
        <v>56</v>
      </c>
      <c r="C281" s="454">
        <v>311446.32</v>
      </c>
      <c r="D281" s="454">
        <v>60614.34</v>
      </c>
      <c r="E281" s="454"/>
      <c r="F281" s="455"/>
      <c r="G281" s="454">
        <v>24793.45</v>
      </c>
      <c r="H281" s="454">
        <v>-28.4</v>
      </c>
      <c r="I281" s="454"/>
      <c r="J281" s="454">
        <v>223.38</v>
      </c>
      <c r="K281" s="454">
        <v>92.95</v>
      </c>
      <c r="L281" s="454">
        <v>29714.75</v>
      </c>
      <c r="M281" s="344">
        <f t="shared" si="16"/>
        <v>426856.79000000004</v>
      </c>
      <c r="N281" s="458">
        <v>0</v>
      </c>
      <c r="O281" s="458">
        <v>2084.5</v>
      </c>
      <c r="P281" s="458">
        <v>16181.8</v>
      </c>
      <c r="Q281" s="458"/>
      <c r="R281" s="458">
        <v>26541.599999999999</v>
      </c>
      <c r="S281" s="454">
        <v>2404.62</v>
      </c>
      <c r="T281" s="344">
        <f t="shared" si="17"/>
        <v>474069.31</v>
      </c>
      <c r="U281" s="456">
        <v>-4347.3999999999996</v>
      </c>
      <c r="V281" s="458"/>
      <c r="W281" s="458">
        <v>-111.09</v>
      </c>
      <c r="X281" s="462">
        <v>75</v>
      </c>
      <c r="Y281" s="463">
        <v>1</v>
      </c>
      <c r="Z281" s="464">
        <v>173</v>
      </c>
      <c r="AA281" s="527"/>
      <c r="AB281" s="469">
        <v>5925</v>
      </c>
      <c r="AC281" s="307">
        <f>AB281/VPI!R281</f>
        <v>1.0460733179517692</v>
      </c>
      <c r="AD281" s="309">
        <f t="shared" si="18"/>
        <v>25578</v>
      </c>
      <c r="AE281" s="307">
        <f>AD281/VPI!R281</f>
        <v>4.5158587892945743</v>
      </c>
      <c r="AF281" s="469">
        <v>31503</v>
      </c>
      <c r="AG281" s="469">
        <v>8649</v>
      </c>
      <c r="AH281" s="469">
        <v>23572</v>
      </c>
      <c r="AI281" s="534"/>
      <c r="AJ281" s="464"/>
      <c r="AK281" s="307">
        <f>AJ281/VPI!R281</f>
        <v>0</v>
      </c>
      <c r="AL281" s="309">
        <f t="shared" si="19"/>
        <v>24636</v>
      </c>
      <c r="AM281" s="307">
        <f>AL281/VPI!R281</f>
        <v>4.3495463731746478</v>
      </c>
      <c r="AN281" s="464">
        <v>24636</v>
      </c>
      <c r="AO281" s="534"/>
      <c r="AP281" s="477">
        <v>16.06666862710729</v>
      </c>
      <c r="AR281" s="530">
        <v>0</v>
      </c>
    </row>
    <row r="282" spans="1:44" x14ac:dyDescent="0.25">
      <c r="A282" s="525">
        <v>5909</v>
      </c>
      <c r="B282" s="526" t="s">
        <v>57</v>
      </c>
      <c r="C282" s="454">
        <v>1570398.03</v>
      </c>
      <c r="D282" s="454">
        <v>345439.55</v>
      </c>
      <c r="E282" s="454"/>
      <c r="F282" s="455"/>
      <c r="G282" s="454">
        <v>-2047.75</v>
      </c>
      <c r="H282" s="454">
        <v>1952</v>
      </c>
      <c r="I282" s="454"/>
      <c r="J282" s="454">
        <v>18425.22</v>
      </c>
      <c r="K282" s="454">
        <v>372.5</v>
      </c>
      <c r="L282" s="454">
        <v>178780.6</v>
      </c>
      <c r="M282" s="344">
        <f t="shared" si="16"/>
        <v>2113320.15</v>
      </c>
      <c r="N282" s="458">
        <v>6293.85</v>
      </c>
      <c r="O282" s="458">
        <v>74655</v>
      </c>
      <c r="P282" s="458">
        <v>197343</v>
      </c>
      <c r="Q282" s="458">
        <v>4.75</v>
      </c>
      <c r="R282" s="458">
        <v>169919.05</v>
      </c>
      <c r="S282" s="454">
        <v>-9.3000000000000007</v>
      </c>
      <c r="T282" s="344">
        <f t="shared" si="17"/>
        <v>2561526.5</v>
      </c>
      <c r="U282" s="456">
        <v>-371.35</v>
      </c>
      <c r="V282" s="458"/>
      <c r="W282" s="458">
        <v>-2144.1999999999998</v>
      </c>
      <c r="X282" s="462">
        <v>67</v>
      </c>
      <c r="Y282" s="463">
        <v>1</v>
      </c>
      <c r="Z282" s="464">
        <v>734</v>
      </c>
      <c r="AA282" s="527"/>
      <c r="AB282" s="469">
        <v>110013</v>
      </c>
      <c r="AC282" s="307">
        <f>AB282/VPI!R282</f>
        <v>3.4919797353614812</v>
      </c>
      <c r="AD282" s="309">
        <f t="shared" si="18"/>
        <v>89078</v>
      </c>
      <c r="AE282" s="307">
        <f>AD282/VPI!R282</f>
        <v>2.8274710340280693</v>
      </c>
      <c r="AF282" s="469">
        <v>199091</v>
      </c>
      <c r="AG282" s="469">
        <v>163413</v>
      </c>
      <c r="AH282" s="469">
        <v>29128</v>
      </c>
      <c r="AI282" s="534"/>
      <c r="AJ282" s="464"/>
      <c r="AK282" s="307">
        <f>AJ282/VPI!R282</f>
        <v>0</v>
      </c>
      <c r="AL282" s="309">
        <f t="shared" si="19"/>
        <v>11599</v>
      </c>
      <c r="AM282" s="307">
        <f>AL282/VPI!R282</f>
        <v>0.36816987947295154</v>
      </c>
      <c r="AN282" s="464">
        <v>11599</v>
      </c>
      <c r="AO282" s="534"/>
      <c r="AP282" s="477">
        <v>29.005234235917268</v>
      </c>
      <c r="AR282" s="530">
        <v>1</v>
      </c>
    </row>
    <row r="283" spans="1:44" x14ac:dyDescent="0.25">
      <c r="A283" s="525">
        <v>5910</v>
      </c>
      <c r="B283" s="526" t="s">
        <v>58</v>
      </c>
      <c r="C283" s="454">
        <v>723485.86</v>
      </c>
      <c r="D283" s="454">
        <v>72286.789999999994</v>
      </c>
      <c r="E283" s="454"/>
      <c r="F283" s="455">
        <v>2550</v>
      </c>
      <c r="G283" s="454">
        <v>-1328.35</v>
      </c>
      <c r="H283" s="454">
        <v>668.35</v>
      </c>
      <c r="I283" s="454"/>
      <c r="J283" s="454">
        <v>4407.4799999999996</v>
      </c>
      <c r="K283" s="454"/>
      <c r="L283" s="454">
        <v>68459.850000000006</v>
      </c>
      <c r="M283" s="344">
        <f t="shared" si="16"/>
        <v>870529.98</v>
      </c>
      <c r="N283" s="458">
        <v>4807.75</v>
      </c>
      <c r="O283" s="458">
        <v>455.2</v>
      </c>
      <c r="P283" s="458">
        <v>7040</v>
      </c>
      <c r="Q283" s="458"/>
      <c r="R283" s="458">
        <v>1108.05</v>
      </c>
      <c r="S283" s="454">
        <v>-64.08</v>
      </c>
      <c r="T283" s="344">
        <f t="shared" si="17"/>
        <v>883876.9</v>
      </c>
      <c r="U283" s="456">
        <v>-7129.16</v>
      </c>
      <c r="V283" s="458"/>
      <c r="W283" s="458">
        <v>0</v>
      </c>
      <c r="X283" s="462">
        <v>75</v>
      </c>
      <c r="Y283" s="463">
        <v>1</v>
      </c>
      <c r="Z283" s="464">
        <v>425</v>
      </c>
      <c r="AA283" s="527"/>
      <c r="AB283" s="469">
        <v>1741</v>
      </c>
      <c r="AC283" s="307">
        <f>AB283/VPI!R283</f>
        <v>0.15124457694224852</v>
      </c>
      <c r="AD283" s="309">
        <f t="shared" si="18"/>
        <v>153073</v>
      </c>
      <c r="AE283" s="307">
        <f>AD283/VPI!R283</f>
        <v>13.29779501796715</v>
      </c>
      <c r="AF283" s="469">
        <v>154814</v>
      </c>
      <c r="AG283" s="469">
        <v>31285</v>
      </c>
      <c r="AH283" s="469">
        <v>51832</v>
      </c>
      <c r="AI283" s="534"/>
      <c r="AJ283" s="464"/>
      <c r="AK283" s="307">
        <f>AJ283/VPI!R283</f>
        <v>0</v>
      </c>
      <c r="AL283" s="309">
        <f t="shared" si="19"/>
        <v>70053</v>
      </c>
      <c r="AM283" s="307">
        <f>AL283/VPI!R283</f>
        <v>6.085661314494736</v>
      </c>
      <c r="AN283" s="464">
        <v>70053</v>
      </c>
      <c r="AO283" s="534"/>
      <c r="AP283" s="477">
        <v>12.102056537982167</v>
      </c>
      <c r="AR283" s="530">
        <v>0</v>
      </c>
    </row>
    <row r="284" spans="1:44" x14ac:dyDescent="0.25">
      <c r="A284" s="525">
        <v>5911</v>
      </c>
      <c r="B284" s="526" t="s">
        <v>59</v>
      </c>
      <c r="C284" s="454">
        <v>459974.59</v>
      </c>
      <c r="D284" s="454">
        <v>38398.129999999997</v>
      </c>
      <c r="E284" s="454"/>
      <c r="F284" s="455">
        <v>1550</v>
      </c>
      <c r="G284" s="454">
        <v>9469.5499999999993</v>
      </c>
      <c r="H284" s="454">
        <v>909.85</v>
      </c>
      <c r="I284" s="454"/>
      <c r="J284" s="454">
        <v>129.72</v>
      </c>
      <c r="K284" s="454">
        <v>2200.0500000000002</v>
      </c>
      <c r="L284" s="454">
        <v>36562.699999999997</v>
      </c>
      <c r="M284" s="344">
        <f t="shared" si="16"/>
        <v>549194.59</v>
      </c>
      <c r="N284" s="458">
        <v>0</v>
      </c>
      <c r="O284" s="458">
        <v>464515.4</v>
      </c>
      <c r="P284" s="458">
        <v>17277.2</v>
      </c>
      <c r="Q284" s="458">
        <v>45.33</v>
      </c>
      <c r="R284" s="458">
        <v>18271.900000000001</v>
      </c>
      <c r="S284" s="454">
        <v>1007.81</v>
      </c>
      <c r="T284" s="344">
        <f t="shared" si="17"/>
        <v>1050312.23</v>
      </c>
      <c r="U284" s="456">
        <v>-5470.91</v>
      </c>
      <c r="V284" s="458"/>
      <c r="W284" s="458">
        <v>-160</v>
      </c>
      <c r="X284" s="462">
        <v>77</v>
      </c>
      <c r="Y284" s="463">
        <v>1</v>
      </c>
      <c r="Z284" s="464">
        <v>241</v>
      </c>
      <c r="AA284" s="527"/>
      <c r="AB284" s="469"/>
      <c r="AC284" s="307">
        <f>AB284/VPI!R284</f>
        <v>0</v>
      </c>
      <c r="AD284" s="309">
        <f t="shared" si="18"/>
        <v>116169</v>
      </c>
      <c r="AE284" s="307">
        <f>AD284/VPI!R284</f>
        <v>16.424415610226653</v>
      </c>
      <c r="AF284" s="469">
        <v>116169</v>
      </c>
      <c r="AG284" s="469">
        <v>11960</v>
      </c>
      <c r="AH284" s="469">
        <v>24657</v>
      </c>
      <c r="AI284" s="534"/>
      <c r="AJ284" s="464"/>
      <c r="AK284" s="307">
        <f>AJ284/VPI!R284</f>
        <v>0</v>
      </c>
      <c r="AL284" s="309">
        <f t="shared" si="19"/>
        <v>16002</v>
      </c>
      <c r="AM284" s="307">
        <f>AL284/VPI!R284</f>
        <v>2.2624236981883885</v>
      </c>
      <c r="AN284" s="464">
        <v>16002</v>
      </c>
      <c r="AO284" s="534"/>
      <c r="AP284" s="477">
        <v>14.129386615615505</v>
      </c>
      <c r="AR284" s="530">
        <v>0</v>
      </c>
    </row>
    <row r="285" spans="1:44" x14ac:dyDescent="0.25">
      <c r="A285" s="525">
        <v>5912</v>
      </c>
      <c r="B285" s="526" t="s">
        <v>60</v>
      </c>
      <c r="C285" s="454">
        <v>249679.67</v>
      </c>
      <c r="D285" s="454">
        <v>13129.95</v>
      </c>
      <c r="E285" s="454"/>
      <c r="F285" s="455">
        <v>931.7</v>
      </c>
      <c r="G285" s="454">
        <v>17917.8</v>
      </c>
      <c r="H285" s="454">
        <v>514.4</v>
      </c>
      <c r="I285" s="454"/>
      <c r="J285" s="454">
        <v>11603.14</v>
      </c>
      <c r="K285" s="454"/>
      <c r="L285" s="454">
        <v>24338.400000000001</v>
      </c>
      <c r="M285" s="344">
        <f t="shared" si="16"/>
        <v>318115.06000000006</v>
      </c>
      <c r="N285" s="458">
        <v>0</v>
      </c>
      <c r="O285" s="458"/>
      <c r="P285" s="458">
        <v>10946.55</v>
      </c>
      <c r="Q285" s="458"/>
      <c r="R285" s="458">
        <v>6490.7</v>
      </c>
      <c r="S285" s="454">
        <v>1789.72</v>
      </c>
      <c r="T285" s="344">
        <f t="shared" si="17"/>
        <v>337342.03</v>
      </c>
      <c r="U285" s="456">
        <v>-3683.95</v>
      </c>
      <c r="V285" s="458"/>
      <c r="W285" s="458">
        <v>0</v>
      </c>
      <c r="X285" s="462">
        <v>78</v>
      </c>
      <c r="Y285" s="463">
        <v>1</v>
      </c>
      <c r="Z285" s="464">
        <v>172</v>
      </c>
      <c r="AA285" s="527"/>
      <c r="AB285" s="469"/>
      <c r="AC285" s="307">
        <f>AB285/VPI!R285</f>
        <v>0</v>
      </c>
      <c r="AD285" s="309">
        <f t="shared" si="18"/>
        <v>32650</v>
      </c>
      <c r="AE285" s="307">
        <f>AD285/VPI!R285</f>
        <v>8.0535491605660514</v>
      </c>
      <c r="AF285" s="469">
        <v>32650</v>
      </c>
      <c r="AG285" s="469">
        <v>7908</v>
      </c>
      <c r="AH285" s="469">
        <v>19953</v>
      </c>
      <c r="AI285" s="534"/>
      <c r="AJ285" s="464"/>
      <c r="AK285" s="307">
        <f>AJ285/VPI!R285</f>
        <v>0</v>
      </c>
      <c r="AL285" s="309">
        <f t="shared" si="19"/>
        <v>31955</v>
      </c>
      <c r="AM285" s="307">
        <f>AL285/VPI!R285</f>
        <v>7.8821183285111225</v>
      </c>
      <c r="AN285" s="464">
        <v>31955</v>
      </c>
      <c r="AO285" s="534"/>
      <c r="AP285" s="477">
        <v>-0.89302206439303511</v>
      </c>
      <c r="AR285" s="530">
        <v>0</v>
      </c>
    </row>
    <row r="286" spans="1:44" x14ac:dyDescent="0.25">
      <c r="A286" s="525">
        <v>5913</v>
      </c>
      <c r="B286" s="526" t="s">
        <v>61</v>
      </c>
      <c r="C286" s="454">
        <v>1268925.8899999999</v>
      </c>
      <c r="D286" s="454">
        <v>148760.65</v>
      </c>
      <c r="E286" s="454"/>
      <c r="F286" s="455"/>
      <c r="G286" s="454">
        <v>22696.45</v>
      </c>
      <c r="H286" s="454">
        <v>472.05</v>
      </c>
      <c r="I286" s="454"/>
      <c r="J286" s="454">
        <v>27591.71</v>
      </c>
      <c r="K286" s="454">
        <v>1401.7</v>
      </c>
      <c r="L286" s="454">
        <v>134590.54999999999</v>
      </c>
      <c r="M286" s="344">
        <f t="shared" si="16"/>
        <v>1604438.9999999998</v>
      </c>
      <c r="N286" s="458">
        <v>14596.95</v>
      </c>
      <c r="O286" s="458">
        <v>2864.4</v>
      </c>
      <c r="P286" s="458">
        <v>72314</v>
      </c>
      <c r="Q286" s="458"/>
      <c r="R286" s="458">
        <v>82583.399999999994</v>
      </c>
      <c r="S286" s="454">
        <v>2249.6</v>
      </c>
      <c r="T286" s="344">
        <f t="shared" si="17"/>
        <v>1779047.3499999996</v>
      </c>
      <c r="U286" s="456">
        <v>-9990.3700000000008</v>
      </c>
      <c r="V286" s="458"/>
      <c r="W286" s="458">
        <v>-422.2</v>
      </c>
      <c r="X286" s="462">
        <v>73</v>
      </c>
      <c r="Y286" s="463">
        <v>1</v>
      </c>
      <c r="Z286" s="464">
        <v>917</v>
      </c>
      <c r="AA286" s="527"/>
      <c r="AB286" s="469">
        <v>17584</v>
      </c>
      <c r="AC286" s="307">
        <f>AB286/VPI!R286</f>
        <v>0.80414162455349292</v>
      </c>
      <c r="AD286" s="309">
        <f t="shared" si="18"/>
        <v>92762</v>
      </c>
      <c r="AE286" s="307">
        <f>AD286/VPI!R286</f>
        <v>4.2421397507297032</v>
      </c>
      <c r="AF286" s="469">
        <v>110346</v>
      </c>
      <c r="AG286" s="469">
        <v>68130</v>
      </c>
      <c r="AH286" s="469">
        <v>92635</v>
      </c>
      <c r="AI286" s="534"/>
      <c r="AJ286" s="464"/>
      <c r="AK286" s="307">
        <f>AJ286/VPI!R286</f>
        <v>0</v>
      </c>
      <c r="AL286" s="309">
        <f t="shared" si="19"/>
        <v>46697</v>
      </c>
      <c r="AM286" s="307">
        <f>AL286/VPI!R286</f>
        <v>2.1355210101100122</v>
      </c>
      <c r="AN286" s="464">
        <v>46697</v>
      </c>
      <c r="AO286" s="534"/>
      <c r="AP286" s="477">
        <v>0.94899169010694306</v>
      </c>
      <c r="AR286" s="530">
        <v>0</v>
      </c>
    </row>
    <row r="287" spans="1:44" x14ac:dyDescent="0.25">
      <c r="A287" s="525">
        <v>5914</v>
      </c>
      <c r="B287" s="526" t="s">
        <v>62</v>
      </c>
      <c r="C287" s="454">
        <v>636854.77</v>
      </c>
      <c r="D287" s="454">
        <v>43656.57</v>
      </c>
      <c r="E287" s="454"/>
      <c r="F287" s="455">
        <v>2200</v>
      </c>
      <c r="G287" s="454">
        <v>12758.35</v>
      </c>
      <c r="H287" s="454">
        <v>2948.9</v>
      </c>
      <c r="I287" s="454"/>
      <c r="J287" s="454">
        <v>15354.84</v>
      </c>
      <c r="K287" s="454">
        <v>7972.35</v>
      </c>
      <c r="L287" s="454">
        <v>68369.850000000006</v>
      </c>
      <c r="M287" s="344">
        <f t="shared" si="16"/>
        <v>790115.62999999989</v>
      </c>
      <c r="N287" s="458">
        <v>30054.1</v>
      </c>
      <c r="O287" s="458"/>
      <c r="P287" s="458">
        <v>24200</v>
      </c>
      <c r="Q287" s="458">
        <v>1217.06</v>
      </c>
      <c r="R287" s="458">
        <v>7910.5</v>
      </c>
      <c r="S287" s="454">
        <v>1525.13</v>
      </c>
      <c r="T287" s="344">
        <f t="shared" si="17"/>
        <v>855022.41999999993</v>
      </c>
      <c r="U287" s="456">
        <v>-13293.4</v>
      </c>
      <c r="V287" s="458"/>
      <c r="W287" s="458">
        <v>0</v>
      </c>
      <c r="X287" s="462">
        <v>73.5</v>
      </c>
      <c r="Y287" s="463">
        <v>1</v>
      </c>
      <c r="Z287" s="464">
        <v>381</v>
      </c>
      <c r="AA287" s="527"/>
      <c r="AB287" s="469">
        <v>32391</v>
      </c>
      <c r="AC287" s="307">
        <f>AB287/VPI!R287</f>
        <v>3.0539342726801206</v>
      </c>
      <c r="AD287" s="309">
        <f t="shared" si="18"/>
        <v>55846</v>
      </c>
      <c r="AE287" s="307">
        <f>AD287/VPI!R287</f>
        <v>5.2653518999751174</v>
      </c>
      <c r="AF287" s="469">
        <v>88237</v>
      </c>
      <c r="AG287" s="469">
        <v>47941</v>
      </c>
      <c r="AH287" s="469">
        <v>50566</v>
      </c>
      <c r="AI287" s="534"/>
      <c r="AJ287" s="464"/>
      <c r="AK287" s="307">
        <f>AJ287/VPI!R287</f>
        <v>0</v>
      </c>
      <c r="AL287" s="309">
        <f t="shared" si="19"/>
        <v>16215</v>
      </c>
      <c r="AM287" s="307">
        <f>AL287/VPI!R287</f>
        <v>1.5288056630393676</v>
      </c>
      <c r="AN287" s="464">
        <v>16215</v>
      </c>
      <c r="AO287" s="534"/>
      <c r="AP287" s="477">
        <v>11.164438738295495</v>
      </c>
      <c r="AR287" s="530">
        <v>1</v>
      </c>
    </row>
    <row r="288" spans="1:44" x14ac:dyDescent="0.25">
      <c r="A288" s="525">
        <v>5919</v>
      </c>
      <c r="B288" s="526" t="s">
        <v>321</v>
      </c>
      <c r="C288" s="454">
        <v>1159871.2</v>
      </c>
      <c r="D288" s="454">
        <v>168864.09</v>
      </c>
      <c r="E288" s="454"/>
      <c r="F288" s="455">
        <v>4340</v>
      </c>
      <c r="G288" s="454">
        <v>16559.3</v>
      </c>
      <c r="H288" s="454">
        <v>3800.85</v>
      </c>
      <c r="I288" s="454"/>
      <c r="J288" s="454">
        <v>46400.98</v>
      </c>
      <c r="K288" s="454">
        <v>12392.15</v>
      </c>
      <c r="L288" s="454">
        <v>168167</v>
      </c>
      <c r="M288" s="344">
        <f t="shared" si="16"/>
        <v>1580395.57</v>
      </c>
      <c r="N288" s="458">
        <v>46399.1</v>
      </c>
      <c r="O288" s="458"/>
      <c r="P288" s="458">
        <v>78508</v>
      </c>
      <c r="Q288" s="458"/>
      <c r="R288" s="458">
        <v>68929</v>
      </c>
      <c r="S288" s="454">
        <v>1976.92</v>
      </c>
      <c r="T288" s="344">
        <f t="shared" si="17"/>
        <v>1776208.59</v>
      </c>
      <c r="U288" s="456">
        <v>-11314.42</v>
      </c>
      <c r="V288" s="458"/>
      <c r="W288" s="458">
        <v>0</v>
      </c>
      <c r="X288" s="462">
        <v>72</v>
      </c>
      <c r="Y288" s="463">
        <v>1.2</v>
      </c>
      <c r="Z288" s="464">
        <v>725</v>
      </c>
      <c r="AA288" s="527"/>
      <c r="AB288" s="469">
        <v>97493</v>
      </c>
      <c r="AC288" s="307">
        <f>AB288/VPI!R288</f>
        <v>4.5491629607750763</v>
      </c>
      <c r="AD288" s="309">
        <f t="shared" si="18"/>
        <v>216359</v>
      </c>
      <c r="AE288" s="307">
        <f>AD288/VPI!R288</f>
        <v>10.095620701284551</v>
      </c>
      <c r="AF288" s="469">
        <v>313852</v>
      </c>
      <c r="AG288" s="469">
        <v>52562</v>
      </c>
      <c r="AH288" s="469">
        <v>26542</v>
      </c>
      <c r="AI288" s="534"/>
      <c r="AJ288" s="464"/>
      <c r="AK288" s="307">
        <f>AJ288/VPI!R288</f>
        <v>0</v>
      </c>
      <c r="AL288" s="309">
        <f t="shared" si="19"/>
        <v>4605</v>
      </c>
      <c r="AM288" s="307">
        <f>AL288/VPI!R288</f>
        <v>0.21487589298071888</v>
      </c>
      <c r="AN288" s="464">
        <v>4605</v>
      </c>
      <c r="AO288" s="534"/>
      <c r="AP288" s="477">
        <v>11.323709420775081</v>
      </c>
      <c r="AR288" s="530">
        <v>1</v>
      </c>
    </row>
    <row r="289" spans="1:44" x14ac:dyDescent="0.25">
      <c r="A289" s="525">
        <v>5921</v>
      </c>
      <c r="B289" s="526" t="s">
        <v>322</v>
      </c>
      <c r="C289" s="454">
        <v>516426.34</v>
      </c>
      <c r="D289" s="454">
        <v>76018.75</v>
      </c>
      <c r="E289" s="454"/>
      <c r="F289" s="455">
        <v>1604.05</v>
      </c>
      <c r="G289" s="454">
        <v>40291.65</v>
      </c>
      <c r="H289" s="454">
        <v>1513.65</v>
      </c>
      <c r="I289" s="454"/>
      <c r="J289" s="454">
        <v>8943.15</v>
      </c>
      <c r="K289" s="454"/>
      <c r="L289" s="454">
        <v>42721.55</v>
      </c>
      <c r="M289" s="344">
        <f t="shared" si="16"/>
        <v>687519.14000000025</v>
      </c>
      <c r="N289" s="458">
        <v>9549.0499999999993</v>
      </c>
      <c r="O289" s="458"/>
      <c r="P289" s="458">
        <v>29410.85</v>
      </c>
      <c r="Q289" s="458"/>
      <c r="R289" s="458">
        <v>38769.9</v>
      </c>
      <c r="S289" s="454">
        <v>4059.19</v>
      </c>
      <c r="T289" s="344">
        <f t="shared" si="17"/>
        <v>769308.13000000024</v>
      </c>
      <c r="U289" s="456">
        <v>-9076.84</v>
      </c>
      <c r="V289" s="458"/>
      <c r="W289" s="458">
        <v>0.2</v>
      </c>
      <c r="X289" s="462">
        <v>81</v>
      </c>
      <c r="Y289" s="463">
        <v>1</v>
      </c>
      <c r="Z289" s="464">
        <v>269</v>
      </c>
      <c r="AA289" s="527"/>
      <c r="AB289" s="469"/>
      <c r="AC289" s="307">
        <f>AB289/VPI!R289</f>
        <v>0</v>
      </c>
      <c r="AD289" s="309">
        <f t="shared" si="18"/>
        <v>21734</v>
      </c>
      <c r="AE289" s="307">
        <f>AD289/VPI!R289</f>
        <v>2.5794133931009018</v>
      </c>
      <c r="AF289" s="469">
        <v>21734</v>
      </c>
      <c r="AG289" s="469">
        <v>13937</v>
      </c>
      <c r="AH289" s="469">
        <v>33908</v>
      </c>
      <c r="AI289" s="534"/>
      <c r="AJ289" s="464"/>
      <c r="AK289" s="307">
        <f>AJ289/VPI!R289</f>
        <v>0</v>
      </c>
      <c r="AL289" s="309">
        <f t="shared" si="19"/>
        <v>33261</v>
      </c>
      <c r="AM289" s="307">
        <f>AL289/VPI!R289</f>
        <v>3.9474495660223194</v>
      </c>
      <c r="AN289" s="464">
        <v>33261</v>
      </c>
      <c r="AO289" s="534"/>
      <c r="AP289" s="477">
        <v>-16.808520350993998</v>
      </c>
      <c r="AR289" s="530">
        <v>0</v>
      </c>
    </row>
    <row r="290" spans="1:44" x14ac:dyDescent="0.25">
      <c r="A290" s="525">
        <v>5922</v>
      </c>
      <c r="B290" s="526" t="s">
        <v>234</v>
      </c>
      <c r="C290" s="454">
        <v>1314547.23</v>
      </c>
      <c r="D290" s="454">
        <v>218422.38</v>
      </c>
      <c r="E290" s="454"/>
      <c r="F290" s="455"/>
      <c r="G290" s="454">
        <v>498364.95</v>
      </c>
      <c r="H290" s="454">
        <v>29651.5</v>
      </c>
      <c r="I290" s="454"/>
      <c r="J290" s="454">
        <v>101007.41</v>
      </c>
      <c r="K290" s="454">
        <v>66696.75</v>
      </c>
      <c r="L290" s="454">
        <v>295349.09999999998</v>
      </c>
      <c r="M290" s="344">
        <f t="shared" si="16"/>
        <v>2524039.3199999998</v>
      </c>
      <c r="N290" s="458">
        <v>441178.7</v>
      </c>
      <c r="O290" s="458"/>
      <c r="P290" s="458">
        <v>253982.8</v>
      </c>
      <c r="Q290" s="458">
        <v>7476.43</v>
      </c>
      <c r="R290" s="458">
        <v>70255.899999999994</v>
      </c>
      <c r="S290" s="454">
        <v>51269.08</v>
      </c>
      <c r="T290" s="344">
        <f t="shared" si="17"/>
        <v>3348202.23</v>
      </c>
      <c r="U290" s="456">
        <v>-25397.3</v>
      </c>
      <c r="V290" s="458"/>
      <c r="W290" s="458">
        <v>-588.54999999999995</v>
      </c>
      <c r="X290" s="462">
        <v>64.5</v>
      </c>
      <c r="Y290" s="463">
        <v>0.8</v>
      </c>
      <c r="Z290" s="464">
        <v>783</v>
      </c>
      <c r="AA290" s="527"/>
      <c r="AB290" s="469">
        <v>36816</v>
      </c>
      <c r="AC290" s="307">
        <f>AB290/VPI!R290</f>
        <v>0.90268352208960168</v>
      </c>
      <c r="AD290" s="309">
        <f t="shared" si="18"/>
        <v>76352</v>
      </c>
      <c r="AE290" s="307">
        <f>AD290/VPI!R290</f>
        <v>1.8720581344683092</v>
      </c>
      <c r="AF290" s="469">
        <v>113168</v>
      </c>
      <c r="AG290" s="469">
        <v>351440</v>
      </c>
      <c r="AH290" s="469">
        <v>114475</v>
      </c>
      <c r="AI290" s="534"/>
      <c r="AJ290" s="464"/>
      <c r="AK290" s="307">
        <f>AJ290/VPI!R290</f>
        <v>0</v>
      </c>
      <c r="AL290" s="309">
        <f t="shared" si="19"/>
        <v>4204</v>
      </c>
      <c r="AM290" s="307">
        <f>AL290/VPI!R290</f>
        <v>0.1030769645497796</v>
      </c>
      <c r="AN290" s="464">
        <v>4204</v>
      </c>
      <c r="AO290" s="534"/>
      <c r="AP290" s="477">
        <v>28.698507715921821</v>
      </c>
      <c r="AR290" s="530">
        <v>0</v>
      </c>
    </row>
    <row r="291" spans="1:44" x14ac:dyDescent="0.25">
      <c r="A291" s="525">
        <v>5923</v>
      </c>
      <c r="B291" s="526" t="s">
        <v>235</v>
      </c>
      <c r="C291" s="454">
        <v>353078.47</v>
      </c>
      <c r="D291" s="454">
        <v>54741.32</v>
      </c>
      <c r="E291" s="454"/>
      <c r="F291" s="455"/>
      <c r="G291" s="454">
        <v>1002.4</v>
      </c>
      <c r="H291" s="454">
        <v>-238.2</v>
      </c>
      <c r="I291" s="454"/>
      <c r="J291" s="454">
        <v>15704.68</v>
      </c>
      <c r="K291" s="454"/>
      <c r="L291" s="454">
        <v>27501.7</v>
      </c>
      <c r="M291" s="344">
        <f t="shared" si="16"/>
        <v>451790.37</v>
      </c>
      <c r="N291" s="458">
        <v>27717.1</v>
      </c>
      <c r="O291" s="458"/>
      <c r="P291" s="458"/>
      <c r="Q291" s="458"/>
      <c r="R291" s="458"/>
      <c r="S291" s="454">
        <v>74.2</v>
      </c>
      <c r="T291" s="344">
        <f t="shared" si="17"/>
        <v>479581.67</v>
      </c>
      <c r="U291" s="456">
        <v>-2856.13</v>
      </c>
      <c r="V291" s="458"/>
      <c r="W291" s="458">
        <v>0</v>
      </c>
      <c r="X291" s="462">
        <v>79</v>
      </c>
      <c r="Y291" s="463">
        <v>1</v>
      </c>
      <c r="Z291" s="464">
        <v>202</v>
      </c>
      <c r="AA291" s="527"/>
      <c r="AB291" s="469">
        <v>15692</v>
      </c>
      <c r="AC291" s="307">
        <f>AB291/VPI!R291</f>
        <v>2.760901331832426</v>
      </c>
      <c r="AD291" s="309">
        <f t="shared" si="18"/>
        <v>139556</v>
      </c>
      <c r="AE291" s="307">
        <f>AD291/VPI!R291</f>
        <v>24.553934888172702</v>
      </c>
      <c r="AF291" s="469">
        <v>155248</v>
      </c>
      <c r="AG291" s="469">
        <v>9984</v>
      </c>
      <c r="AH291" s="469">
        <v>20341</v>
      </c>
      <c r="AI291" s="534"/>
      <c r="AJ291" s="464"/>
      <c r="AK291" s="307">
        <f>AJ291/VPI!R291</f>
        <v>0</v>
      </c>
      <c r="AL291" s="309">
        <f t="shared" si="19"/>
        <v>28495</v>
      </c>
      <c r="AM291" s="307">
        <f>AL291/VPI!R291</f>
        <v>5.0135026415093664</v>
      </c>
      <c r="AN291" s="464">
        <v>28495</v>
      </c>
      <c r="AO291" s="534"/>
      <c r="AP291" s="477">
        <v>9.9209187158558159</v>
      </c>
      <c r="AR291" s="530">
        <v>0</v>
      </c>
    </row>
    <row r="292" spans="1:44" x14ac:dyDescent="0.25">
      <c r="A292" s="525">
        <v>5924</v>
      </c>
      <c r="B292" s="526" t="s">
        <v>236</v>
      </c>
      <c r="C292" s="454">
        <v>815586.51</v>
      </c>
      <c r="D292" s="454">
        <v>90317.22</v>
      </c>
      <c r="E292" s="454"/>
      <c r="F292" s="455"/>
      <c r="G292" s="454">
        <v>-4753.6499999999996</v>
      </c>
      <c r="H292" s="454">
        <v>768.45</v>
      </c>
      <c r="I292" s="454"/>
      <c r="J292" s="454">
        <v>15030.38</v>
      </c>
      <c r="K292" s="454"/>
      <c r="L292" s="454">
        <v>65587.45</v>
      </c>
      <c r="M292" s="344">
        <f t="shared" si="16"/>
        <v>982536.35999999987</v>
      </c>
      <c r="N292" s="458">
        <v>40700.550000000003</v>
      </c>
      <c r="O292" s="458"/>
      <c r="P292" s="458">
        <v>27873.9</v>
      </c>
      <c r="Q292" s="458">
        <v>963.72</v>
      </c>
      <c r="R292" s="458">
        <v>55911.85</v>
      </c>
      <c r="S292" s="454">
        <v>-386.95</v>
      </c>
      <c r="T292" s="344">
        <f t="shared" si="17"/>
        <v>1107599.43</v>
      </c>
      <c r="U292" s="456">
        <v>-1321.63</v>
      </c>
      <c r="V292" s="458"/>
      <c r="W292" s="458">
        <v>-155.5</v>
      </c>
      <c r="X292" s="462">
        <v>74</v>
      </c>
      <c r="Y292" s="463">
        <v>1</v>
      </c>
      <c r="Z292" s="464">
        <v>424</v>
      </c>
      <c r="AA292" s="527"/>
      <c r="AB292" s="469">
        <v>39867</v>
      </c>
      <c r="AC292" s="307">
        <f>AB292/VPI!R292</f>
        <v>3.0053482146131563</v>
      </c>
      <c r="AD292" s="309">
        <f t="shared" si="18"/>
        <v>105396</v>
      </c>
      <c r="AE292" s="307">
        <f>AD292/VPI!R292</f>
        <v>7.9452098333801944</v>
      </c>
      <c r="AF292" s="469">
        <v>145263</v>
      </c>
      <c r="AG292" s="469">
        <v>20560</v>
      </c>
      <c r="AH292" s="469">
        <v>64336</v>
      </c>
      <c r="AI292" s="534"/>
      <c r="AJ292" s="464"/>
      <c r="AK292" s="307">
        <f>AJ292/VPI!R292</f>
        <v>0</v>
      </c>
      <c r="AL292" s="309">
        <f t="shared" si="19"/>
        <v>19918</v>
      </c>
      <c r="AM292" s="307">
        <f>AL292/VPI!R292</f>
        <v>1.5015056497520467</v>
      </c>
      <c r="AN292" s="464">
        <v>19918</v>
      </c>
      <c r="AO292" s="534"/>
      <c r="AP292" s="477">
        <v>11.958854413671851</v>
      </c>
      <c r="AR292" s="530">
        <v>0</v>
      </c>
    </row>
    <row r="293" spans="1:44" x14ac:dyDescent="0.25">
      <c r="A293" s="525">
        <v>5925</v>
      </c>
      <c r="B293" s="526" t="s">
        <v>326</v>
      </c>
      <c r="C293" s="454">
        <v>316509.82</v>
      </c>
      <c r="D293" s="454">
        <v>60681.95</v>
      </c>
      <c r="E293" s="454"/>
      <c r="F293" s="455">
        <v>1220</v>
      </c>
      <c r="G293" s="454">
        <v>-13087.55</v>
      </c>
      <c r="H293" s="454">
        <v>283.05</v>
      </c>
      <c r="I293" s="454"/>
      <c r="J293" s="454">
        <v>8313.44</v>
      </c>
      <c r="K293" s="454"/>
      <c r="L293" s="454">
        <v>36364.050000000003</v>
      </c>
      <c r="M293" s="344">
        <f t="shared" si="16"/>
        <v>410284.76</v>
      </c>
      <c r="N293" s="458">
        <v>2336.9</v>
      </c>
      <c r="O293" s="458">
        <v>11457.8</v>
      </c>
      <c r="P293" s="458">
        <v>4400</v>
      </c>
      <c r="Q293" s="458"/>
      <c r="R293" s="458">
        <v>20020.95</v>
      </c>
      <c r="S293" s="454">
        <v>-1243.28</v>
      </c>
      <c r="T293" s="344">
        <f t="shared" si="17"/>
        <v>447257.13</v>
      </c>
      <c r="U293" s="456">
        <v>-9270.2199999999993</v>
      </c>
      <c r="V293" s="458"/>
      <c r="W293" s="458">
        <v>-396.7</v>
      </c>
      <c r="X293" s="462">
        <v>79</v>
      </c>
      <c r="Y293" s="463">
        <v>1</v>
      </c>
      <c r="Z293" s="464">
        <v>216</v>
      </c>
      <c r="AA293" s="527"/>
      <c r="AB293" s="469">
        <v>3827</v>
      </c>
      <c r="AC293" s="307">
        <f>AB293/VPI!R293</f>
        <v>0.75701617048416903</v>
      </c>
      <c r="AD293" s="309">
        <f t="shared" si="18"/>
        <v>6272</v>
      </c>
      <c r="AE293" s="307">
        <f>AD293/VPI!R293</f>
        <v>1.2406598958130934</v>
      </c>
      <c r="AF293" s="469">
        <v>10099</v>
      </c>
      <c r="AG293" s="469">
        <v>10576</v>
      </c>
      <c r="AH293" s="469">
        <v>21550</v>
      </c>
      <c r="AI293" s="534"/>
      <c r="AJ293" s="464"/>
      <c r="AK293" s="307">
        <f>AJ293/VPI!R293</f>
        <v>0</v>
      </c>
      <c r="AL293" s="309">
        <f t="shared" si="19"/>
        <v>13194</v>
      </c>
      <c r="AM293" s="307">
        <f>AL293/VPI!R293</f>
        <v>2.609895833124674</v>
      </c>
      <c r="AN293" s="464">
        <v>13194</v>
      </c>
      <c r="AO293" s="534"/>
      <c r="AP293" s="477">
        <v>5.8752787815273013</v>
      </c>
      <c r="AR293" s="530">
        <v>0</v>
      </c>
    </row>
    <row r="294" spans="1:44" x14ac:dyDescent="0.25">
      <c r="A294" s="525">
        <v>5926</v>
      </c>
      <c r="B294" s="526" t="s">
        <v>327</v>
      </c>
      <c r="C294" s="454">
        <v>1454847.12</v>
      </c>
      <c r="D294" s="454">
        <v>237340.39</v>
      </c>
      <c r="E294" s="454"/>
      <c r="F294" s="455"/>
      <c r="G294" s="454">
        <v>36467.65</v>
      </c>
      <c r="H294" s="454">
        <v>2970.8</v>
      </c>
      <c r="I294" s="454"/>
      <c r="J294" s="454">
        <v>32929.17</v>
      </c>
      <c r="K294" s="454"/>
      <c r="L294" s="594">
        <v>153636.85</v>
      </c>
      <c r="M294" s="344">
        <f t="shared" si="16"/>
        <v>1918191.9800000002</v>
      </c>
      <c r="N294" s="458">
        <v>28674.3</v>
      </c>
      <c r="O294" s="458">
        <v>18893.900000000001</v>
      </c>
      <c r="P294" s="458">
        <v>145017.85</v>
      </c>
      <c r="Q294" s="458"/>
      <c r="R294" s="458">
        <v>112535.85</v>
      </c>
      <c r="S294" s="454">
        <v>3829.37</v>
      </c>
      <c r="T294" s="344">
        <f t="shared" si="17"/>
        <v>2227143.2500000005</v>
      </c>
      <c r="U294" s="456">
        <v>-29736.79</v>
      </c>
      <c r="V294" s="458"/>
      <c r="W294" s="458">
        <v>-389.6</v>
      </c>
      <c r="X294" s="462">
        <v>71</v>
      </c>
      <c r="Y294" s="463">
        <v>1</v>
      </c>
      <c r="Z294" s="464">
        <v>877</v>
      </c>
      <c r="AA294" s="527"/>
      <c r="AB294" s="469">
        <v>96832</v>
      </c>
      <c r="AC294" s="307">
        <f>AB294/VPI!R294</f>
        <v>3.63396073532539</v>
      </c>
      <c r="AD294" s="309">
        <f t="shared" si="18"/>
        <v>90862</v>
      </c>
      <c r="AE294" s="307">
        <f>AD294/VPI!R294</f>
        <v>3.4099155272341335</v>
      </c>
      <c r="AF294" s="469">
        <v>187694</v>
      </c>
      <c r="AG294" s="469">
        <v>64868</v>
      </c>
      <c r="AH294" s="469">
        <v>103531</v>
      </c>
      <c r="AI294" s="534"/>
      <c r="AJ294" s="464"/>
      <c r="AK294" s="307">
        <f>AJ294/VPI!R294</f>
        <v>0</v>
      </c>
      <c r="AL294" s="309">
        <f t="shared" si="19"/>
        <v>20011</v>
      </c>
      <c r="AM294" s="307">
        <f>AL294/VPI!R294</f>
        <v>0.7509830249772429</v>
      </c>
      <c r="AN294" s="464">
        <v>20011</v>
      </c>
      <c r="AO294" s="534"/>
      <c r="AP294" s="477">
        <v>14.725147566951472</v>
      </c>
      <c r="AR294" s="530">
        <v>1</v>
      </c>
    </row>
    <row r="295" spans="1:44" x14ac:dyDescent="0.25">
      <c r="A295" s="525">
        <v>5928</v>
      </c>
      <c r="B295" s="526" t="s">
        <v>328</v>
      </c>
      <c r="C295" s="454">
        <v>346898.54</v>
      </c>
      <c r="D295" s="454">
        <v>42002.28</v>
      </c>
      <c r="E295" s="454"/>
      <c r="F295" s="455"/>
      <c r="G295" s="454">
        <v>15410.6</v>
      </c>
      <c r="H295" s="454">
        <v>111.45</v>
      </c>
      <c r="I295" s="454"/>
      <c r="J295" s="454">
        <v>4328.16</v>
      </c>
      <c r="K295" s="454"/>
      <c r="L295" s="454">
        <v>28947</v>
      </c>
      <c r="M295" s="344">
        <f t="shared" si="16"/>
        <v>437698.02999999991</v>
      </c>
      <c r="N295" s="458">
        <v>8628.0499999999993</v>
      </c>
      <c r="O295" s="458"/>
      <c r="P295" s="458">
        <v>25240.2</v>
      </c>
      <c r="Q295" s="458"/>
      <c r="R295" s="458"/>
      <c r="S295" s="454">
        <v>1507.15</v>
      </c>
      <c r="T295" s="344">
        <f t="shared" si="17"/>
        <v>473073.42999999993</v>
      </c>
      <c r="U295" s="456">
        <v>-1418.27</v>
      </c>
      <c r="V295" s="458"/>
      <c r="W295" s="458">
        <v>0</v>
      </c>
      <c r="X295" s="462">
        <v>73</v>
      </c>
      <c r="Y295" s="463">
        <v>1</v>
      </c>
      <c r="Z295" s="464">
        <v>195</v>
      </c>
      <c r="AA295" s="527"/>
      <c r="AB295" s="469">
        <v>13710</v>
      </c>
      <c r="AC295" s="307">
        <f>AB295/VPI!R295</f>
        <v>2.2861122092481025</v>
      </c>
      <c r="AD295" s="309">
        <f t="shared" si="18"/>
        <v>17751</v>
      </c>
      <c r="AE295" s="307">
        <f>AD295/VPI!R295</f>
        <v>2.9599400310986921</v>
      </c>
      <c r="AF295" s="469">
        <v>31461</v>
      </c>
      <c r="AG295" s="469">
        <v>9835</v>
      </c>
      <c r="AH295" s="469">
        <v>27042</v>
      </c>
      <c r="AI295" s="534"/>
      <c r="AJ295" s="464"/>
      <c r="AK295" s="307">
        <f>AJ295/VPI!R295</f>
        <v>0</v>
      </c>
      <c r="AL295" s="309">
        <f t="shared" si="19"/>
        <v>5712</v>
      </c>
      <c r="AM295" s="307">
        <f>AL295/VPI!R295</f>
        <v>0.95246337995807162</v>
      </c>
      <c r="AN295" s="464">
        <v>5712</v>
      </c>
      <c r="AO295" s="534"/>
      <c r="AP295" s="477">
        <v>9.0435380378693928</v>
      </c>
      <c r="AR295" s="530">
        <v>0</v>
      </c>
    </row>
    <row r="296" spans="1:44" x14ac:dyDescent="0.25">
      <c r="A296" s="525">
        <v>5929</v>
      </c>
      <c r="B296" s="526" t="s">
        <v>329</v>
      </c>
      <c r="C296" s="454">
        <v>1264267.93</v>
      </c>
      <c r="D296" s="454">
        <v>131534.64000000001</v>
      </c>
      <c r="E296" s="454"/>
      <c r="F296" s="455"/>
      <c r="G296" s="454">
        <v>2768.95</v>
      </c>
      <c r="H296" s="454">
        <v>2535.4499999999998</v>
      </c>
      <c r="I296" s="454">
        <v>70371</v>
      </c>
      <c r="J296" s="454">
        <v>23013.62</v>
      </c>
      <c r="K296" s="454"/>
      <c r="L296" s="454">
        <v>97221.15</v>
      </c>
      <c r="M296" s="344">
        <f t="shared" si="16"/>
        <v>1591712.7399999998</v>
      </c>
      <c r="N296" s="458">
        <v>24185.65</v>
      </c>
      <c r="O296" s="458"/>
      <c r="P296" s="458">
        <v>71871.45</v>
      </c>
      <c r="Q296" s="458">
        <v>175.56</v>
      </c>
      <c r="R296" s="458">
        <v>78157.55</v>
      </c>
      <c r="S296" s="454">
        <v>515.04</v>
      </c>
      <c r="T296" s="344">
        <f t="shared" si="17"/>
        <v>1766617.9899999998</v>
      </c>
      <c r="U296" s="456">
        <v>-9611.02</v>
      </c>
      <c r="V296" s="458"/>
      <c r="W296" s="458">
        <v>0</v>
      </c>
      <c r="X296" s="462">
        <v>70</v>
      </c>
      <c r="Y296" s="463">
        <v>0.8</v>
      </c>
      <c r="Z296" s="464">
        <v>670</v>
      </c>
      <c r="AA296" s="527"/>
      <c r="AB296" s="469"/>
      <c r="AC296" s="307">
        <f>AB296/VPI!R296</f>
        <v>0</v>
      </c>
      <c r="AD296" s="309">
        <f t="shared" si="18"/>
        <v>59052</v>
      </c>
      <c r="AE296" s="307">
        <f>AD296/VPI!R296</f>
        <v>2.5721150854242687</v>
      </c>
      <c r="AF296" s="469">
        <v>59052</v>
      </c>
      <c r="AG296" s="469">
        <v>32867</v>
      </c>
      <c r="AH296" s="469">
        <v>91084</v>
      </c>
      <c r="AI296" s="534"/>
      <c r="AJ296" s="464"/>
      <c r="AK296" s="307">
        <f>AJ296/VPI!R296</f>
        <v>0</v>
      </c>
      <c r="AL296" s="309">
        <f t="shared" si="19"/>
        <v>37835</v>
      </c>
      <c r="AM296" s="307">
        <f>AL296/VPI!R296</f>
        <v>1.6479708436128702</v>
      </c>
      <c r="AN296" s="464">
        <v>37835</v>
      </c>
      <c r="AO296" s="534"/>
      <c r="AP296" s="477">
        <v>17.468999488012145</v>
      </c>
      <c r="AR296" s="530">
        <v>1</v>
      </c>
    </row>
    <row r="297" spans="1:44" x14ac:dyDescent="0.25">
      <c r="A297" s="525">
        <v>5930</v>
      </c>
      <c r="B297" s="526" t="s">
        <v>330</v>
      </c>
      <c r="C297" s="454">
        <v>282012.06</v>
      </c>
      <c r="D297" s="454">
        <v>40874.06</v>
      </c>
      <c r="E297" s="454"/>
      <c r="F297" s="455">
        <v>1150</v>
      </c>
      <c r="G297" s="454">
        <v>-515.25</v>
      </c>
      <c r="H297" s="454">
        <v>264.95</v>
      </c>
      <c r="I297" s="454"/>
      <c r="J297" s="454">
        <v>15181.11</v>
      </c>
      <c r="K297" s="454">
        <v>944.1</v>
      </c>
      <c r="L297" s="454">
        <v>32768.949999999997</v>
      </c>
      <c r="M297" s="344">
        <f t="shared" si="16"/>
        <v>372679.98</v>
      </c>
      <c r="N297" s="458">
        <v>0</v>
      </c>
      <c r="O297" s="458"/>
      <c r="P297" s="458">
        <v>26417.65</v>
      </c>
      <c r="Q297" s="458"/>
      <c r="R297" s="458">
        <v>5748.85</v>
      </c>
      <c r="S297" s="454">
        <v>-24.3</v>
      </c>
      <c r="T297" s="344">
        <f t="shared" si="17"/>
        <v>404822.18</v>
      </c>
      <c r="U297" s="456">
        <v>-3787.72</v>
      </c>
      <c r="V297" s="458"/>
      <c r="W297" s="458">
        <v>0</v>
      </c>
      <c r="X297" s="462">
        <v>72</v>
      </c>
      <c r="Y297" s="463">
        <v>1</v>
      </c>
      <c r="Z297" s="464">
        <v>237</v>
      </c>
      <c r="AA297" s="527"/>
      <c r="AB297" s="469">
        <v>53205</v>
      </c>
      <c r="AC297" s="307">
        <f>AB297/VPI!R297</f>
        <v>10.385179563982732</v>
      </c>
      <c r="AD297" s="309">
        <f t="shared" si="18"/>
        <v>18564</v>
      </c>
      <c r="AE297" s="307">
        <f>AD297/VPI!R297</f>
        <v>3.6235405211122154</v>
      </c>
      <c r="AF297" s="469">
        <v>71769</v>
      </c>
      <c r="AG297" s="469">
        <v>16087</v>
      </c>
      <c r="AH297" s="469">
        <v>9284</v>
      </c>
      <c r="AI297" s="534"/>
      <c r="AJ297" s="464">
        <v>705</v>
      </c>
      <c r="AK297" s="307">
        <f>AJ297/VPI!R297</f>
        <v>0.13761021694592285</v>
      </c>
      <c r="AL297" s="309">
        <f t="shared" si="19"/>
        <v>1152</v>
      </c>
      <c r="AM297" s="307">
        <f>AL297/VPI!R297</f>
        <v>0.22486095024355054</v>
      </c>
      <c r="AN297" s="464">
        <v>1857</v>
      </c>
      <c r="AO297" s="534"/>
      <c r="AP297" s="477">
        <v>9.7785580569610389</v>
      </c>
      <c r="AR297" s="530">
        <v>1</v>
      </c>
    </row>
    <row r="298" spans="1:44" x14ac:dyDescent="0.25">
      <c r="A298" s="525">
        <v>5931</v>
      </c>
      <c r="B298" s="526" t="s">
        <v>331</v>
      </c>
      <c r="C298" s="454">
        <v>942569.94</v>
      </c>
      <c r="D298" s="454">
        <v>83955.87</v>
      </c>
      <c r="E298" s="454"/>
      <c r="F298" s="455"/>
      <c r="G298" s="454">
        <v>56763.8</v>
      </c>
      <c r="H298" s="454">
        <v>866.5</v>
      </c>
      <c r="I298" s="454"/>
      <c r="J298" s="454">
        <v>22066.43</v>
      </c>
      <c r="K298" s="454">
        <v>1328.4</v>
      </c>
      <c r="L298" s="454">
        <v>92744.75</v>
      </c>
      <c r="M298" s="344">
        <f t="shared" si="16"/>
        <v>1200295.6899999997</v>
      </c>
      <c r="N298" s="458">
        <v>25861.200000000001</v>
      </c>
      <c r="O298" s="458"/>
      <c r="P298" s="458">
        <v>21553.95</v>
      </c>
      <c r="Q298" s="458"/>
      <c r="R298" s="458">
        <v>23257.3</v>
      </c>
      <c r="S298" s="454">
        <v>5595.76</v>
      </c>
      <c r="T298" s="344">
        <f t="shared" si="17"/>
        <v>1276563.8999999997</v>
      </c>
      <c r="U298" s="456">
        <v>-2128.6799999999998</v>
      </c>
      <c r="V298" s="458"/>
      <c r="W298" s="458">
        <v>-22.4</v>
      </c>
      <c r="X298" s="462">
        <v>73</v>
      </c>
      <c r="Y298" s="463">
        <v>1</v>
      </c>
      <c r="Z298" s="464">
        <v>513</v>
      </c>
      <c r="AA298" s="527"/>
      <c r="AB298" s="469">
        <v>99646</v>
      </c>
      <c r="AC298" s="307">
        <f>AB298/VPI!R298</f>
        <v>6.0429625700764689</v>
      </c>
      <c r="AD298" s="309">
        <f t="shared" si="18"/>
        <v>37184</v>
      </c>
      <c r="AE298" s="307">
        <f>AD298/VPI!R298</f>
        <v>2.2549978946041329</v>
      </c>
      <c r="AF298" s="469">
        <v>136830</v>
      </c>
      <c r="AG298" s="469">
        <v>38699</v>
      </c>
      <c r="AH298" s="469">
        <v>20916</v>
      </c>
      <c r="AI298" s="534"/>
      <c r="AJ298" s="464"/>
      <c r="AK298" s="307">
        <f>AJ298/VPI!R298</f>
        <v>0</v>
      </c>
      <c r="AL298" s="309">
        <f t="shared" si="19"/>
        <v>1773</v>
      </c>
      <c r="AM298" s="307">
        <f>AL298/VPI!R298</f>
        <v>0.10752235550594685</v>
      </c>
      <c r="AN298" s="464">
        <v>1773</v>
      </c>
      <c r="AO298" s="534"/>
      <c r="AP298" s="477">
        <v>13.847093259489547</v>
      </c>
      <c r="AR298" s="530">
        <v>1</v>
      </c>
    </row>
    <row r="299" spans="1:44" x14ac:dyDescent="0.25">
      <c r="A299" s="525">
        <v>5932</v>
      </c>
      <c r="B299" s="526" t="s">
        <v>237</v>
      </c>
      <c r="C299" s="454">
        <v>539371.52000000002</v>
      </c>
      <c r="D299" s="454">
        <v>74082.78</v>
      </c>
      <c r="E299" s="454"/>
      <c r="F299" s="455">
        <v>1370</v>
      </c>
      <c r="G299" s="454">
        <v>1792.55</v>
      </c>
      <c r="H299" s="454">
        <v>470.4</v>
      </c>
      <c r="I299" s="454">
        <v>44745.65</v>
      </c>
      <c r="J299" s="454">
        <v>6552.82</v>
      </c>
      <c r="K299" s="454">
        <v>819.5</v>
      </c>
      <c r="L299" s="454">
        <v>35358.800000000003</v>
      </c>
      <c r="M299" s="344">
        <f t="shared" si="16"/>
        <v>704564.02000000014</v>
      </c>
      <c r="N299" s="458">
        <v>0</v>
      </c>
      <c r="O299" s="458"/>
      <c r="P299" s="458"/>
      <c r="Q299" s="458">
        <v>4403.49</v>
      </c>
      <c r="R299" s="458"/>
      <c r="S299" s="454">
        <v>219.73</v>
      </c>
      <c r="T299" s="344">
        <f t="shared" si="17"/>
        <v>709187.24000000011</v>
      </c>
      <c r="U299" s="456">
        <v>-10879.26</v>
      </c>
      <c r="V299" s="458"/>
      <c r="W299" s="458">
        <v>-111.45</v>
      </c>
      <c r="X299" s="462">
        <v>75</v>
      </c>
      <c r="Y299" s="463">
        <v>1</v>
      </c>
      <c r="Z299" s="464">
        <v>233</v>
      </c>
      <c r="AA299" s="527"/>
      <c r="AB299" s="469">
        <v>6640</v>
      </c>
      <c r="AC299" s="307">
        <f>AB299/VPI!R299</f>
        <v>0.71326622032910969</v>
      </c>
      <c r="AD299" s="309">
        <f t="shared" si="18"/>
        <v>60417</v>
      </c>
      <c r="AE299" s="307">
        <f>AD299/VPI!R299</f>
        <v>6.4899706677144309</v>
      </c>
      <c r="AF299" s="469">
        <v>67057</v>
      </c>
      <c r="AG299" s="469">
        <v>11565</v>
      </c>
      <c r="AH299" s="469">
        <v>9394</v>
      </c>
      <c r="AI299" s="534"/>
      <c r="AJ299" s="464"/>
      <c r="AK299" s="307">
        <f>AJ299/VPI!R299</f>
        <v>0</v>
      </c>
      <c r="AL299" s="309">
        <f t="shared" si="19"/>
        <v>18670</v>
      </c>
      <c r="AM299" s="307">
        <f>AL299/VPI!R299</f>
        <v>2.0055241466181442</v>
      </c>
      <c r="AN299" s="464">
        <v>18670</v>
      </c>
      <c r="AO299" s="534"/>
      <c r="AP299" s="477">
        <v>19.743799483935494</v>
      </c>
      <c r="AR299" s="530">
        <v>0</v>
      </c>
    </row>
    <row r="300" spans="1:44" x14ac:dyDescent="0.25">
      <c r="A300" s="525">
        <v>5933</v>
      </c>
      <c r="B300" s="526" t="s">
        <v>324</v>
      </c>
      <c r="C300" s="454">
        <v>1279744.8700000001</v>
      </c>
      <c r="D300" s="454">
        <v>195526.69</v>
      </c>
      <c r="E300" s="454"/>
      <c r="F300" s="455"/>
      <c r="G300" s="454">
        <v>38742.050000000003</v>
      </c>
      <c r="H300" s="454">
        <v>2625.45</v>
      </c>
      <c r="I300" s="454"/>
      <c r="J300" s="454">
        <v>9532.19</v>
      </c>
      <c r="K300" s="454">
        <v>3256.55</v>
      </c>
      <c r="L300" s="454">
        <v>129745.05</v>
      </c>
      <c r="M300" s="344">
        <f t="shared" si="16"/>
        <v>1659172.85</v>
      </c>
      <c r="N300" s="458">
        <v>13060.2</v>
      </c>
      <c r="O300" s="458">
        <v>8741.6</v>
      </c>
      <c r="P300" s="458">
        <v>29323.45</v>
      </c>
      <c r="Q300" s="458">
        <v>6281.26</v>
      </c>
      <c r="R300" s="458">
        <v>42438.95</v>
      </c>
      <c r="S300" s="454">
        <v>4016.68</v>
      </c>
      <c r="T300" s="344">
        <f t="shared" si="17"/>
        <v>1763034.99</v>
      </c>
      <c r="U300" s="456">
        <v>-27548.2</v>
      </c>
      <c r="V300" s="458"/>
      <c r="W300" s="458">
        <v>0</v>
      </c>
      <c r="X300" s="462">
        <v>70.5</v>
      </c>
      <c r="Y300" s="463">
        <v>1</v>
      </c>
      <c r="Z300" s="464">
        <v>706</v>
      </c>
      <c r="AA300" s="527"/>
      <c r="AB300" s="469">
        <v>32000</v>
      </c>
      <c r="AC300" s="307">
        <f>AB300/VPI!R300</f>
        <v>1.3739990019870545</v>
      </c>
      <c r="AD300" s="309">
        <f t="shared" si="18"/>
        <v>812749</v>
      </c>
      <c r="AE300" s="307">
        <f>AD300/VPI!R300</f>
        <v>34.897384839561767</v>
      </c>
      <c r="AF300" s="469">
        <v>844749</v>
      </c>
      <c r="AG300" s="469">
        <v>86862</v>
      </c>
      <c r="AH300" s="469">
        <v>107074</v>
      </c>
      <c r="AI300" s="534"/>
      <c r="AJ300" s="464"/>
      <c r="AK300" s="307">
        <f>AJ300/VPI!R300</f>
        <v>0</v>
      </c>
      <c r="AL300" s="309">
        <f t="shared" si="19"/>
        <v>8112</v>
      </c>
      <c r="AM300" s="307">
        <f>AL300/VPI!R300</f>
        <v>0.34830874700371833</v>
      </c>
      <c r="AN300" s="464">
        <v>8112</v>
      </c>
      <c r="AO300" s="534"/>
      <c r="AP300" s="477">
        <v>16.250458635756154</v>
      </c>
      <c r="AR300" s="530">
        <v>0</v>
      </c>
    </row>
    <row r="301" spans="1:44" x14ac:dyDescent="0.25">
      <c r="A301" s="525">
        <v>5934</v>
      </c>
      <c r="B301" s="526" t="s">
        <v>325</v>
      </c>
      <c r="C301" s="454">
        <v>513555.23</v>
      </c>
      <c r="D301" s="454">
        <v>115606.84</v>
      </c>
      <c r="E301" s="454"/>
      <c r="F301" s="455">
        <v>1520</v>
      </c>
      <c r="G301" s="454">
        <v>1325.25</v>
      </c>
      <c r="H301" s="454">
        <v>134.30000000000001</v>
      </c>
      <c r="I301" s="454"/>
      <c r="J301" s="454">
        <v>-714.03</v>
      </c>
      <c r="K301" s="454">
        <v>1741</v>
      </c>
      <c r="L301" s="454">
        <v>31308.7</v>
      </c>
      <c r="M301" s="344">
        <f t="shared" si="16"/>
        <v>664477.28999999992</v>
      </c>
      <c r="N301" s="458">
        <v>3526.6</v>
      </c>
      <c r="O301" s="458">
        <v>6358.8</v>
      </c>
      <c r="P301" s="458">
        <v>41305</v>
      </c>
      <c r="Q301" s="458"/>
      <c r="R301" s="458">
        <v>47745.8</v>
      </c>
      <c r="S301" s="454">
        <v>141.72</v>
      </c>
      <c r="T301" s="344">
        <f t="shared" si="17"/>
        <v>763555.21</v>
      </c>
      <c r="U301" s="456">
        <v>-3138.66</v>
      </c>
      <c r="V301" s="458"/>
      <c r="W301" s="458">
        <v>0</v>
      </c>
      <c r="X301" s="462">
        <v>77</v>
      </c>
      <c r="Y301" s="463">
        <v>1</v>
      </c>
      <c r="Z301" s="464">
        <v>236</v>
      </c>
      <c r="AA301" s="527"/>
      <c r="AB301" s="469">
        <v>3233</v>
      </c>
      <c r="AC301" s="307">
        <f>AB301/VPI!R301</f>
        <v>0.37633922156568977</v>
      </c>
      <c r="AD301" s="309">
        <f t="shared" si="18"/>
        <v>18298</v>
      </c>
      <c r="AE301" s="307">
        <f>AD301/VPI!R301</f>
        <v>2.1299891977138854</v>
      </c>
      <c r="AF301" s="469">
        <v>21531</v>
      </c>
      <c r="AG301" s="469">
        <v>11713</v>
      </c>
      <c r="AH301" s="469">
        <v>8264</v>
      </c>
      <c r="AI301" s="534"/>
      <c r="AJ301" s="464"/>
      <c r="AK301" s="307">
        <f>AJ301/VPI!R301</f>
        <v>0</v>
      </c>
      <c r="AL301" s="309">
        <f t="shared" si="19"/>
        <v>32797</v>
      </c>
      <c r="AM301" s="307">
        <f>AL301/VPI!R301</f>
        <v>3.8177536188338781</v>
      </c>
      <c r="AN301" s="464">
        <v>32797</v>
      </c>
      <c r="AO301" s="534"/>
      <c r="AP301" s="477">
        <v>13.204124186116193</v>
      </c>
      <c r="AR301" s="530">
        <v>0</v>
      </c>
    </row>
    <row r="302" spans="1:44" x14ac:dyDescent="0.25">
      <c r="A302" s="525">
        <v>5935</v>
      </c>
      <c r="B302" s="526" t="s">
        <v>254</v>
      </c>
      <c r="C302" s="454">
        <v>602234.82999999996</v>
      </c>
      <c r="D302" s="454">
        <v>164947.85999999999</v>
      </c>
      <c r="E302" s="454"/>
      <c r="F302" s="455"/>
      <c r="G302" s="454">
        <v>3399.35</v>
      </c>
      <c r="H302" s="454">
        <v>-257.3</v>
      </c>
      <c r="I302" s="454"/>
      <c r="J302" s="454">
        <v>1642.79</v>
      </c>
      <c r="K302" s="454"/>
      <c r="L302" s="454">
        <v>25725.9</v>
      </c>
      <c r="M302" s="344">
        <f t="shared" si="16"/>
        <v>797693.42999999993</v>
      </c>
      <c r="N302" s="458">
        <v>0</v>
      </c>
      <c r="O302" s="458"/>
      <c r="P302" s="458">
        <v>29920</v>
      </c>
      <c r="Q302" s="458"/>
      <c r="R302" s="458">
        <v>22143.3</v>
      </c>
      <c r="S302" s="454">
        <v>305.08999999999997</v>
      </c>
      <c r="T302" s="344">
        <f t="shared" si="17"/>
        <v>850061.82</v>
      </c>
      <c r="U302" s="456">
        <v>-114859.24</v>
      </c>
      <c r="V302" s="458"/>
      <c r="W302" s="458">
        <v>-1054.9000000000001</v>
      </c>
      <c r="X302" s="462">
        <v>68</v>
      </c>
      <c r="Y302" s="463">
        <v>1</v>
      </c>
      <c r="Z302" s="464">
        <v>108</v>
      </c>
      <c r="AA302" s="527"/>
      <c r="AB302" s="469"/>
      <c r="AC302" s="307">
        <f>AB302/VPI!R302</f>
        <v>0</v>
      </c>
      <c r="AD302" s="309">
        <f t="shared" si="18"/>
        <v>0</v>
      </c>
      <c r="AE302" s="307">
        <f>AD302/VPI!R302</f>
        <v>0</v>
      </c>
      <c r="AF302" s="469"/>
      <c r="AG302" s="469"/>
      <c r="AH302" s="469"/>
      <c r="AI302" s="534"/>
      <c r="AJ302" s="464"/>
      <c r="AK302" s="307">
        <f>AJ302/VPI!R302</f>
        <v>0</v>
      </c>
      <c r="AL302" s="309">
        <f t="shared" si="19"/>
        <v>0</v>
      </c>
      <c r="AM302" s="307">
        <f>AL302/VPI!R302</f>
        <v>0</v>
      </c>
      <c r="AN302" s="464"/>
      <c r="AO302" s="534"/>
      <c r="AP302" s="477">
        <v>23.45391175282732</v>
      </c>
      <c r="AR302" s="530">
        <v>0</v>
      </c>
    </row>
    <row r="303" spans="1:44" x14ac:dyDescent="0.25">
      <c r="A303" s="525">
        <v>5937</v>
      </c>
      <c r="B303" s="526" t="s">
        <v>238</v>
      </c>
      <c r="C303" s="454">
        <v>242785.63</v>
      </c>
      <c r="D303" s="454">
        <v>34482.74</v>
      </c>
      <c r="E303" s="454"/>
      <c r="F303" s="455"/>
      <c r="G303" s="454">
        <v>2466.5500000000002</v>
      </c>
      <c r="H303" s="454">
        <v>63.45</v>
      </c>
      <c r="I303" s="454"/>
      <c r="J303" s="454">
        <v>9018.6</v>
      </c>
      <c r="K303" s="454"/>
      <c r="L303" s="454">
        <v>14005.88</v>
      </c>
      <c r="M303" s="344">
        <f t="shared" si="16"/>
        <v>302822.84999999998</v>
      </c>
      <c r="N303" s="458">
        <v>2747.5</v>
      </c>
      <c r="O303" s="458"/>
      <c r="P303" s="458"/>
      <c r="Q303" s="458">
        <v>2041.03</v>
      </c>
      <c r="R303" s="458"/>
      <c r="S303" s="454">
        <v>245.66</v>
      </c>
      <c r="T303" s="344">
        <f t="shared" si="17"/>
        <v>307857.03999999998</v>
      </c>
      <c r="U303" s="456">
        <v>-1300.98</v>
      </c>
      <c r="V303" s="458"/>
      <c r="W303" s="458">
        <v>-79.5</v>
      </c>
      <c r="X303" s="462">
        <v>70</v>
      </c>
      <c r="Y303" s="463">
        <v>0.7</v>
      </c>
      <c r="Z303" s="464">
        <v>147</v>
      </c>
      <c r="AA303" s="527"/>
      <c r="AB303" s="469">
        <v>13907</v>
      </c>
      <c r="AC303" s="307">
        <f>AB303/VPI!R303</f>
        <v>3.1430117652194203</v>
      </c>
      <c r="AD303" s="309">
        <f t="shared" si="18"/>
        <v>7175</v>
      </c>
      <c r="AE303" s="307">
        <f>AD303/VPI!R303</f>
        <v>1.6215653566872323</v>
      </c>
      <c r="AF303" s="469">
        <v>21082</v>
      </c>
      <c r="AG303" s="469">
        <v>7463</v>
      </c>
      <c r="AH303" s="469">
        <v>22362</v>
      </c>
      <c r="AI303" s="534"/>
      <c r="AJ303" s="464"/>
      <c r="AK303" s="307">
        <f>AJ303/VPI!R303</f>
        <v>0</v>
      </c>
      <c r="AL303" s="309">
        <f t="shared" si="19"/>
        <v>5017</v>
      </c>
      <c r="AM303" s="307">
        <f>AL303/VPI!R303</f>
        <v>1.1338527379093859</v>
      </c>
      <c r="AN303" s="464">
        <v>5017</v>
      </c>
      <c r="AO303" s="534"/>
      <c r="AP303" s="477">
        <v>6.5988410264983743</v>
      </c>
      <c r="AR303" s="530">
        <v>0</v>
      </c>
    </row>
    <row r="304" spans="1:44" x14ac:dyDescent="0.25">
      <c r="A304" s="525">
        <v>5938</v>
      </c>
      <c r="B304" s="526" t="s">
        <v>133</v>
      </c>
      <c r="C304" s="454">
        <v>42449217.979999997</v>
      </c>
      <c r="D304" s="454">
        <v>4890791.0599999996</v>
      </c>
      <c r="E304" s="454"/>
      <c r="F304" s="455"/>
      <c r="G304" s="454">
        <v>4364720.2</v>
      </c>
      <c r="H304" s="454">
        <v>736066.95</v>
      </c>
      <c r="I304" s="454"/>
      <c r="J304" s="454">
        <v>2427350.33</v>
      </c>
      <c r="K304" s="454">
        <v>693783.1</v>
      </c>
      <c r="L304" s="454">
        <v>7327616.6500000004</v>
      </c>
      <c r="M304" s="344">
        <f t="shared" si="16"/>
        <v>62889546.270000003</v>
      </c>
      <c r="N304" s="458">
        <v>6037099.0499999998</v>
      </c>
      <c r="O304" s="458">
        <v>1484279.4</v>
      </c>
      <c r="P304" s="458">
        <v>3580501.4</v>
      </c>
      <c r="Q304" s="458">
        <v>232479.99</v>
      </c>
      <c r="R304" s="458">
        <v>1313721.3</v>
      </c>
      <c r="S304" s="454">
        <v>495101.04</v>
      </c>
      <c r="T304" s="344">
        <f t="shared" si="17"/>
        <v>76032728.450000018</v>
      </c>
      <c r="U304" s="456">
        <v>-1025577.19</v>
      </c>
      <c r="V304" s="458"/>
      <c r="W304" s="458">
        <v>-12256.56</v>
      </c>
      <c r="X304" s="462">
        <v>75</v>
      </c>
      <c r="Y304" s="463">
        <v>1.5</v>
      </c>
      <c r="Z304" s="464">
        <v>30332</v>
      </c>
      <c r="AA304" s="527"/>
      <c r="AB304" s="469">
        <v>7569810</v>
      </c>
      <c r="AC304" s="307">
        <f>AB304/VPI!R304</f>
        <v>9.4407447350113092</v>
      </c>
      <c r="AD304" s="309">
        <f t="shared" si="18"/>
        <v>4021900</v>
      </c>
      <c r="AE304" s="307">
        <f>AD304/VPI!R304</f>
        <v>5.0159424410575673</v>
      </c>
      <c r="AF304" s="469">
        <v>11591710</v>
      </c>
      <c r="AG304" s="469">
        <v>9057451</v>
      </c>
      <c r="AH304" s="469">
        <v>722701</v>
      </c>
      <c r="AI304" s="534"/>
      <c r="AJ304" s="464"/>
      <c r="AK304" s="307">
        <f>AJ304/VPI!R304</f>
        <v>0</v>
      </c>
      <c r="AL304" s="309">
        <f t="shared" si="19"/>
        <v>74577</v>
      </c>
      <c r="AM304" s="307">
        <f>AL304/VPI!R304</f>
        <v>9.3009259162771363E-2</v>
      </c>
      <c r="AN304" s="464">
        <v>74577</v>
      </c>
      <c r="AO304" s="534"/>
      <c r="AP304" s="477">
        <v>-23.123538981295269</v>
      </c>
      <c r="AR304" s="530">
        <v>1</v>
      </c>
    </row>
    <row r="305" spans="1:44" x14ac:dyDescent="0.25">
      <c r="A305" s="525">
        <v>5939</v>
      </c>
      <c r="B305" s="526" t="s">
        <v>132</v>
      </c>
      <c r="C305" s="454">
        <v>5266774.01</v>
      </c>
      <c r="D305" s="454">
        <v>720862.36</v>
      </c>
      <c r="E305" s="454"/>
      <c r="F305" s="455"/>
      <c r="G305" s="454">
        <v>173065.8</v>
      </c>
      <c r="H305" s="454">
        <v>39118.85</v>
      </c>
      <c r="I305" s="454"/>
      <c r="J305" s="454">
        <v>39528.58</v>
      </c>
      <c r="K305" s="454">
        <v>58253.599999999999</v>
      </c>
      <c r="L305" s="454">
        <v>618122.6</v>
      </c>
      <c r="M305" s="344">
        <f t="shared" si="16"/>
        <v>6915725.7999999989</v>
      </c>
      <c r="N305" s="458">
        <v>249640.3</v>
      </c>
      <c r="O305" s="458">
        <v>98940.5</v>
      </c>
      <c r="P305" s="458">
        <v>254608.9</v>
      </c>
      <c r="Q305" s="458">
        <v>24391.85</v>
      </c>
      <c r="R305" s="458">
        <v>289850.95</v>
      </c>
      <c r="S305" s="454">
        <v>20598.560000000001</v>
      </c>
      <c r="T305" s="344">
        <f t="shared" si="17"/>
        <v>7853756.8599999985</v>
      </c>
      <c r="U305" s="456">
        <v>-97003.89</v>
      </c>
      <c r="V305" s="458"/>
      <c r="W305" s="466">
        <v>-927.27</v>
      </c>
      <c r="X305" s="467">
        <v>71.5</v>
      </c>
      <c r="Y305" s="468">
        <v>1</v>
      </c>
      <c r="Z305" s="475">
        <v>3525</v>
      </c>
      <c r="AA305" s="527"/>
      <c r="AB305" s="469">
        <v>164301</v>
      </c>
      <c r="AC305" s="307">
        <f>AB305/VPI!R305</f>
        <v>1.7117717390842659</v>
      </c>
      <c r="AD305" s="309">
        <f t="shared" si="18"/>
        <v>574335</v>
      </c>
      <c r="AE305" s="307">
        <f>AD305/VPI!R305</f>
        <v>5.9837153868020394</v>
      </c>
      <c r="AF305" s="472">
        <v>738636</v>
      </c>
      <c r="AG305" s="469">
        <v>436903</v>
      </c>
      <c r="AH305" s="472">
        <v>409754</v>
      </c>
      <c r="AI305" s="534"/>
      <c r="AJ305" s="464"/>
      <c r="AK305" s="307">
        <f>AJ305/VPI!R305</f>
        <v>0</v>
      </c>
      <c r="AL305" s="309">
        <f t="shared" si="19"/>
        <v>86633</v>
      </c>
      <c r="AM305" s="307">
        <f>AL305/VPI!R305</f>
        <v>0.90258684409764522</v>
      </c>
      <c r="AN305" s="475">
        <v>86633</v>
      </c>
      <c r="AO305" s="534"/>
      <c r="AP305" s="477">
        <v>2.1914669165719625</v>
      </c>
      <c r="AR305" s="530">
        <v>0</v>
      </c>
    </row>
    <row r="306" spans="1:44" x14ac:dyDescent="0.25">
      <c r="A306" s="535"/>
      <c r="B306" s="536">
        <f>COUNTA(B6:B305)</f>
        <v>300</v>
      </c>
      <c r="C306" s="538">
        <f t="shared" ref="C306:S306" si="20">SUM(C6:C305)</f>
        <v>1797759508.1199992</v>
      </c>
      <c r="D306" s="538">
        <f t="shared" si="20"/>
        <v>347765488.46999985</v>
      </c>
      <c r="E306" s="538">
        <f t="shared" si="20"/>
        <v>0</v>
      </c>
      <c r="F306" s="538">
        <f t="shared" si="20"/>
        <v>122740.2</v>
      </c>
      <c r="G306" s="538">
        <f t="shared" si="20"/>
        <v>358124961.95999998</v>
      </c>
      <c r="H306" s="538">
        <f t="shared" si="20"/>
        <v>35721609.700000018</v>
      </c>
      <c r="I306" s="538">
        <f t="shared" si="20"/>
        <v>45056462.00999999</v>
      </c>
      <c r="J306" s="538">
        <f t="shared" si="20"/>
        <v>77296066.49000001</v>
      </c>
      <c r="K306" s="538">
        <f t="shared" si="20"/>
        <v>23612131.200000018</v>
      </c>
      <c r="L306" s="538">
        <f t="shared" si="20"/>
        <v>246005767.33000001</v>
      </c>
      <c r="M306" s="590">
        <f t="shared" si="20"/>
        <v>2931464735.480001</v>
      </c>
      <c r="N306" s="538">
        <f t="shared" si="20"/>
        <v>99276799.049999937</v>
      </c>
      <c r="O306" s="538">
        <f t="shared" si="20"/>
        <v>112791789.90000005</v>
      </c>
      <c r="P306" s="538">
        <f t="shared" si="20"/>
        <v>105768003.59999998</v>
      </c>
      <c r="Q306" s="538">
        <f t="shared" si="20"/>
        <v>8628075.7899999935</v>
      </c>
      <c r="R306" s="538">
        <f t="shared" si="20"/>
        <v>86407253.050000042</v>
      </c>
      <c r="S306" s="538">
        <f t="shared" si="20"/>
        <v>37594416.880000003</v>
      </c>
      <c r="T306" s="590">
        <f>SUM(M306:S306)</f>
        <v>3381931073.750001</v>
      </c>
      <c r="U306" s="538">
        <f t="shared" ref="U306:Z306" si="21">SUM(U6:U305)</f>
        <v>-34994329.659999996</v>
      </c>
      <c r="V306" s="538">
        <f t="shared" si="21"/>
        <v>0</v>
      </c>
      <c r="W306" s="538">
        <f t="shared" si="21"/>
        <v>-12508888.830000006</v>
      </c>
      <c r="X306" s="306">
        <f t="shared" si="21"/>
        <v>20839.04</v>
      </c>
      <c r="Y306" s="306">
        <f t="shared" si="21"/>
        <v>319.02999999999992</v>
      </c>
      <c r="Z306" s="475">
        <f t="shared" si="21"/>
        <v>855749</v>
      </c>
      <c r="AA306" s="537"/>
      <c r="AB306" s="305">
        <f>SUM(AB6:AB305)</f>
        <v>60933885</v>
      </c>
      <c r="AC306" s="308">
        <f>AB306/VPI!R306</f>
        <v>1.4250916843466921</v>
      </c>
      <c r="AD306" s="310">
        <f>SUM(AD6:AD305)</f>
        <v>218716118.09999999</v>
      </c>
      <c r="AE306" s="308">
        <f>AD306/VPI!R306</f>
        <v>5.1152248233786342</v>
      </c>
      <c r="AF306" s="305">
        <f>SUM(AF6:AF305)</f>
        <v>279650003.10000002</v>
      </c>
      <c r="AG306" s="305">
        <f>SUM(AG6:AG305)</f>
        <v>221976140.34999999</v>
      </c>
      <c r="AH306" s="305">
        <f>SUM(AH6:AH305)</f>
        <v>41562889.299999997</v>
      </c>
      <c r="AJ306" s="305">
        <f>SUM(AJ6:AJ305)</f>
        <v>734633</v>
      </c>
      <c r="AK306" s="308">
        <f>AJ306/VPI!R306</f>
        <v>1.7181234699652968E-2</v>
      </c>
      <c r="AL306" s="310">
        <f>SUM(AL6:AL305)</f>
        <v>22923073</v>
      </c>
      <c r="AM306" s="308">
        <f>AL306/VPI!R306</f>
        <v>0.5361135386652629</v>
      </c>
      <c r="AN306" s="305">
        <f>SUM(AN6:AN305)</f>
        <v>23657706</v>
      </c>
      <c r="AP306" s="538">
        <f>SUM(AP6:AP305)</f>
        <v>5367.8490375169922</v>
      </c>
      <c r="AR306" s="539">
        <f>SUM(AR6:AR305)</f>
        <v>49</v>
      </c>
    </row>
    <row r="313" spans="1:44" x14ac:dyDescent="0.25">
      <c r="D313" s="537"/>
      <c r="E313" s="537"/>
      <c r="F313" s="537"/>
      <c r="G313" s="537"/>
      <c r="H313" s="537"/>
      <c r="I313" s="537"/>
      <c r="J313" s="537"/>
      <c r="K313" s="537"/>
      <c r="L313" s="537"/>
      <c r="M313" s="537"/>
      <c r="N313" s="537"/>
      <c r="O313" s="537"/>
      <c r="P313" s="537"/>
      <c r="Q313" s="537"/>
      <c r="R313" s="537"/>
      <c r="S313" s="537"/>
      <c r="T313" s="537"/>
      <c r="U313" s="537"/>
      <c r="V313" s="537"/>
      <c r="W313" s="537"/>
      <c r="X313" s="537"/>
      <c r="Y313" s="537"/>
      <c r="Z313" s="537"/>
      <c r="AA313" s="537"/>
      <c r="AB313" s="537"/>
      <c r="AC313" s="537"/>
      <c r="AD313" s="537"/>
      <c r="AE313" s="537"/>
      <c r="AF313" s="537"/>
      <c r="AG313" s="537"/>
      <c r="AH313" s="537"/>
      <c r="AI313" s="537"/>
      <c r="AJ313" s="537"/>
      <c r="AK313" s="537"/>
      <c r="AL313" s="537"/>
      <c r="AM313" s="537"/>
      <c r="AN313" s="537"/>
      <c r="AO313" s="537"/>
      <c r="AP313" s="537"/>
      <c r="AQ313" s="537"/>
      <c r="AR313" s="537"/>
    </row>
    <row r="317" spans="1:44" x14ac:dyDescent="0.25">
      <c r="D317" s="537"/>
      <c r="E317" s="537"/>
      <c r="F317" s="537"/>
      <c r="G317" s="537"/>
      <c r="H317" s="537"/>
      <c r="I317" s="537"/>
      <c r="J317" s="537"/>
      <c r="K317" s="537"/>
      <c r="L317" s="537"/>
      <c r="M317" s="537"/>
      <c r="N317" s="537"/>
      <c r="O317" s="537"/>
      <c r="P317" s="537"/>
      <c r="Q317" s="537"/>
      <c r="R317" s="537"/>
      <c r="S317" s="537"/>
      <c r="T317" s="537"/>
      <c r="U317" s="537"/>
      <c r="V317" s="537"/>
      <c r="W317" s="537"/>
      <c r="X317" s="537"/>
      <c r="Y317" s="537"/>
      <c r="Z317" s="537"/>
      <c r="AA317" s="537"/>
      <c r="AB317" s="537"/>
      <c r="AC317" s="537"/>
      <c r="AD317" s="537"/>
      <c r="AE317" s="537"/>
      <c r="AF317" s="537"/>
      <c r="AG317" s="537"/>
      <c r="AH317" s="537"/>
      <c r="AI317" s="537"/>
      <c r="AJ317" s="537"/>
      <c r="AK317" s="537"/>
      <c r="AL317" s="537"/>
      <c r="AM317" s="537"/>
      <c r="AN317" s="537"/>
      <c r="AO317" s="537"/>
      <c r="AP317" s="537"/>
      <c r="AQ317" s="537"/>
      <c r="AR317" s="537"/>
    </row>
    <row r="321" spans="1:44" x14ac:dyDescent="0.25">
      <c r="D321" s="537"/>
      <c r="E321" s="537"/>
      <c r="F321" s="537"/>
      <c r="G321" s="537"/>
      <c r="H321" s="537"/>
      <c r="I321" s="537"/>
      <c r="J321" s="537"/>
      <c r="K321" s="537"/>
      <c r="L321" s="537"/>
      <c r="M321" s="537"/>
      <c r="N321" s="537"/>
      <c r="O321" s="537"/>
      <c r="P321" s="537"/>
      <c r="Q321" s="537"/>
      <c r="R321" s="537"/>
      <c r="S321" s="537"/>
      <c r="T321" s="537"/>
      <c r="U321" s="537"/>
      <c r="V321" s="537"/>
      <c r="W321" s="537"/>
      <c r="X321" s="537"/>
      <c r="Y321" s="537"/>
      <c r="Z321" s="537"/>
      <c r="AA321" s="537"/>
      <c r="AB321" s="537"/>
      <c r="AC321" s="537"/>
      <c r="AD321" s="537"/>
      <c r="AE321" s="537"/>
      <c r="AF321" s="537"/>
      <c r="AG321" s="537"/>
      <c r="AH321" s="537"/>
      <c r="AI321" s="537"/>
      <c r="AJ321" s="537"/>
      <c r="AK321" s="537"/>
      <c r="AL321" s="537"/>
      <c r="AM321" s="537"/>
      <c r="AN321" s="537"/>
      <c r="AO321" s="537"/>
      <c r="AP321" s="537"/>
      <c r="AQ321" s="537"/>
      <c r="AR321" s="537"/>
    </row>
    <row r="324" spans="1:44" s="502" customFormat="1" x14ac:dyDescent="0.25">
      <c r="A324" s="503"/>
      <c r="C324" s="540"/>
      <c r="G324" s="456"/>
    </row>
    <row r="325" spans="1:44" s="502" customFormat="1" x14ac:dyDescent="0.25">
      <c r="A325" s="503"/>
      <c r="C325" s="540"/>
      <c r="D325" s="540"/>
      <c r="E325" s="540"/>
      <c r="F325" s="540"/>
      <c r="G325" s="537"/>
      <c r="H325" s="540"/>
      <c r="I325" s="540"/>
      <c r="J325" s="540"/>
      <c r="K325" s="540"/>
      <c r="L325" s="540"/>
      <c r="M325" s="540"/>
      <c r="N325" s="540"/>
      <c r="O325" s="540"/>
      <c r="P325" s="540"/>
      <c r="Q325" s="540"/>
      <c r="R325" s="540"/>
      <c r="S325" s="540"/>
      <c r="T325" s="540"/>
      <c r="U325" s="540"/>
      <c r="V325" s="540"/>
      <c r="W325" s="540"/>
      <c r="X325" s="540"/>
      <c r="Y325" s="540"/>
      <c r="Z325" s="540"/>
      <c r="AA325" s="540"/>
      <c r="AB325" s="540"/>
      <c r="AC325" s="540"/>
      <c r="AD325" s="540"/>
      <c r="AE325" s="540"/>
      <c r="AF325" s="540"/>
      <c r="AG325" s="540"/>
      <c r="AH325" s="540"/>
      <c r="AI325" s="540"/>
      <c r="AJ325" s="540"/>
      <c r="AK325" s="540"/>
      <c r="AL325" s="540"/>
      <c r="AM325" s="540"/>
      <c r="AN325" s="540"/>
      <c r="AO325" s="540"/>
      <c r="AP325" s="540"/>
      <c r="AQ325" s="540"/>
      <c r="AR325" s="540"/>
    </row>
    <row r="326" spans="1:44" s="502" customFormat="1" x14ac:dyDescent="0.25">
      <c r="A326" s="503"/>
      <c r="C326" s="540"/>
      <c r="D326" s="540"/>
      <c r="E326" s="540"/>
      <c r="F326" s="540"/>
      <c r="G326" s="537"/>
      <c r="H326" s="540"/>
      <c r="I326" s="540"/>
      <c r="J326" s="540"/>
      <c r="K326" s="540"/>
      <c r="L326" s="540"/>
      <c r="M326" s="540"/>
      <c r="N326" s="540"/>
      <c r="O326" s="540"/>
      <c r="P326" s="540"/>
      <c r="Q326" s="540"/>
      <c r="R326" s="540"/>
      <c r="S326" s="540"/>
      <c r="T326" s="540"/>
      <c r="U326" s="540"/>
      <c r="V326" s="540"/>
      <c r="W326" s="540"/>
      <c r="X326" s="540"/>
      <c r="Y326" s="540"/>
      <c r="Z326" s="540"/>
      <c r="AA326" s="540"/>
      <c r="AB326" s="540"/>
      <c r="AC326" s="540"/>
      <c r="AD326" s="540"/>
      <c r="AE326" s="540"/>
      <c r="AF326" s="540"/>
      <c r="AG326" s="540"/>
      <c r="AH326" s="540"/>
      <c r="AI326" s="540"/>
      <c r="AJ326" s="540"/>
      <c r="AK326" s="540"/>
      <c r="AL326" s="540"/>
      <c r="AM326" s="540"/>
      <c r="AN326" s="540"/>
      <c r="AO326" s="540"/>
      <c r="AP326" s="540"/>
      <c r="AQ326" s="540"/>
      <c r="AR326" s="540"/>
    </row>
    <row r="328" spans="1:44" x14ac:dyDescent="0.25">
      <c r="C328" s="542"/>
      <c r="D328" s="542"/>
    </row>
    <row r="329" spans="1:44" x14ac:dyDescent="0.25">
      <c r="C329" s="542"/>
      <c r="D329" s="542"/>
    </row>
    <row r="330" spans="1:44" x14ac:dyDescent="0.25">
      <c r="C330" s="542"/>
      <c r="D330" s="542"/>
    </row>
    <row r="331" spans="1:44" x14ac:dyDescent="0.25">
      <c r="C331" s="542"/>
      <c r="D331" s="542"/>
    </row>
  </sheetData>
  <sheetProtection sheet="1" objects="1" scenarios="1"/>
  <mergeCells count="19">
    <mergeCell ref="A4:A5"/>
    <mergeCell ref="B4:B5"/>
    <mergeCell ref="Q4:Q5"/>
    <mergeCell ref="Y4:Y5"/>
    <mergeCell ref="U4:U5"/>
    <mergeCell ref="W4:W5"/>
    <mergeCell ref="V4:V5"/>
    <mergeCell ref="S4:S5"/>
    <mergeCell ref="AR4:AR5"/>
    <mergeCell ref="AN4:AN5"/>
    <mergeCell ref="AB3:AF3"/>
    <mergeCell ref="AB4:AC4"/>
    <mergeCell ref="AJ4:AK4"/>
    <mergeCell ref="AL4:AM4"/>
    <mergeCell ref="AJ3:AN3"/>
    <mergeCell ref="AD4:AE4"/>
    <mergeCell ref="AF4:AF5"/>
    <mergeCell ref="AG4:AG5"/>
    <mergeCell ref="AH4:AH5"/>
  </mergeCells>
  <phoneticPr fontId="21" type="noConversion"/>
  <hyperlinks>
    <hyperlink ref="C1" location="Recherche!A1" display="← Précédent" xr:uid="{9DFAD010-0C97-42DF-A3FC-76FBADDC6AFF}"/>
    <hyperlink ref="D1" location="'Table des matières'!A1" display="Table des matières" xr:uid="{DD040F16-3F41-415E-ABBC-CF6EBDE17DB0}"/>
    <hyperlink ref="E1" location="Rendements!A1" display="Suivant →" xr:uid="{0BFBE454-28CA-492D-AAD2-6B120C6EA93F}"/>
  </hyperlinks>
  <pageMargins left="0.19685039370078741" right="0.39370078740157483"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3E70E-EABD-4BD8-B067-055B38FDAD88}">
  <sheetPr>
    <tabColor rgb="FF92D050"/>
    <pageSetUpPr fitToPage="1"/>
  </sheetPr>
  <dimension ref="B1:G41"/>
  <sheetViews>
    <sheetView zoomScaleNormal="100" zoomScaleSheetLayoutView="90" workbookViewId="0">
      <selection activeCell="C3" sqref="C3:D3"/>
    </sheetView>
  </sheetViews>
  <sheetFormatPr baseColWidth="10" defaultColWidth="10.875" defaultRowHeight="15" x14ac:dyDescent="0.25"/>
  <cols>
    <col min="1" max="1" width="3.375" style="544" customWidth="1"/>
    <col min="2" max="2" width="9.75" style="544" customWidth="1"/>
    <col min="3" max="3" width="33.75" style="544" bestFit="1" customWidth="1"/>
    <col min="4" max="4" width="12.5" style="544" customWidth="1"/>
    <col min="5" max="16384" width="10.875" style="544"/>
  </cols>
  <sheetData>
    <row r="1" spans="2:7" ht="30.75" customHeight="1" x14ac:dyDescent="0.5">
      <c r="B1" s="543" t="s">
        <v>565</v>
      </c>
      <c r="E1" s="640" t="s">
        <v>402</v>
      </c>
      <c r="F1" s="641" t="s">
        <v>394</v>
      </c>
      <c r="G1" s="642" t="s">
        <v>403</v>
      </c>
    </row>
    <row r="3" spans="2:7" s="546" customFormat="1" ht="26.25" x14ac:dyDescent="0.4">
      <c r="B3" s="545"/>
      <c r="C3" s="701"/>
      <c r="D3" s="701"/>
    </row>
    <row r="6" spans="2:7" ht="37.5" customHeight="1" x14ac:dyDescent="0.25">
      <c r="B6" s="723" t="s">
        <v>593</v>
      </c>
      <c r="C6" s="723"/>
      <c r="D6" s="723"/>
    </row>
    <row r="7" spans="2:7" ht="23.25" x14ac:dyDescent="0.35">
      <c r="B7" s="724">
        <f>C3</f>
        <v>0</v>
      </c>
      <c r="C7" s="724"/>
      <c r="D7" s="724"/>
    </row>
    <row r="8" spans="2:7" s="550" customFormat="1" ht="12.75" x14ac:dyDescent="0.2">
      <c r="B8" s="547"/>
      <c r="C8" s="548"/>
      <c r="D8" s="549"/>
    </row>
    <row r="9" spans="2:7" ht="18" x14ac:dyDescent="0.35">
      <c r="B9" s="551" t="s">
        <v>566</v>
      </c>
      <c r="C9" s="552"/>
      <c r="D9" s="553" t="s">
        <v>356</v>
      </c>
    </row>
    <row r="10" spans="2:7" s="550" customFormat="1" ht="3.75" customHeight="1" x14ac:dyDescent="0.2">
      <c r="B10" s="549"/>
      <c r="C10" s="549"/>
      <c r="D10" s="549"/>
    </row>
    <row r="11" spans="2:7" s="557" customFormat="1" ht="12.75" x14ac:dyDescent="0.2">
      <c r="B11" s="554">
        <v>4001</v>
      </c>
      <c r="C11" s="555" t="s">
        <v>587</v>
      </c>
      <c r="D11" s="599" t="e">
        <f>VLOOKUP($B$7,Données!$B:$Z,2,FALSE)</f>
        <v>#N/A</v>
      </c>
    </row>
    <row r="12" spans="2:7" s="557" customFormat="1" ht="12.75" x14ac:dyDescent="0.2">
      <c r="B12" s="554">
        <v>4002</v>
      </c>
      <c r="C12" s="555" t="s">
        <v>567</v>
      </c>
      <c r="D12" s="599" t="e">
        <f>VLOOKUP($B$7,Données!$B:$Z,3,FALSE)</f>
        <v>#N/A</v>
      </c>
    </row>
    <row r="13" spans="2:7" s="557" customFormat="1" ht="12.75" x14ac:dyDescent="0.2">
      <c r="B13" s="554">
        <v>4005</v>
      </c>
      <c r="C13" s="555" t="s">
        <v>568</v>
      </c>
      <c r="D13" s="599" t="e">
        <f>VLOOKUP($B$7,Données!$B:$Z,5,FALSE)</f>
        <v>#N/A</v>
      </c>
    </row>
    <row r="14" spans="2:7" s="557" customFormat="1" ht="12.75" x14ac:dyDescent="0.2">
      <c r="B14" s="554">
        <v>4011</v>
      </c>
      <c r="C14" s="555" t="s">
        <v>569</v>
      </c>
      <c r="D14" s="599" t="e">
        <f>VLOOKUP($B$7,Données!$B:$Z,6,FALSE)</f>
        <v>#N/A</v>
      </c>
    </row>
    <row r="15" spans="2:7" s="557" customFormat="1" ht="12.75" x14ac:dyDescent="0.2">
      <c r="B15" s="554">
        <v>4012</v>
      </c>
      <c r="C15" s="555" t="s">
        <v>570</v>
      </c>
      <c r="D15" s="599" t="e">
        <f>VLOOKUP($B$7,Données!$B:$Z,7,FALSE)</f>
        <v>#N/A</v>
      </c>
    </row>
    <row r="16" spans="2:7" s="557" customFormat="1" ht="12.75" x14ac:dyDescent="0.2">
      <c r="B16" s="554">
        <v>4004</v>
      </c>
      <c r="C16" s="555" t="s">
        <v>571</v>
      </c>
      <c r="D16" s="599" t="e">
        <f>VLOOKUP($B$7,Données!$B:$Z,8,FALSE)</f>
        <v>#N/A</v>
      </c>
    </row>
    <row r="17" spans="2:4" s="557" customFormat="1" ht="12.75" x14ac:dyDescent="0.2">
      <c r="B17" s="554">
        <v>4003</v>
      </c>
      <c r="C17" s="555" t="s">
        <v>311</v>
      </c>
      <c r="D17" s="599" t="e">
        <f>VLOOKUP($B$7,Données!$B:$Z,9,FALSE)</f>
        <v>#N/A</v>
      </c>
    </row>
    <row r="18" spans="2:4" s="557" customFormat="1" ht="12.75" x14ac:dyDescent="0.2">
      <c r="B18" s="554">
        <v>4013</v>
      </c>
      <c r="C18" s="555" t="s">
        <v>572</v>
      </c>
      <c r="D18" s="599" t="e">
        <f>VLOOKUP($B$7,Données!$B:$Z,10,FALSE)</f>
        <v>#N/A</v>
      </c>
    </row>
    <row r="19" spans="2:4" s="557" customFormat="1" ht="12.75" x14ac:dyDescent="0.2">
      <c r="B19" s="554">
        <v>4020</v>
      </c>
      <c r="C19" s="555" t="s">
        <v>573</v>
      </c>
      <c r="D19" s="599" t="e">
        <f>VLOOKUP($B$7,Données!$B:$Z,11,FALSE)</f>
        <v>#N/A</v>
      </c>
    </row>
    <row r="20" spans="2:4" s="557" customFormat="1" ht="12.75" x14ac:dyDescent="0.2">
      <c r="B20" s="554"/>
      <c r="C20" s="558" t="s">
        <v>574</v>
      </c>
      <c r="D20" s="599" t="e">
        <f>SUM(D11:D19)</f>
        <v>#N/A</v>
      </c>
    </row>
    <row r="21" spans="2:4" s="557" customFormat="1" ht="7.15" customHeight="1" x14ac:dyDescent="0.2">
      <c r="B21" s="554"/>
      <c r="C21" s="555"/>
      <c r="D21" s="600"/>
    </row>
    <row r="22" spans="2:4" s="557" customFormat="1" ht="12.75" x14ac:dyDescent="0.2">
      <c r="B22" s="554" t="s">
        <v>575</v>
      </c>
      <c r="C22" s="555" t="s">
        <v>576</v>
      </c>
      <c r="D22" s="599" t="e">
        <f>VLOOKUP($B$7,Données!$B:$Z,13,FALSE)</f>
        <v>#N/A</v>
      </c>
    </row>
    <row r="23" spans="2:4" s="557" customFormat="1" ht="12.75" x14ac:dyDescent="0.2">
      <c r="B23" s="554">
        <v>4050</v>
      </c>
      <c r="C23" s="555" t="s">
        <v>577</v>
      </c>
      <c r="D23" s="599" t="e">
        <f>VLOOKUP($B$7,Données!$B:$Z,14,FALSE)</f>
        <v>#N/A</v>
      </c>
    </row>
    <row r="24" spans="2:4" s="557" customFormat="1" ht="12.75" x14ac:dyDescent="0.2">
      <c r="B24" s="554">
        <v>4040</v>
      </c>
      <c r="C24" s="555" t="s">
        <v>176</v>
      </c>
      <c r="D24" s="599" t="e">
        <f>VLOOKUP($B$7,Données!$B:$Z,15,FALSE)</f>
        <v>#N/A</v>
      </c>
    </row>
    <row r="25" spans="2:4" s="557" customFormat="1" ht="12.75" x14ac:dyDescent="0.2">
      <c r="B25" s="554">
        <v>4090</v>
      </c>
      <c r="C25" s="555" t="s">
        <v>336</v>
      </c>
      <c r="D25" s="599" t="e">
        <f>VLOOKUP($B$7,Données!$B:$Z,16,FALSE)</f>
        <v>#N/A</v>
      </c>
    </row>
    <row r="26" spans="2:4" s="557" customFormat="1" ht="12.75" x14ac:dyDescent="0.2">
      <c r="B26" s="554">
        <v>4411</v>
      </c>
      <c r="C26" s="555" t="s">
        <v>578</v>
      </c>
      <c r="D26" s="599" t="e">
        <f>VLOOKUP($B$7,Données!$B:$Z,17,FALSE)</f>
        <v>#N/A</v>
      </c>
    </row>
    <row r="27" spans="2:4" s="557" customFormat="1" ht="12.75" x14ac:dyDescent="0.2">
      <c r="B27" s="554">
        <v>451</v>
      </c>
      <c r="C27" s="555" t="s">
        <v>414</v>
      </c>
      <c r="D27" s="599" t="e">
        <f>VLOOKUP($B$7,Données!$B:$Z,18,FALSE)</f>
        <v>#N/A</v>
      </c>
    </row>
    <row r="28" spans="2:4" s="557" customFormat="1" ht="12.75" x14ac:dyDescent="0.2">
      <c r="B28" s="554"/>
      <c r="C28" s="558" t="s">
        <v>173</v>
      </c>
      <c r="D28" s="601" t="e">
        <f>SUM(D22:D27)</f>
        <v>#N/A</v>
      </c>
    </row>
    <row r="29" spans="2:4" s="557" customFormat="1" ht="12.75" x14ac:dyDescent="0.2">
      <c r="B29" s="554"/>
      <c r="C29" s="558" t="s">
        <v>579</v>
      </c>
      <c r="D29" s="601" t="e">
        <f>+D28+D20</f>
        <v>#N/A</v>
      </c>
    </row>
    <row r="30" spans="2:4" s="557" customFormat="1" ht="6" customHeight="1" x14ac:dyDescent="0.2">
      <c r="B30" s="554"/>
      <c r="C30" s="555"/>
      <c r="D30" s="599"/>
    </row>
    <row r="31" spans="2:4" s="557" customFormat="1" ht="7.15" customHeight="1" x14ac:dyDescent="0.2">
      <c r="B31" s="554"/>
      <c r="C31" s="558"/>
      <c r="D31" s="599"/>
    </row>
    <row r="32" spans="2:4" s="557" customFormat="1" ht="12.75" x14ac:dyDescent="0.2">
      <c r="B32" s="554" t="s">
        <v>580</v>
      </c>
      <c r="C32" s="555" t="s">
        <v>581</v>
      </c>
      <c r="D32" s="599" t="e">
        <f>VLOOKUP($B$7,Données!$B:$Z,20,FALSE)</f>
        <v>#N/A</v>
      </c>
    </row>
    <row r="33" spans="2:4" s="557" customFormat="1" ht="12.75" x14ac:dyDescent="0.2">
      <c r="B33" s="554"/>
      <c r="C33" s="555" t="s">
        <v>522</v>
      </c>
      <c r="D33" s="599" t="e">
        <f>VLOOKUP($B$7,Données!$B:$Z,21,FALSE)</f>
        <v>#N/A</v>
      </c>
    </row>
    <row r="34" spans="2:4" s="557" customFormat="1" ht="12.75" x14ac:dyDescent="0.2">
      <c r="B34" s="554"/>
      <c r="C34" s="555" t="s">
        <v>219</v>
      </c>
      <c r="D34" s="599" t="e">
        <f>VLOOKUP($B$7,Données!$B:$Z,22,FALSE)</f>
        <v>#N/A</v>
      </c>
    </row>
    <row r="35" spans="2:4" s="557" customFormat="1" ht="6" customHeight="1" x14ac:dyDescent="0.2">
      <c r="B35" s="554"/>
      <c r="C35" s="555"/>
      <c r="D35" s="556"/>
    </row>
    <row r="36" spans="2:4" s="562" customFormat="1" ht="18" x14ac:dyDescent="0.2">
      <c r="B36" s="559" t="s">
        <v>582</v>
      </c>
      <c r="C36" s="560"/>
      <c r="D36" s="561"/>
    </row>
    <row r="37" spans="2:4" s="557" customFormat="1" ht="6" customHeight="1" x14ac:dyDescent="0.2">
      <c r="B37" s="563"/>
      <c r="C37" s="564"/>
      <c r="D37" s="556"/>
    </row>
    <row r="38" spans="2:4" s="557" customFormat="1" ht="13.9" customHeight="1" x14ac:dyDescent="0.2">
      <c r="B38" s="565"/>
      <c r="C38" s="565" t="s">
        <v>588</v>
      </c>
      <c r="D38" s="602" t="e">
        <f>VLOOKUP($B$7,Données!$B:$Z,23,FALSE)</f>
        <v>#N/A</v>
      </c>
    </row>
    <row r="39" spans="2:4" s="557" customFormat="1" ht="13.9" customHeight="1" x14ac:dyDescent="0.2">
      <c r="B39" s="565"/>
      <c r="C39" s="565" t="s">
        <v>589</v>
      </c>
      <c r="D39" s="660" t="e">
        <f>VLOOKUP($B$7,Données!$B:$Z,24,FALSE)</f>
        <v>#N/A</v>
      </c>
    </row>
    <row r="40" spans="2:4" s="557" customFormat="1" ht="13.9" customHeight="1" x14ac:dyDescent="0.2">
      <c r="B40" s="565"/>
      <c r="C40" s="565" t="s">
        <v>590</v>
      </c>
      <c r="D40" s="566" t="e">
        <f>VLOOKUP($B$7,Données!$B:$Z,25,FALSE)</f>
        <v>#N/A</v>
      </c>
    </row>
    <row r="41" spans="2:4" s="550" customFormat="1" ht="6" customHeight="1" x14ac:dyDescent="0.2">
      <c r="B41" s="549"/>
      <c r="C41" s="549"/>
      <c r="D41" s="549"/>
    </row>
  </sheetData>
  <sheetProtection sheet="1" objects="1" scenarios="1"/>
  <protectedRanges>
    <protectedRange sqref="C3:D3" name="Plage1"/>
  </protectedRanges>
  <mergeCells count="3">
    <mergeCell ref="C3:D3"/>
    <mergeCell ref="B6:D6"/>
    <mergeCell ref="B7:D7"/>
  </mergeCells>
  <hyperlinks>
    <hyperlink ref="E1" location="Données!A1" display="← Précédent" xr:uid="{53F0571D-7EBF-4692-B594-94200258D76F}"/>
    <hyperlink ref="F1" location="'Table des matières'!A1" display="Table des             matières" xr:uid="{FB4FAEED-1D05-48E4-9731-C9EE5ADAAD04}"/>
    <hyperlink ref="G1" location="VPI!A1" display="Suivant →" xr:uid="{4618A07E-8D7A-459F-8675-56B6D45DD106}"/>
  </hyperlinks>
  <pageMargins left="0.7" right="0.7" top="0.75" bottom="0.75" header="0.3" footer="0.3"/>
  <pageSetup paperSize="9" scale="8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CEEB2C5-759B-4A6C-A9F0-AE44F7E2C6C4}">
          <x14:formula1>
            <xm:f>Paramètres!$A$62:$A$361</xm:f>
          </x14:formula1>
          <xm:sqref>C3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tabColor theme="3" tint="0.59999389629810485"/>
  </sheetPr>
  <dimension ref="A1:R318"/>
  <sheetViews>
    <sheetView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8.625" defaultRowHeight="15" x14ac:dyDescent="0.25"/>
  <cols>
    <col min="1" max="1" width="7.625" style="2" customWidth="1"/>
    <col min="2" max="2" width="21.625" style="10" customWidth="1"/>
    <col min="3" max="3" width="12" style="10" customWidth="1"/>
    <col min="4" max="4" width="20.625" style="4" customWidth="1"/>
    <col min="5" max="5" width="12" style="10" bestFit="1" customWidth="1"/>
    <col min="6" max="6" width="9.875" style="4" bestFit="1" customWidth="1"/>
    <col min="7" max="7" width="10.25" style="10" bestFit="1" customWidth="1"/>
    <col min="8" max="8" width="9.875" style="10" bestFit="1" customWidth="1"/>
    <col min="9" max="9" width="12.875" style="10" customWidth="1"/>
    <col min="10" max="10" width="10.25" style="10" customWidth="1"/>
    <col min="11" max="11" width="15.75" style="10" customWidth="1"/>
    <col min="12" max="12" width="13" style="146" customWidth="1"/>
    <col min="13" max="13" width="10" style="10" bestFit="1" customWidth="1"/>
    <col min="14" max="14" width="13.375" style="10" customWidth="1"/>
    <col min="15" max="15" width="12.875" style="12" customWidth="1"/>
    <col min="16" max="16" width="14.25" style="10" bestFit="1" customWidth="1"/>
    <col min="17" max="17" width="11.25" style="10" customWidth="1"/>
    <col min="18" max="18" width="14.25" style="10" customWidth="1"/>
    <col min="19" max="19" width="9.875" style="10" bestFit="1" customWidth="1"/>
    <col min="20" max="16384" width="8.625" style="10"/>
  </cols>
  <sheetData>
    <row r="1" spans="1:18" ht="26.25" customHeight="1" x14ac:dyDescent="0.4">
      <c r="A1" s="186" t="s">
        <v>407</v>
      </c>
      <c r="B1" s="20"/>
      <c r="C1" s="20"/>
      <c r="E1" s="207" t="s">
        <v>402</v>
      </c>
      <c r="F1" s="208" t="s">
        <v>394</v>
      </c>
      <c r="G1" s="348" t="s">
        <v>403</v>
      </c>
      <c r="H1" s="2"/>
      <c r="I1" s="259"/>
      <c r="J1" s="259"/>
      <c r="K1" s="259"/>
      <c r="L1" s="259"/>
      <c r="M1" s="259"/>
      <c r="N1" s="259"/>
      <c r="O1" s="259"/>
      <c r="P1" s="259"/>
      <c r="Q1" s="259"/>
      <c r="R1" s="259"/>
    </row>
    <row r="2" spans="1:18" ht="15.75" customHeight="1" x14ac:dyDescent="0.35">
      <c r="A2" s="255" t="str">
        <f>Paramètres!B4</f>
        <v>Décompte 2024</v>
      </c>
      <c r="C2" s="19"/>
      <c r="E2" s="22"/>
      <c r="G2" s="23"/>
      <c r="H2" s="2"/>
      <c r="I2" s="259"/>
      <c r="J2" s="259"/>
      <c r="K2" s="259"/>
      <c r="L2" s="259"/>
      <c r="M2" s="259"/>
      <c r="N2" s="259"/>
      <c r="O2" s="259"/>
      <c r="P2" s="259"/>
      <c r="Q2" s="259"/>
      <c r="R2" s="259"/>
    </row>
    <row r="3" spans="1:18" x14ac:dyDescent="0.25">
      <c r="A3" s="1"/>
      <c r="B3" s="256"/>
      <c r="C3" s="2"/>
      <c r="E3" s="22"/>
      <c r="G3" s="2"/>
      <c r="H3" s="2"/>
      <c r="I3" s="2"/>
      <c r="J3" s="2"/>
      <c r="K3" s="2"/>
    </row>
    <row r="4" spans="1:18" s="13" customFormat="1" ht="45" x14ac:dyDescent="0.2">
      <c r="A4" s="729" t="s">
        <v>44</v>
      </c>
      <c r="B4" s="725" t="s">
        <v>84</v>
      </c>
      <c r="C4" s="311" t="s">
        <v>509</v>
      </c>
      <c r="D4" s="311" t="s">
        <v>510</v>
      </c>
      <c r="E4" s="312" t="s">
        <v>415</v>
      </c>
      <c r="F4" s="311" t="s">
        <v>523</v>
      </c>
      <c r="G4" s="311" t="s">
        <v>311</v>
      </c>
      <c r="H4" s="731" t="s">
        <v>218</v>
      </c>
      <c r="I4" s="733" t="s">
        <v>522</v>
      </c>
      <c r="J4" s="731" t="s">
        <v>219</v>
      </c>
      <c r="K4" s="731" t="s">
        <v>336</v>
      </c>
      <c r="L4" s="727" t="s">
        <v>288</v>
      </c>
      <c r="M4" s="311" t="s">
        <v>223</v>
      </c>
      <c r="N4" s="311" t="s">
        <v>445</v>
      </c>
      <c r="O4" s="725" t="s">
        <v>416</v>
      </c>
      <c r="P4" s="727" t="s">
        <v>361</v>
      </c>
      <c r="Q4" s="313" t="s">
        <v>71</v>
      </c>
      <c r="R4" s="318" t="s">
        <v>409</v>
      </c>
    </row>
    <row r="5" spans="1:18" ht="14.25" customHeight="1" x14ac:dyDescent="0.25">
      <c r="A5" s="730"/>
      <c r="B5" s="726"/>
      <c r="C5" s="314" t="s">
        <v>524</v>
      </c>
      <c r="D5" s="315" t="s">
        <v>525</v>
      </c>
      <c r="E5" s="316" t="s">
        <v>72</v>
      </c>
      <c r="F5" s="314" t="s">
        <v>74</v>
      </c>
      <c r="G5" s="315" t="s">
        <v>75</v>
      </c>
      <c r="H5" s="732"/>
      <c r="I5" s="734"/>
      <c r="J5" s="732"/>
      <c r="K5" s="732"/>
      <c r="L5" s="728"/>
      <c r="M5" s="315" t="s">
        <v>73</v>
      </c>
      <c r="N5" s="315" t="s">
        <v>76</v>
      </c>
      <c r="O5" s="726"/>
      <c r="P5" s="728"/>
      <c r="Q5" s="317">
        <f>Paramètres!B5</f>
        <v>2024</v>
      </c>
      <c r="R5" s="319">
        <f>Paramètres!B5</f>
        <v>2024</v>
      </c>
    </row>
    <row r="6" spans="1:18" x14ac:dyDescent="0.25">
      <c r="A6" s="6">
        <f>Données!A6</f>
        <v>5401</v>
      </c>
      <c r="B6" s="26" t="str">
        <f>Données!B6</f>
        <v>Aigle</v>
      </c>
      <c r="C6" s="7">
        <f>Données!C6+Données!D6</f>
        <v>15579019.939999999</v>
      </c>
      <c r="D6" s="7">
        <f>+Données!G6+Données!H6+Données!S6</f>
        <v>2014440.82</v>
      </c>
      <c r="E6" s="7">
        <f>+Données!E6</f>
        <v>0</v>
      </c>
      <c r="F6" s="7">
        <f>+Données!I6</f>
        <v>18570.25</v>
      </c>
      <c r="G6" s="7">
        <f>+Données!J6</f>
        <v>802236.7</v>
      </c>
      <c r="H6" s="7">
        <f>Données!U6</f>
        <v>-406738.7</v>
      </c>
      <c r="I6" s="25">
        <f>Données!V6</f>
        <v>0</v>
      </c>
      <c r="J6" s="25">
        <f>Données!W6</f>
        <v>-14057.03</v>
      </c>
      <c r="K6" s="7">
        <f>+Données!Q6</f>
        <v>175768.24</v>
      </c>
      <c r="L6" s="320">
        <f>SUM(C6:K6)</f>
        <v>18169240.219999995</v>
      </c>
      <c r="M6" s="7">
        <f>+Données!F6</f>
        <v>0</v>
      </c>
      <c r="N6" s="7">
        <f>+Données!K6</f>
        <v>279154.05</v>
      </c>
      <c r="O6" s="7">
        <f>(Données!L6/Données!Y6)*1</f>
        <v>2118130.6666666665</v>
      </c>
      <c r="P6" s="320">
        <f>SUM(L6:O6)</f>
        <v>20566524.936666664</v>
      </c>
      <c r="Q6" s="27">
        <f>+Données!X6</f>
        <v>66</v>
      </c>
      <c r="R6" s="320">
        <f>P6/Q6</f>
        <v>311614.01419191912</v>
      </c>
    </row>
    <row r="7" spans="1:18" x14ac:dyDescent="0.25">
      <c r="A7" s="6">
        <f>Données!A7</f>
        <v>5402</v>
      </c>
      <c r="B7" s="26" t="str">
        <f>Données!B7</f>
        <v>Bex</v>
      </c>
      <c r="C7" s="7">
        <f>Données!C7+Données!D7</f>
        <v>11337357.35</v>
      </c>
      <c r="D7" s="7">
        <f>+Données!G7+Données!H7+Données!S7</f>
        <v>908501.24999999988</v>
      </c>
      <c r="E7" s="7">
        <f>+Données!E7</f>
        <v>0</v>
      </c>
      <c r="F7" s="7">
        <f>+Données!I7</f>
        <v>27725.85</v>
      </c>
      <c r="G7" s="7">
        <f>+Données!J7</f>
        <v>517206.63</v>
      </c>
      <c r="H7" s="7">
        <f>Données!U7</f>
        <v>-348478.11</v>
      </c>
      <c r="I7" s="144">
        <f>Données!V7</f>
        <v>0</v>
      </c>
      <c r="J7" s="144">
        <f>Données!W7</f>
        <v>-3028.52</v>
      </c>
      <c r="K7" s="7">
        <f>+Données!Q7</f>
        <v>68748.11</v>
      </c>
      <c r="L7" s="320">
        <f t="shared" ref="L7:L70" si="0">SUM(C7:K7)</f>
        <v>12508032.560000001</v>
      </c>
      <c r="M7" s="7">
        <f>+Données!F7</f>
        <v>0</v>
      </c>
      <c r="N7" s="7">
        <f>+Données!K7</f>
        <v>163861.9</v>
      </c>
      <c r="O7" s="7">
        <f>(Données!L7/Données!Y7)*1</f>
        <v>1499730.3199999998</v>
      </c>
      <c r="P7" s="320">
        <f t="shared" ref="P7:P70" si="1">SUM(L7:O7)</f>
        <v>14171624.780000001</v>
      </c>
      <c r="Q7" s="160">
        <f>+Données!X7</f>
        <v>71</v>
      </c>
      <c r="R7" s="320">
        <f t="shared" ref="R7:R70" si="2">P7/Q7</f>
        <v>199600.34901408452</v>
      </c>
    </row>
    <row r="8" spans="1:18" x14ac:dyDescent="0.25">
      <c r="A8" s="6">
        <f>Données!A8</f>
        <v>5403</v>
      </c>
      <c r="B8" s="26" t="str">
        <f>Données!B8</f>
        <v>Chessel</v>
      </c>
      <c r="C8" s="7">
        <f>Données!C8+Données!D8</f>
        <v>704516.11</v>
      </c>
      <c r="D8" s="7">
        <f>+Données!G8+Données!H8+Données!S8</f>
        <v>-15570.83</v>
      </c>
      <c r="E8" s="7">
        <f>+Données!E8</f>
        <v>0</v>
      </c>
      <c r="F8" s="7">
        <f>+Données!I8</f>
        <v>0</v>
      </c>
      <c r="G8" s="7">
        <f>+Données!J8</f>
        <v>18979.48</v>
      </c>
      <c r="H8" s="7">
        <f>Données!U8</f>
        <v>-21964.68</v>
      </c>
      <c r="I8" s="144">
        <f>Données!V8</f>
        <v>0</v>
      </c>
      <c r="J8" s="144">
        <f>Données!W8</f>
        <v>-222.8</v>
      </c>
      <c r="K8" s="7">
        <f>+Données!Q8</f>
        <v>9813.4699999999993</v>
      </c>
      <c r="L8" s="320">
        <f t="shared" si="0"/>
        <v>695550.74999999988</v>
      </c>
      <c r="M8" s="7">
        <f>+Données!F8</f>
        <v>0</v>
      </c>
      <c r="N8" s="7">
        <f>+Données!K8</f>
        <v>6825.1</v>
      </c>
      <c r="O8" s="7">
        <f>(Données!L8/Données!Y8)*1</f>
        <v>90678.9</v>
      </c>
      <c r="P8" s="320">
        <f t="shared" si="1"/>
        <v>793054.74999999988</v>
      </c>
      <c r="Q8" s="160">
        <f>+Données!X8</f>
        <v>65</v>
      </c>
      <c r="R8" s="320">
        <f t="shared" si="2"/>
        <v>12200.842307692306</v>
      </c>
    </row>
    <row r="9" spans="1:18" x14ac:dyDescent="0.25">
      <c r="A9" s="6">
        <f>Données!A9</f>
        <v>5404</v>
      </c>
      <c r="B9" s="26" t="str">
        <f>Données!B9</f>
        <v>Corbeyrier</v>
      </c>
      <c r="C9" s="7">
        <f>Données!C9+Données!D9</f>
        <v>783034.48</v>
      </c>
      <c r="D9" s="7">
        <f>+Données!G9+Données!H9+Données!S9</f>
        <v>9935.2099999999991</v>
      </c>
      <c r="E9" s="7">
        <f>+Données!E9</f>
        <v>0</v>
      </c>
      <c r="F9" s="7">
        <f>+Données!I9</f>
        <v>0</v>
      </c>
      <c r="G9" s="7">
        <f>+Données!J9</f>
        <v>5301.11</v>
      </c>
      <c r="H9" s="7">
        <f>Données!U9</f>
        <v>-12288.1</v>
      </c>
      <c r="I9" s="144">
        <f>Données!V9</f>
        <v>0</v>
      </c>
      <c r="J9" s="144">
        <f>Données!W9</f>
        <v>-745.15</v>
      </c>
      <c r="K9" s="7">
        <f>+Données!Q9</f>
        <v>13569.73</v>
      </c>
      <c r="L9" s="320">
        <f t="shared" si="0"/>
        <v>798807.27999999991</v>
      </c>
      <c r="M9" s="7">
        <f>+Données!F9</f>
        <v>0</v>
      </c>
      <c r="N9" s="7">
        <f>+Données!K9</f>
        <v>2184.0500000000002</v>
      </c>
      <c r="O9" s="7">
        <f>(Données!L9/Données!Y9)*1</f>
        <v>94466.933333333334</v>
      </c>
      <c r="P9" s="320">
        <f t="shared" si="1"/>
        <v>895458.26333333331</v>
      </c>
      <c r="Q9" s="160">
        <f>+Données!X9</f>
        <v>74</v>
      </c>
      <c r="R9" s="320">
        <f t="shared" si="2"/>
        <v>12100.787342342343</v>
      </c>
    </row>
    <row r="10" spans="1:18" x14ac:dyDescent="0.25">
      <c r="A10" s="6">
        <f>Données!A10</f>
        <v>5405</v>
      </c>
      <c r="B10" s="26" t="str">
        <f>Données!B10</f>
        <v>Gryon</v>
      </c>
      <c r="C10" s="7">
        <f>Données!C10+Données!D10</f>
        <v>4640736.4000000004</v>
      </c>
      <c r="D10" s="7">
        <f>+Données!G10+Données!H10+Données!S10</f>
        <v>117879.31999999999</v>
      </c>
      <c r="E10" s="7">
        <f>+Données!E10</f>
        <v>0</v>
      </c>
      <c r="F10" s="7">
        <f>+Données!I10</f>
        <v>142544.35</v>
      </c>
      <c r="G10" s="7">
        <f>+Données!J10</f>
        <v>134572.49</v>
      </c>
      <c r="H10" s="7">
        <f>Données!U10</f>
        <v>-33026.68</v>
      </c>
      <c r="I10" s="144">
        <f>Données!V10</f>
        <v>0</v>
      </c>
      <c r="J10" s="144">
        <f>Données!W10</f>
        <v>-9004.6</v>
      </c>
      <c r="K10" s="7">
        <f>+Données!Q10</f>
        <v>5297.42</v>
      </c>
      <c r="L10" s="320">
        <f t="shared" si="0"/>
        <v>4998998.7000000011</v>
      </c>
      <c r="M10" s="7">
        <f>+Données!F10</f>
        <v>0</v>
      </c>
      <c r="N10" s="7">
        <f>+Données!K10</f>
        <v>18061.8</v>
      </c>
      <c r="O10" s="7">
        <f>(Données!L10/Données!Y10)*1</f>
        <v>866600.4</v>
      </c>
      <c r="P10" s="320">
        <f t="shared" si="1"/>
        <v>5883660.9000000013</v>
      </c>
      <c r="Q10" s="160">
        <f>+Données!X10</f>
        <v>73.5</v>
      </c>
      <c r="R10" s="320">
        <f t="shared" si="2"/>
        <v>80049.808163265319</v>
      </c>
    </row>
    <row r="11" spans="1:18" x14ac:dyDescent="0.25">
      <c r="A11" s="6">
        <f>Données!A11</f>
        <v>5406</v>
      </c>
      <c r="B11" s="26" t="str">
        <f>Données!B11</f>
        <v>Lavey-Morcles</v>
      </c>
      <c r="C11" s="7">
        <f>Données!C11+Données!D11</f>
        <v>1359771.91</v>
      </c>
      <c r="D11" s="7">
        <f>+Données!G11+Données!H11+Données!S11</f>
        <v>125413.99</v>
      </c>
      <c r="E11" s="7">
        <f>+Données!E11</f>
        <v>0</v>
      </c>
      <c r="F11" s="7">
        <f>+Données!I11</f>
        <v>0</v>
      </c>
      <c r="G11" s="7">
        <f>+Données!J11</f>
        <v>58937.440000000002</v>
      </c>
      <c r="H11" s="7">
        <f>Données!U11</f>
        <v>-35338.68</v>
      </c>
      <c r="I11" s="144">
        <f>Données!V11</f>
        <v>0</v>
      </c>
      <c r="J11" s="144">
        <f>Données!W11</f>
        <v>-51.85</v>
      </c>
      <c r="K11" s="7">
        <f>+Données!Q11</f>
        <v>22311.08</v>
      </c>
      <c r="L11" s="320">
        <f t="shared" si="0"/>
        <v>1531043.89</v>
      </c>
      <c r="M11" s="7">
        <f>+Données!F11</f>
        <v>0</v>
      </c>
      <c r="N11" s="7">
        <f>+Données!K11</f>
        <v>10214.5</v>
      </c>
      <c r="O11" s="7">
        <f>(Données!L11/Données!Y11)*1</f>
        <v>161259.11538461538</v>
      </c>
      <c r="P11" s="320">
        <f t="shared" si="1"/>
        <v>1702517.5053846152</v>
      </c>
      <c r="Q11" s="160">
        <f>+Données!X11</f>
        <v>71.5</v>
      </c>
      <c r="R11" s="320">
        <f t="shared" si="2"/>
        <v>23811.433641742868</v>
      </c>
    </row>
    <row r="12" spans="1:18" x14ac:dyDescent="0.25">
      <c r="A12" s="6">
        <f>Données!A12</f>
        <v>5407</v>
      </c>
      <c r="B12" s="26" t="str">
        <f>Données!B12</f>
        <v>Leysin</v>
      </c>
      <c r="C12" s="7">
        <f>Données!C12+Données!D12</f>
        <v>5502905.0900000008</v>
      </c>
      <c r="D12" s="7">
        <f>+Données!G12+Données!H12+Données!S12</f>
        <v>371795.26</v>
      </c>
      <c r="E12" s="7">
        <f>+Données!E12</f>
        <v>0</v>
      </c>
      <c r="F12" s="7">
        <f>+Données!I12</f>
        <v>175347.8</v>
      </c>
      <c r="G12" s="7">
        <f>+Données!J12</f>
        <v>503978.57</v>
      </c>
      <c r="H12" s="7">
        <f>Données!U12</f>
        <v>-193690.05</v>
      </c>
      <c r="I12" s="144">
        <f>Données!V12</f>
        <v>0</v>
      </c>
      <c r="J12" s="144">
        <f>Données!W12</f>
        <v>-7220.17</v>
      </c>
      <c r="K12" s="7">
        <f>+Données!Q12</f>
        <v>44529.74</v>
      </c>
      <c r="L12" s="320">
        <f t="shared" si="0"/>
        <v>6397646.2400000012</v>
      </c>
      <c r="M12" s="7">
        <f>+Données!F12</f>
        <v>0</v>
      </c>
      <c r="N12" s="7">
        <f>+Données!K12</f>
        <v>61928.85</v>
      </c>
      <c r="O12" s="7">
        <f>(Données!L12/Données!Y12)*1</f>
        <v>897049.7333333334</v>
      </c>
      <c r="P12" s="320">
        <f t="shared" si="1"/>
        <v>7356624.8233333342</v>
      </c>
      <c r="Q12" s="160">
        <f>+Données!X12</f>
        <v>78</v>
      </c>
      <c r="R12" s="320">
        <f t="shared" si="2"/>
        <v>94315.702863247876</v>
      </c>
    </row>
    <row r="13" spans="1:18" x14ac:dyDescent="0.25">
      <c r="A13" s="6">
        <f>Données!A13</f>
        <v>5408</v>
      </c>
      <c r="B13" s="26" t="str">
        <f>Données!B13</f>
        <v>Noville</v>
      </c>
      <c r="C13" s="7">
        <f>Données!C13+Données!D13</f>
        <v>2621586.2400000002</v>
      </c>
      <c r="D13" s="7">
        <f>+Données!G13+Données!H13+Données!S13</f>
        <v>67911.760000000009</v>
      </c>
      <c r="E13" s="7">
        <f>+Données!E13</f>
        <v>0</v>
      </c>
      <c r="F13" s="7">
        <f>+Données!I13</f>
        <v>0</v>
      </c>
      <c r="G13" s="7">
        <f>+Données!J13</f>
        <v>64627.26</v>
      </c>
      <c r="H13" s="7">
        <f>Données!U13</f>
        <v>-13148.58</v>
      </c>
      <c r="I13" s="144">
        <f>Données!V13</f>
        <v>0</v>
      </c>
      <c r="J13" s="144">
        <f>Données!W13</f>
        <v>-2443.9</v>
      </c>
      <c r="K13" s="7">
        <f>+Données!Q13</f>
        <v>361.86</v>
      </c>
      <c r="L13" s="320">
        <f t="shared" si="0"/>
        <v>2738894.6399999997</v>
      </c>
      <c r="M13" s="7">
        <f>+Données!F13</f>
        <v>0</v>
      </c>
      <c r="N13" s="7">
        <f>+Données!K13</f>
        <v>26194.75</v>
      </c>
      <c r="O13" s="7">
        <f>(Données!L13/Données!Y13)*1</f>
        <v>365544.06666666665</v>
      </c>
      <c r="P13" s="320">
        <f t="shared" si="1"/>
        <v>3130633.4566666661</v>
      </c>
      <c r="Q13" s="160">
        <f>+Données!X13</f>
        <v>75</v>
      </c>
      <c r="R13" s="320">
        <f t="shared" si="2"/>
        <v>41741.779422222215</v>
      </c>
    </row>
    <row r="14" spans="1:18" x14ac:dyDescent="0.25">
      <c r="A14" s="6">
        <f>Données!A14</f>
        <v>5409</v>
      </c>
      <c r="B14" s="26" t="str">
        <f>Données!B14</f>
        <v>Ollon</v>
      </c>
      <c r="C14" s="7">
        <f>Données!C14+Données!D14</f>
        <v>22078906.18</v>
      </c>
      <c r="D14" s="7">
        <f>+Données!G14+Données!H14+Données!S14</f>
        <v>835599.69</v>
      </c>
      <c r="E14" s="7">
        <f>+Données!E14</f>
        <v>0</v>
      </c>
      <c r="F14" s="7">
        <f>+Données!I14</f>
        <v>2261670.7999999998</v>
      </c>
      <c r="G14" s="7">
        <f>+Données!J14</f>
        <v>834783.01</v>
      </c>
      <c r="H14" s="7">
        <f>Données!U14</f>
        <v>-233403.12</v>
      </c>
      <c r="I14" s="144">
        <f>Données!V14</f>
        <v>0</v>
      </c>
      <c r="J14" s="144">
        <f>Données!W14</f>
        <v>-142654.78</v>
      </c>
      <c r="K14" s="7">
        <f>+Données!Q14</f>
        <v>55137.14</v>
      </c>
      <c r="L14" s="320">
        <f t="shared" si="0"/>
        <v>25690038.920000002</v>
      </c>
      <c r="M14" s="7">
        <f>+Données!F14</f>
        <v>0</v>
      </c>
      <c r="N14" s="7">
        <f>+Données!K14</f>
        <v>83948.25</v>
      </c>
      <c r="O14" s="7">
        <f>(Données!L14/Données!Y14)*1</f>
        <v>3446225.923076923</v>
      </c>
      <c r="P14" s="320">
        <f t="shared" si="1"/>
        <v>29220213.093076926</v>
      </c>
      <c r="Q14" s="160">
        <f>+Données!X14</f>
        <v>68</v>
      </c>
      <c r="R14" s="320">
        <f t="shared" si="2"/>
        <v>429709.0160746607</v>
      </c>
    </row>
    <row r="15" spans="1:18" x14ac:dyDescent="0.25">
      <c r="A15" s="6">
        <f>Données!A15</f>
        <v>5410</v>
      </c>
      <c r="B15" s="26" t="str">
        <f>Données!B15</f>
        <v>Ormont-Dessous</v>
      </c>
      <c r="C15" s="7">
        <f>Données!C15+Données!D15</f>
        <v>2504743.81</v>
      </c>
      <c r="D15" s="7">
        <f>+Données!G15+Données!H15+Données!S15</f>
        <v>69172.22</v>
      </c>
      <c r="E15" s="7">
        <f>+Données!E15</f>
        <v>0</v>
      </c>
      <c r="F15" s="7">
        <f>+Données!I15</f>
        <v>0</v>
      </c>
      <c r="G15" s="7">
        <f>+Données!J15</f>
        <v>75632.97</v>
      </c>
      <c r="H15" s="7">
        <f>Données!U15</f>
        <v>-36367.56</v>
      </c>
      <c r="I15" s="144">
        <f>Données!V15</f>
        <v>0</v>
      </c>
      <c r="J15" s="144">
        <f>Données!W15</f>
        <v>-249.1</v>
      </c>
      <c r="K15" s="7">
        <f>+Données!Q15</f>
        <v>813.34</v>
      </c>
      <c r="L15" s="320">
        <f t="shared" si="0"/>
        <v>2613745.6800000002</v>
      </c>
      <c r="M15" s="7">
        <f>+Données!F15</f>
        <v>0</v>
      </c>
      <c r="N15" s="7">
        <f>+Données!K15</f>
        <v>12130.5</v>
      </c>
      <c r="O15" s="7">
        <f>(Données!L15/Données!Y15)*1</f>
        <v>412646.5</v>
      </c>
      <c r="P15" s="320">
        <f t="shared" si="1"/>
        <v>3038522.68</v>
      </c>
      <c r="Q15" s="160">
        <f>+Données!X15</f>
        <v>77</v>
      </c>
      <c r="R15" s="320">
        <f t="shared" si="2"/>
        <v>39461.333506493509</v>
      </c>
    </row>
    <row r="16" spans="1:18" x14ac:dyDescent="0.25">
      <c r="A16" s="6">
        <f>Données!A16</f>
        <v>5411</v>
      </c>
      <c r="B16" s="26" t="str">
        <f>Données!B16</f>
        <v>Ormont-Dessus</v>
      </c>
      <c r="C16" s="7">
        <f>Données!C16+Données!D16</f>
        <v>4917980.74</v>
      </c>
      <c r="D16" s="7">
        <f>+Données!G16+Données!H16+Données!S16</f>
        <v>108169.09999999999</v>
      </c>
      <c r="E16" s="7">
        <f>+Données!E16</f>
        <v>0</v>
      </c>
      <c r="F16" s="7">
        <f>+Données!I16</f>
        <v>214890.85</v>
      </c>
      <c r="G16" s="7">
        <f>+Données!J16</f>
        <v>198326.04</v>
      </c>
      <c r="H16" s="7">
        <f>Données!U16</f>
        <v>-34725.78</v>
      </c>
      <c r="I16" s="144">
        <f>Données!V16</f>
        <v>0</v>
      </c>
      <c r="J16" s="144">
        <f>Données!W16</f>
        <v>-12238.14</v>
      </c>
      <c r="K16" s="7">
        <f>+Données!Q16</f>
        <v>0</v>
      </c>
      <c r="L16" s="320">
        <f t="shared" si="0"/>
        <v>5392402.8099999996</v>
      </c>
      <c r="M16" s="7">
        <f>+Données!F16</f>
        <v>0</v>
      </c>
      <c r="N16" s="7">
        <f>+Données!K16</f>
        <v>2009.4</v>
      </c>
      <c r="O16" s="7">
        <f>(Données!L16/Données!Y16)*1</f>
        <v>896380.03333333333</v>
      </c>
      <c r="P16" s="320">
        <f t="shared" si="1"/>
        <v>6290792.2433333332</v>
      </c>
      <c r="Q16" s="160">
        <f>+Données!X16</f>
        <v>76</v>
      </c>
      <c r="R16" s="320">
        <f t="shared" si="2"/>
        <v>82773.582149122798</v>
      </c>
    </row>
    <row r="17" spans="1:18" x14ac:dyDescent="0.25">
      <c r="A17" s="6">
        <f>Données!A17</f>
        <v>5412</v>
      </c>
      <c r="B17" s="26" t="str">
        <f>Données!B17</f>
        <v>Rennaz</v>
      </c>
      <c r="C17" s="7">
        <f>Données!C17+Données!D17</f>
        <v>1358044.03</v>
      </c>
      <c r="D17" s="7">
        <f>+Données!G17+Données!H17+Données!S17</f>
        <v>277835.22000000003</v>
      </c>
      <c r="E17" s="7">
        <f>+Données!E17</f>
        <v>0</v>
      </c>
      <c r="F17" s="7">
        <f>+Données!I17</f>
        <v>0</v>
      </c>
      <c r="G17" s="7">
        <f>+Données!J17</f>
        <v>99549.21</v>
      </c>
      <c r="H17" s="7">
        <f>Données!U17</f>
        <v>-19022.009999999998</v>
      </c>
      <c r="I17" s="144">
        <f>Données!V17</f>
        <v>0</v>
      </c>
      <c r="J17" s="144">
        <f>Données!W17</f>
        <v>-512.45000000000005</v>
      </c>
      <c r="K17" s="7">
        <f>+Données!Q17</f>
        <v>7120.72</v>
      </c>
      <c r="L17" s="320">
        <f t="shared" si="0"/>
        <v>1723014.72</v>
      </c>
      <c r="M17" s="7">
        <f>+Données!F17</f>
        <v>0</v>
      </c>
      <c r="N17" s="7">
        <f>+Données!K17</f>
        <v>43857.45</v>
      </c>
      <c r="O17" s="7">
        <f>(Données!L17/Données!Y17)*1</f>
        <v>296277.2</v>
      </c>
      <c r="P17" s="320">
        <f t="shared" si="1"/>
        <v>2063149.3699999999</v>
      </c>
      <c r="Q17" s="160">
        <f>+Données!X17</f>
        <v>66</v>
      </c>
      <c r="R17" s="320">
        <f t="shared" si="2"/>
        <v>31259.838939393936</v>
      </c>
    </row>
    <row r="18" spans="1:18" x14ac:dyDescent="0.25">
      <c r="A18" s="6">
        <f>Données!A18</f>
        <v>5413</v>
      </c>
      <c r="B18" s="26" t="str">
        <f>Données!B18</f>
        <v>Roche</v>
      </c>
      <c r="C18" s="7">
        <f>Données!C18+Données!D18</f>
        <v>2203878.2000000002</v>
      </c>
      <c r="D18" s="7">
        <f>+Données!G18+Données!H18+Données!S18</f>
        <v>214606.72</v>
      </c>
      <c r="E18" s="7">
        <f>+Données!E18</f>
        <v>0</v>
      </c>
      <c r="F18" s="7">
        <f>+Données!I18</f>
        <v>0</v>
      </c>
      <c r="G18" s="7">
        <f>+Données!J18</f>
        <v>117947</v>
      </c>
      <c r="H18" s="7">
        <f>Données!U18</f>
        <v>-77214.77</v>
      </c>
      <c r="I18" s="144">
        <f>Données!V18</f>
        <v>0</v>
      </c>
      <c r="J18" s="144">
        <f>Données!W18</f>
        <v>-407.93</v>
      </c>
      <c r="K18" s="7">
        <f>+Données!Q18</f>
        <v>15520.37</v>
      </c>
      <c r="L18" s="320">
        <f t="shared" si="0"/>
        <v>2474329.5900000003</v>
      </c>
      <c r="M18" s="7">
        <f>+Données!F18</f>
        <v>0</v>
      </c>
      <c r="N18" s="7">
        <f>+Données!K18</f>
        <v>37395.75</v>
      </c>
      <c r="O18" s="7">
        <f>(Données!L18/Données!Y18)*1</f>
        <v>328509.875</v>
      </c>
      <c r="P18" s="320">
        <f t="shared" si="1"/>
        <v>2840235.2150000003</v>
      </c>
      <c r="Q18" s="160">
        <f>+Données!X18</f>
        <v>68</v>
      </c>
      <c r="R18" s="320">
        <f t="shared" si="2"/>
        <v>41768.164926470592</v>
      </c>
    </row>
    <row r="19" spans="1:18" x14ac:dyDescent="0.25">
      <c r="A19" s="6">
        <f>Données!A19</f>
        <v>5414</v>
      </c>
      <c r="B19" s="26" t="str">
        <f>Données!B19</f>
        <v>Villeneuve</v>
      </c>
      <c r="C19" s="7">
        <f>Données!C19+Données!D19</f>
        <v>8811165.0199999996</v>
      </c>
      <c r="D19" s="7">
        <f>+Données!G19+Données!H19+Données!S19</f>
        <v>1070080.8600000001</v>
      </c>
      <c r="E19" s="7">
        <f>+Données!E19</f>
        <v>0</v>
      </c>
      <c r="F19" s="7">
        <f>+Données!I19</f>
        <v>-20362.099999999999</v>
      </c>
      <c r="G19" s="7">
        <f>+Données!J19</f>
        <v>383750.22</v>
      </c>
      <c r="H19" s="7">
        <f>Données!U19</f>
        <v>-189093.93</v>
      </c>
      <c r="I19" s="144">
        <f>Données!V19</f>
        <v>0</v>
      </c>
      <c r="J19" s="144">
        <f>Données!W19</f>
        <v>-4172.68</v>
      </c>
      <c r="K19" s="7">
        <f>+Données!Q19</f>
        <v>68913.53</v>
      </c>
      <c r="L19" s="320">
        <f t="shared" si="0"/>
        <v>10120280.92</v>
      </c>
      <c r="M19" s="7">
        <f>+Données!F19</f>
        <v>0</v>
      </c>
      <c r="N19" s="7">
        <f>+Données!K19</f>
        <v>232925.45</v>
      </c>
      <c r="O19" s="7">
        <f>(Données!L19/Données!Y19)*1</f>
        <v>1350465.4</v>
      </c>
      <c r="P19" s="320">
        <f t="shared" si="1"/>
        <v>11703671.77</v>
      </c>
      <c r="Q19" s="160">
        <f>+Données!X19</f>
        <v>66.5</v>
      </c>
      <c r="R19" s="320">
        <f t="shared" si="2"/>
        <v>175995.0642105263</v>
      </c>
    </row>
    <row r="20" spans="1:18" x14ac:dyDescent="0.25">
      <c r="A20" s="6">
        <f>Données!A20</f>
        <v>5415</v>
      </c>
      <c r="B20" s="26" t="str">
        <f>Données!B20</f>
        <v>Yvorne</v>
      </c>
      <c r="C20" s="7">
        <f>Données!C20+Données!D20</f>
        <v>2237172.5699999998</v>
      </c>
      <c r="D20" s="7">
        <f>+Données!G20+Données!H20+Données!S20</f>
        <v>83229.38</v>
      </c>
      <c r="E20" s="7">
        <f>+Données!E20</f>
        <v>0</v>
      </c>
      <c r="F20" s="7">
        <f>+Données!I20</f>
        <v>468.65</v>
      </c>
      <c r="G20" s="7">
        <f>+Données!J20</f>
        <v>48385.09</v>
      </c>
      <c r="H20" s="7">
        <f>Données!U20</f>
        <v>-53381.33</v>
      </c>
      <c r="I20" s="144">
        <f>Données!V20</f>
        <v>0</v>
      </c>
      <c r="J20" s="144">
        <f>Données!W20</f>
        <v>-1883.1</v>
      </c>
      <c r="K20" s="7">
        <f>+Données!Q20</f>
        <v>27307.75</v>
      </c>
      <c r="L20" s="320">
        <f t="shared" si="0"/>
        <v>2341299.0099999993</v>
      </c>
      <c r="M20" s="7">
        <f>+Données!F20</f>
        <v>0</v>
      </c>
      <c r="N20" s="7">
        <f>+Données!K20</f>
        <v>25126.7</v>
      </c>
      <c r="O20" s="7">
        <f>(Données!L20/Données!Y20)*1</f>
        <v>270848.26666666666</v>
      </c>
      <c r="P20" s="320">
        <f t="shared" si="1"/>
        <v>2637273.9766666661</v>
      </c>
      <c r="Q20" s="160">
        <f>+Données!X20</f>
        <v>71.5</v>
      </c>
      <c r="R20" s="320">
        <f t="shared" si="2"/>
        <v>36884.950722610716</v>
      </c>
    </row>
    <row r="21" spans="1:18" x14ac:dyDescent="0.25">
      <c r="A21" s="6">
        <f>Données!A21</f>
        <v>5422</v>
      </c>
      <c r="B21" s="26" t="str">
        <f>Données!B21</f>
        <v>Aubonne</v>
      </c>
      <c r="C21" s="7">
        <f>Données!C21+Données!D21</f>
        <v>13121018.58</v>
      </c>
      <c r="D21" s="7">
        <f>+Données!G21+Données!H21+Données!S21</f>
        <v>10188627.869999999</v>
      </c>
      <c r="E21" s="7">
        <f>+Données!E21</f>
        <v>0</v>
      </c>
      <c r="F21" s="7">
        <f>+Données!I21</f>
        <v>101327.18</v>
      </c>
      <c r="G21" s="7">
        <f>+Données!J21</f>
        <v>340515.75</v>
      </c>
      <c r="H21" s="7">
        <f>Données!U21</f>
        <v>-90375.5</v>
      </c>
      <c r="I21" s="144">
        <f>Données!V21</f>
        <v>0</v>
      </c>
      <c r="J21" s="144">
        <f>Données!W21</f>
        <v>-7643.3</v>
      </c>
      <c r="K21" s="7">
        <f>+Données!Q21</f>
        <v>5179.3599999999997</v>
      </c>
      <c r="L21" s="320">
        <f t="shared" si="0"/>
        <v>23658649.939999998</v>
      </c>
      <c r="M21" s="7">
        <f>+Données!F21</f>
        <v>0</v>
      </c>
      <c r="N21" s="7">
        <f>+Données!K21</f>
        <v>143845.1</v>
      </c>
      <c r="O21" s="7">
        <f>(Données!L21/Données!Y21)*1</f>
        <v>1205312.6499999999</v>
      </c>
      <c r="P21" s="320">
        <f t="shared" si="1"/>
        <v>25007807.689999998</v>
      </c>
      <c r="Q21" s="160">
        <f>+Données!X21</f>
        <v>68</v>
      </c>
      <c r="R21" s="320">
        <f t="shared" si="2"/>
        <v>367761.87779411761</v>
      </c>
    </row>
    <row r="22" spans="1:18" x14ac:dyDescent="0.25">
      <c r="A22" s="6">
        <f>Données!A22</f>
        <v>5423</v>
      </c>
      <c r="B22" s="26" t="str">
        <f>Données!B22</f>
        <v>Ballens</v>
      </c>
      <c r="C22" s="7">
        <f>Données!C22+Données!D22</f>
        <v>1070678.8999999999</v>
      </c>
      <c r="D22" s="7">
        <f>+Données!G22+Données!H22+Données!S22</f>
        <v>23954.960000000003</v>
      </c>
      <c r="E22" s="7">
        <f>+Données!E22</f>
        <v>0</v>
      </c>
      <c r="F22" s="7">
        <f>+Données!I22</f>
        <v>0</v>
      </c>
      <c r="G22" s="7">
        <f>+Données!J22</f>
        <v>45017.66</v>
      </c>
      <c r="H22" s="7">
        <f>Données!U22</f>
        <v>-23866.16</v>
      </c>
      <c r="I22" s="144">
        <f>Données!V22</f>
        <v>0</v>
      </c>
      <c r="J22" s="144">
        <f>Données!W22</f>
        <v>-244.8</v>
      </c>
      <c r="K22" s="7">
        <f>+Données!Q22</f>
        <v>203.36</v>
      </c>
      <c r="L22" s="320">
        <f t="shared" si="0"/>
        <v>1115743.92</v>
      </c>
      <c r="M22" s="7">
        <f>+Données!F22</f>
        <v>0</v>
      </c>
      <c r="N22" s="7">
        <f>+Données!K22</f>
        <v>2926.85</v>
      </c>
      <c r="O22" s="7">
        <f>(Données!L22/Données!Y22)*1</f>
        <v>87747.6</v>
      </c>
      <c r="P22" s="320">
        <f t="shared" si="1"/>
        <v>1206418.3700000001</v>
      </c>
      <c r="Q22" s="160">
        <f>+Données!X22</f>
        <v>73</v>
      </c>
      <c r="R22" s="320">
        <f t="shared" si="2"/>
        <v>16526.279041095891</v>
      </c>
    </row>
    <row r="23" spans="1:18" x14ac:dyDescent="0.25">
      <c r="A23" s="6">
        <f>Données!A23</f>
        <v>5424</v>
      </c>
      <c r="B23" s="26" t="str">
        <f>Données!B23</f>
        <v>Berolle</v>
      </c>
      <c r="C23" s="7">
        <f>Données!C23+Données!D23</f>
        <v>646860.23</v>
      </c>
      <c r="D23" s="7">
        <f>+Données!G23+Données!H23+Données!S23</f>
        <v>2944.06</v>
      </c>
      <c r="E23" s="7">
        <f>+Données!E23</f>
        <v>0</v>
      </c>
      <c r="F23" s="7">
        <f>+Données!I23</f>
        <v>43727.75</v>
      </c>
      <c r="G23" s="7">
        <f>+Données!J23</f>
        <v>4493.2700000000004</v>
      </c>
      <c r="H23" s="7">
        <f>Données!U23</f>
        <v>-19471.919999999998</v>
      </c>
      <c r="I23" s="144">
        <f>Données!V23</f>
        <v>0</v>
      </c>
      <c r="J23" s="144">
        <f>Données!W23</f>
        <v>-1160.55</v>
      </c>
      <c r="K23" s="7">
        <f>+Données!Q23</f>
        <v>1746.24</v>
      </c>
      <c r="L23" s="320">
        <f t="shared" si="0"/>
        <v>679139.08</v>
      </c>
      <c r="M23" s="7">
        <f>+Données!F23</f>
        <v>0</v>
      </c>
      <c r="N23" s="7">
        <f>+Données!K23</f>
        <v>766</v>
      </c>
      <c r="O23" s="7">
        <f>(Données!L23/Données!Y23)*1</f>
        <v>55166.35</v>
      </c>
      <c r="P23" s="320">
        <f t="shared" si="1"/>
        <v>735071.42999999993</v>
      </c>
      <c r="Q23" s="160">
        <f>+Données!X23</f>
        <v>75.5</v>
      </c>
      <c r="R23" s="320">
        <f t="shared" si="2"/>
        <v>9736.045430463575</v>
      </c>
    </row>
    <row r="24" spans="1:18" x14ac:dyDescent="0.25">
      <c r="A24" s="6">
        <f>Données!A24</f>
        <v>5425</v>
      </c>
      <c r="B24" s="26" t="str">
        <f>Données!B24</f>
        <v>Bière</v>
      </c>
      <c r="C24" s="7">
        <f>Données!C24+Données!D24</f>
        <v>2560118.0099999998</v>
      </c>
      <c r="D24" s="7">
        <f>+Données!G24+Données!H24+Données!S24</f>
        <v>197906.68000000002</v>
      </c>
      <c r="E24" s="7">
        <f>+Données!E24</f>
        <v>0</v>
      </c>
      <c r="F24" s="7">
        <f>+Données!I24</f>
        <v>0</v>
      </c>
      <c r="G24" s="7">
        <f>+Données!J24</f>
        <v>140620.87</v>
      </c>
      <c r="H24" s="7">
        <f>Données!U24</f>
        <v>-69246.740000000005</v>
      </c>
      <c r="I24" s="144">
        <f>Données!V24</f>
        <v>0</v>
      </c>
      <c r="J24" s="144">
        <f>Données!W24</f>
        <v>-154.55000000000001</v>
      </c>
      <c r="K24" s="7">
        <f>+Données!Q24</f>
        <v>5975.36</v>
      </c>
      <c r="L24" s="320">
        <f t="shared" si="0"/>
        <v>2835219.63</v>
      </c>
      <c r="M24" s="7">
        <f>+Données!F24</f>
        <v>0</v>
      </c>
      <c r="N24" s="7">
        <f>+Données!K24</f>
        <v>19366.849999999999</v>
      </c>
      <c r="O24" s="7">
        <f>(Données!L24/Données!Y24)*1</f>
        <v>240679.56896551725</v>
      </c>
      <c r="P24" s="320">
        <f t="shared" si="1"/>
        <v>3095266.0489655174</v>
      </c>
      <c r="Q24" s="160">
        <f>+Données!X24</f>
        <v>69</v>
      </c>
      <c r="R24" s="320">
        <f t="shared" si="2"/>
        <v>44858.928245877061</v>
      </c>
    </row>
    <row r="25" spans="1:18" x14ac:dyDescent="0.25">
      <c r="A25" s="6">
        <f>Données!A25</f>
        <v>5426</v>
      </c>
      <c r="B25" s="26" t="str">
        <f>Données!B25</f>
        <v>Bougy-Villars</v>
      </c>
      <c r="C25" s="7">
        <f>Données!C25+Données!D25</f>
        <v>3150431.79</v>
      </c>
      <c r="D25" s="7">
        <f>+Données!G25+Données!H25+Données!S25</f>
        <v>44293.5</v>
      </c>
      <c r="E25" s="7">
        <f>+Données!E25</f>
        <v>0</v>
      </c>
      <c r="F25" s="7">
        <f>+Données!I25</f>
        <v>932066.36</v>
      </c>
      <c r="G25" s="7">
        <f>+Données!J25</f>
        <v>16728.36</v>
      </c>
      <c r="H25" s="7">
        <f>Données!U25</f>
        <v>-10920</v>
      </c>
      <c r="I25" s="144">
        <f>Données!V25</f>
        <v>0</v>
      </c>
      <c r="J25" s="144">
        <f>Données!W25</f>
        <v>-2725.51</v>
      </c>
      <c r="K25" s="7">
        <f>+Données!Q25</f>
        <v>6101.49</v>
      </c>
      <c r="L25" s="320">
        <f t="shared" si="0"/>
        <v>4135975.99</v>
      </c>
      <c r="M25" s="7">
        <f>+Données!F25</f>
        <v>0</v>
      </c>
      <c r="N25" s="7">
        <f>+Données!K25</f>
        <v>5671.8</v>
      </c>
      <c r="O25" s="7">
        <f>(Données!L25/Données!Y25)*1</f>
        <v>289811.45833333337</v>
      </c>
      <c r="P25" s="320">
        <f t="shared" si="1"/>
        <v>4431459.2483333331</v>
      </c>
      <c r="Q25" s="160">
        <f>+Données!X25</f>
        <v>64.5</v>
      </c>
      <c r="R25" s="320">
        <f t="shared" si="2"/>
        <v>68704.794547803613</v>
      </c>
    </row>
    <row r="26" spans="1:18" x14ac:dyDescent="0.25">
      <c r="A26" s="6">
        <f>Données!A26</f>
        <v>5427</v>
      </c>
      <c r="B26" s="26" t="str">
        <f>Données!B26</f>
        <v>Féchy</v>
      </c>
      <c r="C26" s="7">
        <f>Données!C26+Données!D26</f>
        <v>5458331.1299999999</v>
      </c>
      <c r="D26" s="7">
        <f>+Données!G26+Données!H26+Données!S26</f>
        <v>5979.46</v>
      </c>
      <c r="E26" s="7">
        <f>+Données!E26</f>
        <v>0</v>
      </c>
      <c r="F26" s="7">
        <f>+Données!I26</f>
        <v>764913.25</v>
      </c>
      <c r="G26" s="7">
        <f>+Données!J26</f>
        <v>-1910.87</v>
      </c>
      <c r="H26" s="7">
        <f>Données!U26</f>
        <v>-15833.94</v>
      </c>
      <c r="I26" s="144">
        <f>Données!V26</f>
        <v>0</v>
      </c>
      <c r="J26" s="144">
        <f>Données!W26</f>
        <v>-17413.25</v>
      </c>
      <c r="K26" s="7">
        <f>+Données!Q26</f>
        <v>1055.6099999999999</v>
      </c>
      <c r="L26" s="320">
        <f t="shared" si="0"/>
        <v>6195121.3899999997</v>
      </c>
      <c r="M26" s="7">
        <f>+Données!F26</f>
        <v>0</v>
      </c>
      <c r="N26" s="7">
        <f>+Données!K26</f>
        <v>14541.95</v>
      </c>
      <c r="O26" s="7">
        <f>(Données!L26/Données!Y26)*1</f>
        <v>383502.5</v>
      </c>
      <c r="P26" s="320">
        <f t="shared" si="1"/>
        <v>6593165.8399999999</v>
      </c>
      <c r="Q26" s="160">
        <f>+Données!X26</f>
        <v>64</v>
      </c>
      <c r="R26" s="320">
        <f t="shared" si="2"/>
        <v>103018.21625</v>
      </c>
    </row>
    <row r="27" spans="1:18" x14ac:dyDescent="0.25">
      <c r="A27" s="6">
        <f>Données!A27</f>
        <v>5428</v>
      </c>
      <c r="B27" s="26" t="str">
        <f>Données!B27</f>
        <v>Gimel</v>
      </c>
      <c r="C27" s="7">
        <f>Données!C27+Données!D27</f>
        <v>4775141.03</v>
      </c>
      <c r="D27" s="7">
        <f>+Données!G27+Données!H27+Données!S27</f>
        <v>140728.54</v>
      </c>
      <c r="E27" s="7">
        <f>+Données!E27</f>
        <v>0</v>
      </c>
      <c r="F27" s="7">
        <f>+Données!I27</f>
        <v>0</v>
      </c>
      <c r="G27" s="7">
        <f>+Données!J27</f>
        <v>169031.06</v>
      </c>
      <c r="H27" s="7">
        <f>Données!U27</f>
        <v>-69458.84</v>
      </c>
      <c r="I27" s="144">
        <f>Données!V27</f>
        <v>0</v>
      </c>
      <c r="J27" s="144">
        <f>Données!W27</f>
        <v>-11028.05</v>
      </c>
      <c r="K27" s="7">
        <f>+Données!Q27</f>
        <v>6750.57</v>
      </c>
      <c r="L27" s="320">
        <f t="shared" si="0"/>
        <v>5011164.3100000005</v>
      </c>
      <c r="M27" s="7">
        <f>+Données!F27</f>
        <v>0</v>
      </c>
      <c r="N27" s="7">
        <f>+Données!K27</f>
        <v>26188.9</v>
      </c>
      <c r="O27" s="7">
        <f>(Données!L27/Données!Y27)*1</f>
        <v>448587.04166666663</v>
      </c>
      <c r="P27" s="320">
        <f t="shared" si="1"/>
        <v>5485940.2516666679</v>
      </c>
      <c r="Q27" s="160">
        <f>+Données!X27</f>
        <v>73</v>
      </c>
      <c r="R27" s="320">
        <f t="shared" si="2"/>
        <v>75149.866461187237</v>
      </c>
    </row>
    <row r="28" spans="1:18" x14ac:dyDescent="0.25">
      <c r="A28" s="6">
        <f>Données!A28</f>
        <v>5429</v>
      </c>
      <c r="B28" s="26" t="str">
        <f>Données!B28</f>
        <v>Longirod</v>
      </c>
      <c r="C28" s="7">
        <f>Données!C28+Données!D28</f>
        <v>1258080.9099999999</v>
      </c>
      <c r="D28" s="7">
        <f>+Données!G28+Données!H28+Données!S28</f>
        <v>5851.92</v>
      </c>
      <c r="E28" s="7">
        <f>+Données!E28</f>
        <v>0</v>
      </c>
      <c r="F28" s="7">
        <f>+Données!I28</f>
        <v>0</v>
      </c>
      <c r="G28" s="7">
        <f>+Données!J28</f>
        <v>17752.919999999998</v>
      </c>
      <c r="H28" s="7">
        <f>Données!U28</f>
        <v>-11269.5</v>
      </c>
      <c r="I28" s="144">
        <f>Données!V28</f>
        <v>0</v>
      </c>
      <c r="J28" s="144">
        <f>Données!W28</f>
        <v>-154.38999999999999</v>
      </c>
      <c r="K28" s="7">
        <f>+Données!Q28</f>
        <v>535.34</v>
      </c>
      <c r="L28" s="320">
        <f t="shared" si="0"/>
        <v>1270797.2</v>
      </c>
      <c r="M28" s="7">
        <f>+Données!F28</f>
        <v>0</v>
      </c>
      <c r="N28" s="7">
        <f>+Données!K28</f>
        <v>2231.4499999999998</v>
      </c>
      <c r="O28" s="7">
        <f>(Données!L28/Données!Y28)*1</f>
        <v>117900.9</v>
      </c>
      <c r="P28" s="320">
        <f t="shared" si="1"/>
        <v>1390929.5499999998</v>
      </c>
      <c r="Q28" s="160">
        <f>+Données!X28</f>
        <v>77.5</v>
      </c>
      <c r="R28" s="320">
        <f t="shared" si="2"/>
        <v>17947.478064516126</v>
      </c>
    </row>
    <row r="29" spans="1:18" x14ac:dyDescent="0.25">
      <c r="A29" s="6">
        <f>Données!A29</f>
        <v>5430</v>
      </c>
      <c r="B29" s="26" t="str">
        <f>Données!B29</f>
        <v>Marchissy</v>
      </c>
      <c r="C29" s="7">
        <f>Données!C29+Données!D29</f>
        <v>1135488.3500000001</v>
      </c>
      <c r="D29" s="7">
        <f>+Données!G29+Données!H29+Données!S29</f>
        <v>4711.21</v>
      </c>
      <c r="E29" s="7">
        <f>+Données!E29</f>
        <v>0</v>
      </c>
      <c r="F29" s="7">
        <f>+Données!I29</f>
        <v>0</v>
      </c>
      <c r="G29" s="7">
        <f>+Données!J29</f>
        <v>10661.05</v>
      </c>
      <c r="H29" s="7">
        <f>Données!U29</f>
        <v>1168.1300000000001</v>
      </c>
      <c r="I29" s="144">
        <f>Données!V29</f>
        <v>0</v>
      </c>
      <c r="J29" s="144">
        <f>Données!W29</f>
        <v>-76.400000000000006</v>
      </c>
      <c r="K29" s="7">
        <f>+Données!Q29</f>
        <v>7962.89</v>
      </c>
      <c r="L29" s="320">
        <f t="shared" si="0"/>
        <v>1159915.23</v>
      </c>
      <c r="M29" s="7">
        <f>+Données!F29</f>
        <v>0</v>
      </c>
      <c r="N29" s="7">
        <f>+Données!K29</f>
        <v>1015.5</v>
      </c>
      <c r="O29" s="7">
        <f>(Données!L29/Données!Y29)*1</f>
        <v>96803.5</v>
      </c>
      <c r="P29" s="320">
        <f t="shared" si="1"/>
        <v>1257734.23</v>
      </c>
      <c r="Q29" s="160">
        <f>+Données!X29</f>
        <v>77.5</v>
      </c>
      <c r="R29" s="320">
        <f t="shared" si="2"/>
        <v>16228.828774193547</v>
      </c>
    </row>
    <row r="30" spans="1:18" x14ac:dyDescent="0.25">
      <c r="A30" s="6">
        <f>Données!A30</f>
        <v>5431</v>
      </c>
      <c r="B30" s="26" t="str">
        <f>Données!B30</f>
        <v>Mollens</v>
      </c>
      <c r="C30" s="7">
        <f>Données!C30+Données!D30</f>
        <v>728338.91999999993</v>
      </c>
      <c r="D30" s="7">
        <f>+Données!G30+Données!H30+Données!S30</f>
        <v>4976.21</v>
      </c>
      <c r="E30" s="7">
        <f>+Données!E30</f>
        <v>0</v>
      </c>
      <c r="F30" s="7">
        <f>+Données!I30</f>
        <v>0</v>
      </c>
      <c r="G30" s="7">
        <f>+Données!J30</f>
        <v>13475.98</v>
      </c>
      <c r="H30" s="7">
        <f>Données!U30</f>
        <v>-7385.76</v>
      </c>
      <c r="I30" s="144">
        <f>Données!V30</f>
        <v>0</v>
      </c>
      <c r="J30" s="144">
        <f>Données!W30</f>
        <v>-732.48</v>
      </c>
      <c r="K30" s="7">
        <f>+Données!Q30</f>
        <v>86.25</v>
      </c>
      <c r="L30" s="320">
        <f t="shared" si="0"/>
        <v>738759.11999999988</v>
      </c>
      <c r="M30" s="7">
        <f>+Données!F30</f>
        <v>0</v>
      </c>
      <c r="N30" s="7">
        <f>+Données!K30</f>
        <v>1133.5</v>
      </c>
      <c r="O30" s="7">
        <f>(Données!L30/Données!Y30)*1</f>
        <v>52006.3</v>
      </c>
      <c r="P30" s="320">
        <f t="shared" si="1"/>
        <v>791898.91999999993</v>
      </c>
      <c r="Q30" s="160">
        <f>+Données!X30</f>
        <v>74</v>
      </c>
      <c r="R30" s="320">
        <f t="shared" si="2"/>
        <v>10701.336756756757</v>
      </c>
    </row>
    <row r="31" spans="1:18" x14ac:dyDescent="0.25">
      <c r="A31" s="6">
        <f>Données!A31</f>
        <v>5434</v>
      </c>
      <c r="B31" s="26" t="str">
        <f>Données!B31</f>
        <v>Saint-George</v>
      </c>
      <c r="C31" s="7">
        <f>Données!C31+Données!D31</f>
        <v>3236730.8800000004</v>
      </c>
      <c r="D31" s="7">
        <f>+Données!G31+Données!H31+Données!S31</f>
        <v>14517.560000000001</v>
      </c>
      <c r="E31" s="7">
        <f>+Données!E31</f>
        <v>0</v>
      </c>
      <c r="F31" s="7">
        <f>+Données!I31</f>
        <v>0</v>
      </c>
      <c r="G31" s="7">
        <f>+Données!J31</f>
        <v>44624.43</v>
      </c>
      <c r="H31" s="7">
        <f>Données!U31</f>
        <v>-13073.19</v>
      </c>
      <c r="I31" s="144">
        <f>Données!V31</f>
        <v>0</v>
      </c>
      <c r="J31" s="144">
        <f>Données!W31</f>
        <v>-4140.55</v>
      </c>
      <c r="K31" s="7">
        <f>+Données!Q31</f>
        <v>0.55000000000000004</v>
      </c>
      <c r="L31" s="320">
        <f t="shared" si="0"/>
        <v>3278659.6800000006</v>
      </c>
      <c r="M31" s="7">
        <f>+Données!F31</f>
        <v>0</v>
      </c>
      <c r="N31" s="7">
        <f>+Données!K31</f>
        <v>4799.2</v>
      </c>
      <c r="O31" s="7">
        <f>(Données!L31/Données!Y31)*1</f>
        <v>252785.16666666669</v>
      </c>
      <c r="P31" s="320">
        <f t="shared" si="1"/>
        <v>3536244.0466666673</v>
      </c>
      <c r="Q31" s="160">
        <f>+Données!X31</f>
        <v>69.5</v>
      </c>
      <c r="R31" s="320">
        <f t="shared" si="2"/>
        <v>50881.209304556367</v>
      </c>
    </row>
    <row r="32" spans="1:18" x14ac:dyDescent="0.25">
      <c r="A32" s="6">
        <f>Données!A32</f>
        <v>5435</v>
      </c>
      <c r="B32" s="26" t="str">
        <f>Données!B32</f>
        <v>Saint-Livres</v>
      </c>
      <c r="C32" s="7">
        <f>Données!C32+Données!D32</f>
        <v>1708219.99</v>
      </c>
      <c r="D32" s="7">
        <f>+Données!G32+Données!H32+Données!S32</f>
        <v>17593.88</v>
      </c>
      <c r="E32" s="7">
        <f>+Données!E32</f>
        <v>0</v>
      </c>
      <c r="F32" s="7">
        <f>+Données!I32</f>
        <v>0</v>
      </c>
      <c r="G32" s="7">
        <f>+Données!J32</f>
        <v>13301.02</v>
      </c>
      <c r="H32" s="7">
        <f>Données!U32</f>
        <v>-19224.900000000001</v>
      </c>
      <c r="I32" s="144">
        <f>Données!V32</f>
        <v>0</v>
      </c>
      <c r="J32" s="144">
        <f>Données!W32</f>
        <v>-1210.8699999999999</v>
      </c>
      <c r="K32" s="7">
        <f>+Données!Q32</f>
        <v>2285.16</v>
      </c>
      <c r="L32" s="320">
        <f t="shared" si="0"/>
        <v>1720964.2799999998</v>
      </c>
      <c r="M32" s="7">
        <f>+Données!F32</f>
        <v>0</v>
      </c>
      <c r="N32" s="7">
        <f>+Données!K32</f>
        <v>0</v>
      </c>
      <c r="O32" s="7">
        <f>(Données!L32/Données!Y32)*1</f>
        <v>142961.79999999999</v>
      </c>
      <c r="P32" s="320">
        <f t="shared" si="1"/>
        <v>1863926.0799999998</v>
      </c>
      <c r="Q32" s="160">
        <f>+Données!X32</f>
        <v>69</v>
      </c>
      <c r="R32" s="320">
        <f t="shared" si="2"/>
        <v>27013.42144927536</v>
      </c>
    </row>
    <row r="33" spans="1:18" x14ac:dyDescent="0.25">
      <c r="A33" s="6">
        <f>Données!A33</f>
        <v>5436</v>
      </c>
      <c r="B33" s="26" t="str">
        <f>Données!B33</f>
        <v>Saint-Oyens</v>
      </c>
      <c r="C33" s="7">
        <f>Données!C33+Données!D33</f>
        <v>1273800.4000000001</v>
      </c>
      <c r="D33" s="7">
        <f>+Données!G33+Données!H33+Données!S33</f>
        <v>15720.58</v>
      </c>
      <c r="E33" s="7">
        <f>+Données!E33</f>
        <v>0</v>
      </c>
      <c r="F33" s="7">
        <f>+Données!I33</f>
        <v>0</v>
      </c>
      <c r="G33" s="7">
        <f>+Données!J33</f>
        <v>11084.6</v>
      </c>
      <c r="H33" s="7">
        <f>Données!U33</f>
        <v>-3750.9</v>
      </c>
      <c r="I33" s="144">
        <f>Données!V33</f>
        <v>0</v>
      </c>
      <c r="J33" s="144">
        <f>Données!W33</f>
        <v>-1094.7</v>
      </c>
      <c r="K33" s="7">
        <f>+Données!Q33</f>
        <v>0</v>
      </c>
      <c r="L33" s="320">
        <f t="shared" si="0"/>
        <v>1295759.9800000004</v>
      </c>
      <c r="M33" s="7">
        <f>+Données!F33</f>
        <v>0</v>
      </c>
      <c r="N33" s="7">
        <f>+Données!K33</f>
        <v>0</v>
      </c>
      <c r="O33" s="7">
        <f>(Données!L33/Données!Y33)*1</f>
        <v>93688.624999999985</v>
      </c>
      <c r="P33" s="320">
        <f t="shared" si="1"/>
        <v>1389448.6050000004</v>
      </c>
      <c r="Q33" s="160">
        <f>+Données!X33</f>
        <v>79</v>
      </c>
      <c r="R33" s="320">
        <f t="shared" si="2"/>
        <v>17587.95702531646</v>
      </c>
    </row>
    <row r="34" spans="1:18" x14ac:dyDescent="0.25">
      <c r="A34" s="6">
        <f>Données!A34</f>
        <v>5437</v>
      </c>
      <c r="B34" s="26" t="str">
        <f>Données!B34</f>
        <v>Saubraz</v>
      </c>
      <c r="C34" s="7">
        <f>Données!C34+Données!D34</f>
        <v>941742.09</v>
      </c>
      <c r="D34" s="7">
        <f>+Données!G34+Données!H34+Données!S34</f>
        <v>4465.41</v>
      </c>
      <c r="E34" s="7">
        <f>+Données!E34</f>
        <v>0</v>
      </c>
      <c r="F34" s="7">
        <f>+Données!I34</f>
        <v>0</v>
      </c>
      <c r="G34" s="7">
        <f>+Données!J34</f>
        <v>28181.37</v>
      </c>
      <c r="H34" s="7">
        <f>Données!U34</f>
        <v>-5555.99</v>
      </c>
      <c r="I34" s="144">
        <f>Données!V34</f>
        <v>0</v>
      </c>
      <c r="J34" s="144">
        <f>Données!W34</f>
        <v>-46.3</v>
      </c>
      <c r="K34" s="7">
        <f>+Données!Q34</f>
        <v>1647.18</v>
      </c>
      <c r="L34" s="320">
        <f t="shared" si="0"/>
        <v>970433.76</v>
      </c>
      <c r="M34" s="7">
        <f>+Données!F34</f>
        <v>0</v>
      </c>
      <c r="N34" s="7">
        <f>+Données!K34</f>
        <v>1421.35</v>
      </c>
      <c r="O34" s="7">
        <f>(Données!L34/Données!Y34)*1</f>
        <v>85026.55</v>
      </c>
      <c r="P34" s="320">
        <f t="shared" si="1"/>
        <v>1056881.6599999999</v>
      </c>
      <c r="Q34" s="160">
        <f>+Données!X34</f>
        <v>80</v>
      </c>
      <c r="R34" s="320">
        <f t="shared" si="2"/>
        <v>13211.02075</v>
      </c>
    </row>
    <row r="35" spans="1:18" x14ac:dyDescent="0.25">
      <c r="A35" s="6">
        <f>Données!A35</f>
        <v>5451</v>
      </c>
      <c r="B35" s="26" t="str">
        <f>Données!B35</f>
        <v>Avenches</v>
      </c>
      <c r="C35" s="7">
        <f>Données!C35+Données!D35</f>
        <v>5827013.7400000002</v>
      </c>
      <c r="D35" s="7">
        <f>+Données!G35+Données!H35+Données!S35</f>
        <v>1827181.2799999998</v>
      </c>
      <c r="E35" s="7">
        <f>+Données!E35</f>
        <v>0</v>
      </c>
      <c r="F35" s="7">
        <f>+Données!I35</f>
        <v>0</v>
      </c>
      <c r="G35" s="7">
        <f>+Données!J35</f>
        <v>505417.57</v>
      </c>
      <c r="H35" s="7">
        <f>Données!U35</f>
        <v>-173312.51</v>
      </c>
      <c r="I35" s="144">
        <f>Données!V35</f>
        <v>0</v>
      </c>
      <c r="J35" s="144">
        <f>Données!W35</f>
        <v>-1405.22</v>
      </c>
      <c r="K35" s="7">
        <f>+Données!Q35</f>
        <v>33247.120000000003</v>
      </c>
      <c r="L35" s="320">
        <f t="shared" si="0"/>
        <v>8018141.9800000004</v>
      </c>
      <c r="M35" s="7">
        <f>+Données!F35</f>
        <v>0</v>
      </c>
      <c r="N35" s="7">
        <f>+Données!K35</f>
        <v>168312.55</v>
      </c>
      <c r="O35" s="7">
        <f>(Données!L35/Données!Y35)*1</f>
        <v>1044188.6333333333</v>
      </c>
      <c r="P35" s="320">
        <f t="shared" si="1"/>
        <v>9230643.163333334</v>
      </c>
      <c r="Q35" s="160">
        <f>+Données!X35</f>
        <v>65</v>
      </c>
      <c r="R35" s="320">
        <f t="shared" si="2"/>
        <v>142009.89482051283</v>
      </c>
    </row>
    <row r="36" spans="1:18" x14ac:dyDescent="0.25">
      <c r="A36" s="6">
        <f>Données!A36</f>
        <v>5456</v>
      </c>
      <c r="B36" s="26" t="str">
        <f>Données!B36</f>
        <v>Cudrefin</v>
      </c>
      <c r="C36" s="7">
        <f>Données!C36+Données!D36</f>
        <v>3592001.45</v>
      </c>
      <c r="D36" s="7">
        <f>+Données!G36+Données!H36+Données!S36</f>
        <v>61532.960000000006</v>
      </c>
      <c r="E36" s="7">
        <f>+Données!E36</f>
        <v>0</v>
      </c>
      <c r="F36" s="7">
        <f>+Données!I36</f>
        <v>0</v>
      </c>
      <c r="G36" s="7">
        <f>+Données!J36</f>
        <v>103250.65</v>
      </c>
      <c r="H36" s="7">
        <f>Données!U36</f>
        <v>-78155.7</v>
      </c>
      <c r="I36" s="144">
        <f>Données!V36</f>
        <v>0</v>
      </c>
      <c r="J36" s="144">
        <f>Données!W36</f>
        <v>-331</v>
      </c>
      <c r="K36" s="7">
        <f>+Données!Q36</f>
        <v>3988.02</v>
      </c>
      <c r="L36" s="320">
        <f t="shared" si="0"/>
        <v>3682286.38</v>
      </c>
      <c r="M36" s="7">
        <f>+Données!F36</f>
        <v>0</v>
      </c>
      <c r="N36" s="7">
        <f>+Données!K36</f>
        <v>9680.35</v>
      </c>
      <c r="O36" s="7">
        <f>(Données!L36/Données!Y36)*1</f>
        <v>394974.83333333331</v>
      </c>
      <c r="P36" s="320">
        <f t="shared" si="1"/>
        <v>4086941.5633333335</v>
      </c>
      <c r="Q36" s="160">
        <f>+Données!X36</f>
        <v>59</v>
      </c>
      <c r="R36" s="320">
        <f t="shared" si="2"/>
        <v>69270.195988700565</v>
      </c>
    </row>
    <row r="37" spans="1:18" x14ac:dyDescent="0.25">
      <c r="A37" s="6">
        <f>Données!A37</f>
        <v>5458</v>
      </c>
      <c r="B37" s="26" t="str">
        <f>Données!B37</f>
        <v>Faoug</v>
      </c>
      <c r="C37" s="7">
        <f>Données!C37+Données!D37</f>
        <v>1895080.8199999998</v>
      </c>
      <c r="D37" s="7">
        <f>+Données!G37+Données!H37+Données!S37</f>
        <v>44815.72</v>
      </c>
      <c r="E37" s="7">
        <f>+Données!E37</f>
        <v>0</v>
      </c>
      <c r="F37" s="7">
        <f>+Données!I37</f>
        <v>0</v>
      </c>
      <c r="G37" s="7">
        <f>+Données!J37</f>
        <v>37990.71</v>
      </c>
      <c r="H37" s="7">
        <f>Données!U37</f>
        <v>-65761.320000000007</v>
      </c>
      <c r="I37" s="144">
        <f>Données!V37</f>
        <v>0</v>
      </c>
      <c r="J37" s="144">
        <f>Données!W37</f>
        <v>-169.9</v>
      </c>
      <c r="K37" s="7">
        <f>+Données!Q37</f>
        <v>38080.620000000003</v>
      </c>
      <c r="L37" s="320">
        <f t="shared" si="0"/>
        <v>1950036.65</v>
      </c>
      <c r="M37" s="7">
        <f>+Données!F37</f>
        <v>0</v>
      </c>
      <c r="N37" s="7">
        <f>+Données!K37</f>
        <v>13446.75</v>
      </c>
      <c r="O37" s="7">
        <f>(Données!L37/Données!Y37)*1</f>
        <v>201057.76666666669</v>
      </c>
      <c r="P37" s="320">
        <f t="shared" si="1"/>
        <v>2164541.1666666665</v>
      </c>
      <c r="Q37" s="160">
        <f>+Données!X37</f>
        <v>65</v>
      </c>
      <c r="R37" s="320">
        <f t="shared" si="2"/>
        <v>33300.633333333331</v>
      </c>
    </row>
    <row r="38" spans="1:18" x14ac:dyDescent="0.25">
      <c r="A38" s="6">
        <f>Données!A38</f>
        <v>5464</v>
      </c>
      <c r="B38" s="26" t="str">
        <f>Données!B38</f>
        <v>Vully-les-Lacs</v>
      </c>
      <c r="C38" s="7">
        <f>Données!C38+Données!D38</f>
        <v>7419683.8200000003</v>
      </c>
      <c r="D38" s="7">
        <f>+Données!G38+Données!H38+Données!S38</f>
        <v>81967.61</v>
      </c>
      <c r="E38" s="7">
        <f>+Données!E38</f>
        <v>0</v>
      </c>
      <c r="F38" s="7">
        <f>+Données!I38</f>
        <v>36844.300000000003</v>
      </c>
      <c r="G38" s="7">
        <f>+Données!J38</f>
        <v>95060.71</v>
      </c>
      <c r="H38" s="7">
        <f>Données!U38</f>
        <v>-108781.32</v>
      </c>
      <c r="I38" s="144">
        <f>Données!V38</f>
        <v>0</v>
      </c>
      <c r="J38" s="144">
        <f>Données!W38</f>
        <v>-5331</v>
      </c>
      <c r="K38" s="7">
        <f>+Données!Q38</f>
        <v>32718.560000000001</v>
      </c>
      <c r="L38" s="320">
        <f t="shared" si="0"/>
        <v>7552162.6799999997</v>
      </c>
      <c r="M38" s="7">
        <f>+Données!F38</f>
        <v>0</v>
      </c>
      <c r="N38" s="7">
        <f>+Données!K38</f>
        <v>-8866.7000000000007</v>
      </c>
      <c r="O38" s="7">
        <f>(Données!L38/Données!Y38)*1</f>
        <v>798094.79999999993</v>
      </c>
      <c r="P38" s="320">
        <f t="shared" si="1"/>
        <v>8341390.7799999993</v>
      </c>
      <c r="Q38" s="160">
        <f>+Données!X38</f>
        <v>67</v>
      </c>
      <c r="R38" s="320">
        <f t="shared" si="2"/>
        <v>124498.36985074625</v>
      </c>
    </row>
    <row r="39" spans="1:18" x14ac:dyDescent="0.25">
      <c r="A39" s="6">
        <f>Données!A39</f>
        <v>5471</v>
      </c>
      <c r="B39" s="26" t="str">
        <f>Données!B39</f>
        <v>Bettens</v>
      </c>
      <c r="C39" s="7">
        <f>Données!C39+Données!D39</f>
        <v>1471941.41</v>
      </c>
      <c r="D39" s="7">
        <f>+Données!G39+Données!H39+Données!S39</f>
        <v>34628.019999999997</v>
      </c>
      <c r="E39" s="7">
        <f>+Données!E39</f>
        <v>0</v>
      </c>
      <c r="F39" s="7">
        <f>+Données!I39</f>
        <v>0</v>
      </c>
      <c r="G39" s="7">
        <f>+Données!J39</f>
        <v>42256.22</v>
      </c>
      <c r="H39" s="7">
        <f>Données!U39</f>
        <v>-32768.050000000003</v>
      </c>
      <c r="I39" s="144">
        <f>Données!V39</f>
        <v>0</v>
      </c>
      <c r="J39" s="144">
        <f>Données!W39</f>
        <v>-15.2</v>
      </c>
      <c r="K39" s="7">
        <f>+Données!Q39</f>
        <v>3567.81</v>
      </c>
      <c r="L39" s="320">
        <f t="shared" si="0"/>
        <v>1519610.21</v>
      </c>
      <c r="M39" s="7">
        <f>+Données!F39</f>
        <v>0</v>
      </c>
      <c r="N39" s="7">
        <f>+Données!K39</f>
        <v>5494.75</v>
      </c>
      <c r="O39" s="7">
        <f>(Données!L39/Données!Y39)*1</f>
        <v>139904.83333333334</v>
      </c>
      <c r="P39" s="320">
        <f t="shared" si="1"/>
        <v>1665009.7933333332</v>
      </c>
      <c r="Q39" s="160">
        <f>+Données!X39</f>
        <v>70</v>
      </c>
      <c r="R39" s="320">
        <f t="shared" si="2"/>
        <v>23785.854190476188</v>
      </c>
    </row>
    <row r="40" spans="1:18" x14ac:dyDescent="0.25">
      <c r="A40" s="6">
        <f>Données!A40</f>
        <v>5472</v>
      </c>
      <c r="B40" s="26" t="str">
        <f>Données!B40</f>
        <v>Bournens</v>
      </c>
      <c r="C40" s="7">
        <f>Données!C40+Données!D40</f>
        <v>1183107.71</v>
      </c>
      <c r="D40" s="7">
        <f>+Données!G40+Données!H40+Données!S40</f>
        <v>-22631.75</v>
      </c>
      <c r="E40" s="7">
        <f>+Données!E40</f>
        <v>0</v>
      </c>
      <c r="F40" s="7">
        <f>+Données!I40</f>
        <v>0</v>
      </c>
      <c r="G40" s="7">
        <f>+Données!J40</f>
        <v>14559.17</v>
      </c>
      <c r="H40" s="7">
        <f>Données!U40</f>
        <v>-9923.1200000000008</v>
      </c>
      <c r="I40" s="144">
        <f>Données!V40</f>
        <v>0</v>
      </c>
      <c r="J40" s="144">
        <f>Données!W40</f>
        <v>-667.4</v>
      </c>
      <c r="K40" s="7">
        <f>+Données!Q40</f>
        <v>0</v>
      </c>
      <c r="L40" s="320">
        <f t="shared" si="0"/>
        <v>1164444.6099999999</v>
      </c>
      <c r="M40" s="7">
        <f>+Données!F40</f>
        <v>0</v>
      </c>
      <c r="N40" s="7">
        <f>+Données!K40</f>
        <v>1255.75</v>
      </c>
      <c r="O40" s="7">
        <f>(Données!L40/Données!Y40)*1</f>
        <v>120911.7</v>
      </c>
      <c r="P40" s="320">
        <f t="shared" si="1"/>
        <v>1286612.0599999998</v>
      </c>
      <c r="Q40" s="160">
        <f>+Données!X40</f>
        <v>65</v>
      </c>
      <c r="R40" s="320">
        <f t="shared" si="2"/>
        <v>19794.03169230769</v>
      </c>
    </row>
    <row r="41" spans="1:18" x14ac:dyDescent="0.25">
      <c r="A41" s="6">
        <f>Données!A41</f>
        <v>5473</v>
      </c>
      <c r="B41" s="26" t="str">
        <f>Données!B41</f>
        <v>Boussens</v>
      </c>
      <c r="C41" s="7">
        <f>Données!C41+Données!D41</f>
        <v>2209046.94</v>
      </c>
      <c r="D41" s="7">
        <f>+Données!G41+Données!H41+Données!S41</f>
        <v>31029.15</v>
      </c>
      <c r="E41" s="7">
        <f>+Données!E41</f>
        <v>0</v>
      </c>
      <c r="F41" s="7">
        <f>+Données!I41</f>
        <v>0</v>
      </c>
      <c r="G41" s="7">
        <f>+Données!J41</f>
        <v>28555.37</v>
      </c>
      <c r="H41" s="7">
        <f>Données!U41</f>
        <v>-11408.43</v>
      </c>
      <c r="I41" s="144">
        <f>Données!V41</f>
        <v>0</v>
      </c>
      <c r="J41" s="144">
        <f>Données!W41</f>
        <v>-198.05</v>
      </c>
      <c r="K41" s="7">
        <f>+Données!Q41</f>
        <v>0</v>
      </c>
      <c r="L41" s="320">
        <f t="shared" si="0"/>
        <v>2257024.98</v>
      </c>
      <c r="M41" s="7">
        <f>+Données!F41</f>
        <v>0</v>
      </c>
      <c r="N41" s="7">
        <f>+Données!K41</f>
        <v>8170.35</v>
      </c>
      <c r="O41" s="7">
        <f>(Données!L41/Données!Y41)*1</f>
        <v>207637</v>
      </c>
      <c r="P41" s="320">
        <f t="shared" si="1"/>
        <v>2472832.33</v>
      </c>
      <c r="Q41" s="160">
        <f>+Données!X41</f>
        <v>64</v>
      </c>
      <c r="R41" s="320">
        <f t="shared" si="2"/>
        <v>38638.005156250001</v>
      </c>
    </row>
    <row r="42" spans="1:18" x14ac:dyDescent="0.25">
      <c r="A42" s="6">
        <f>Données!A42</f>
        <v>5474</v>
      </c>
      <c r="B42" s="26" t="str">
        <f>Données!B42</f>
        <v>La Chaux (Cossonay)</v>
      </c>
      <c r="C42" s="7">
        <f>Données!C42+Données!D42</f>
        <v>923674.12</v>
      </c>
      <c r="D42" s="7">
        <f>+Données!G42+Données!H42+Données!S42</f>
        <v>10993.03</v>
      </c>
      <c r="E42" s="7">
        <f>+Données!E42</f>
        <v>0</v>
      </c>
      <c r="F42" s="7">
        <f>+Données!I42</f>
        <v>0</v>
      </c>
      <c r="G42" s="7">
        <f>+Données!J42</f>
        <v>9797.6</v>
      </c>
      <c r="H42" s="7">
        <f>Données!U42</f>
        <v>-22212.65</v>
      </c>
      <c r="I42" s="144">
        <f>Données!V42</f>
        <v>0</v>
      </c>
      <c r="J42" s="144">
        <f>Données!W42</f>
        <v>-367.05</v>
      </c>
      <c r="K42" s="7">
        <f>+Données!Q42</f>
        <v>7693.87</v>
      </c>
      <c r="L42" s="320">
        <f t="shared" si="0"/>
        <v>929578.91999999993</v>
      </c>
      <c r="M42" s="7">
        <f>+Données!F42</f>
        <v>0</v>
      </c>
      <c r="N42" s="7">
        <f>+Données!K42</f>
        <v>804.45</v>
      </c>
      <c r="O42" s="7">
        <f>(Données!L42/Données!Y42)*1</f>
        <v>77685.25</v>
      </c>
      <c r="P42" s="320">
        <f t="shared" si="1"/>
        <v>1008068.6199999999</v>
      </c>
      <c r="Q42" s="160">
        <f>+Données!X42</f>
        <v>76</v>
      </c>
      <c r="R42" s="320">
        <f t="shared" si="2"/>
        <v>13264.060789473682</v>
      </c>
    </row>
    <row r="43" spans="1:18" x14ac:dyDescent="0.25">
      <c r="A43" s="6">
        <f>Données!A43</f>
        <v>5475</v>
      </c>
      <c r="B43" s="26" t="str">
        <f>Données!B43</f>
        <v>Chavannes-le-Veyron</v>
      </c>
      <c r="C43" s="7">
        <f>Données!C43+Données!D43</f>
        <v>277935</v>
      </c>
      <c r="D43" s="7">
        <f>+Données!G43+Données!H43+Données!S43</f>
        <v>-2051.0800000000004</v>
      </c>
      <c r="E43" s="7">
        <f>+Données!E43</f>
        <v>0</v>
      </c>
      <c r="F43" s="7">
        <f>+Données!I43</f>
        <v>0</v>
      </c>
      <c r="G43" s="7">
        <f>+Données!J43</f>
        <v>3211.27</v>
      </c>
      <c r="H43" s="7">
        <f>Données!U43</f>
        <v>170.25</v>
      </c>
      <c r="I43" s="144">
        <f>Données!V43</f>
        <v>0</v>
      </c>
      <c r="J43" s="144">
        <f>Données!W43</f>
        <v>0</v>
      </c>
      <c r="K43" s="7">
        <f>+Données!Q43</f>
        <v>0</v>
      </c>
      <c r="L43" s="320">
        <f t="shared" si="0"/>
        <v>279265.44</v>
      </c>
      <c r="M43" s="7">
        <f>+Données!F43</f>
        <v>0</v>
      </c>
      <c r="N43" s="7">
        <f>+Données!K43</f>
        <v>0</v>
      </c>
      <c r="O43" s="7">
        <f>(Données!L43/Données!Y43)*1</f>
        <v>27379.3</v>
      </c>
      <c r="P43" s="320">
        <f t="shared" si="1"/>
        <v>306644.74</v>
      </c>
      <c r="Q43" s="160">
        <f>+Données!X43</f>
        <v>75</v>
      </c>
      <c r="R43" s="320">
        <f t="shared" si="2"/>
        <v>4088.5965333333334</v>
      </c>
    </row>
    <row r="44" spans="1:18" x14ac:dyDescent="0.25">
      <c r="A44" s="6">
        <f>Données!A44</f>
        <v>5476</v>
      </c>
      <c r="B44" s="26" t="str">
        <f>Données!B44</f>
        <v>Chevilly</v>
      </c>
      <c r="C44" s="7">
        <f>Données!C44+Données!D44</f>
        <v>783739</v>
      </c>
      <c r="D44" s="7">
        <f>+Données!G44+Données!H44+Données!S44</f>
        <v>9294.7200000000012</v>
      </c>
      <c r="E44" s="7">
        <f>+Données!E44</f>
        <v>0</v>
      </c>
      <c r="F44" s="7">
        <f>+Données!I44</f>
        <v>0</v>
      </c>
      <c r="G44" s="7">
        <f>+Données!J44</f>
        <v>8117.93</v>
      </c>
      <c r="H44" s="7">
        <f>Données!U44</f>
        <v>-28195.74</v>
      </c>
      <c r="I44" s="144">
        <f>Données!V44</f>
        <v>0</v>
      </c>
      <c r="J44" s="144">
        <f>Données!W44</f>
        <v>0</v>
      </c>
      <c r="K44" s="7">
        <f>+Données!Q44</f>
        <v>0</v>
      </c>
      <c r="L44" s="320">
        <f t="shared" si="0"/>
        <v>772955.91</v>
      </c>
      <c r="M44" s="7">
        <f>+Données!F44</f>
        <v>0</v>
      </c>
      <c r="N44" s="7">
        <f>+Données!K44</f>
        <v>0</v>
      </c>
      <c r="O44" s="7">
        <f>(Données!L44/Données!Y44)*1</f>
        <v>64025.599999999999</v>
      </c>
      <c r="P44" s="320">
        <f t="shared" si="1"/>
        <v>836981.51</v>
      </c>
      <c r="Q44" s="160">
        <f>+Données!X44</f>
        <v>70</v>
      </c>
      <c r="R44" s="320">
        <f t="shared" si="2"/>
        <v>11956.878714285715</v>
      </c>
    </row>
    <row r="45" spans="1:18" x14ac:dyDescent="0.25">
      <c r="A45" s="6">
        <f>Données!A45</f>
        <v>5477</v>
      </c>
      <c r="B45" s="26" t="str">
        <f>Données!B45</f>
        <v>Cossonay</v>
      </c>
      <c r="C45" s="7">
        <f>Données!C45+Données!D45</f>
        <v>10473271.100000001</v>
      </c>
      <c r="D45" s="7">
        <f>+Données!G45+Données!H45+Données!S45</f>
        <v>679390.59</v>
      </c>
      <c r="E45" s="7">
        <f>+Données!E45</f>
        <v>0</v>
      </c>
      <c r="F45" s="7">
        <f>+Données!I45</f>
        <v>0</v>
      </c>
      <c r="G45" s="7">
        <f>+Données!J45</f>
        <v>263251.78999999998</v>
      </c>
      <c r="H45" s="7">
        <f>Données!U45</f>
        <v>-48904.52</v>
      </c>
      <c r="I45" s="144">
        <f>Données!V45</f>
        <v>0</v>
      </c>
      <c r="J45" s="144">
        <f>Données!W45</f>
        <v>-2189.1</v>
      </c>
      <c r="K45" s="7">
        <f>+Données!Q45</f>
        <v>4883.88</v>
      </c>
      <c r="L45" s="320">
        <f t="shared" si="0"/>
        <v>11369703.740000002</v>
      </c>
      <c r="M45" s="7">
        <f>+Données!F45</f>
        <v>0</v>
      </c>
      <c r="N45" s="7">
        <f>+Données!K45</f>
        <v>64814</v>
      </c>
      <c r="O45" s="7">
        <f>(Données!L45/Données!Y45)*1</f>
        <v>907531.25</v>
      </c>
      <c r="P45" s="320">
        <f t="shared" si="1"/>
        <v>12342048.990000002</v>
      </c>
      <c r="Q45" s="160">
        <f>+Données!X45</f>
        <v>68</v>
      </c>
      <c r="R45" s="320">
        <f t="shared" si="2"/>
        <v>181500.7204411765</v>
      </c>
    </row>
    <row r="46" spans="1:18" x14ac:dyDescent="0.25">
      <c r="A46" s="6">
        <f>Données!A46</f>
        <v>5479</v>
      </c>
      <c r="B46" s="26" t="str">
        <f>Données!B46</f>
        <v>Cuarnens</v>
      </c>
      <c r="C46" s="7">
        <f>Données!C46+Données!D46</f>
        <v>1328158.77</v>
      </c>
      <c r="D46" s="7">
        <f>+Données!G46+Données!H46+Données!S46</f>
        <v>20472.439999999999</v>
      </c>
      <c r="E46" s="7">
        <f>+Données!E46</f>
        <v>0</v>
      </c>
      <c r="F46" s="7">
        <f>+Données!I46</f>
        <v>0</v>
      </c>
      <c r="G46" s="7">
        <f>+Données!J46</f>
        <v>16723.59</v>
      </c>
      <c r="H46" s="7">
        <f>Données!U46</f>
        <v>-16400.77</v>
      </c>
      <c r="I46" s="144">
        <f>Données!V46</f>
        <v>0</v>
      </c>
      <c r="J46" s="144">
        <f>Données!W46</f>
        <v>-979.15</v>
      </c>
      <c r="K46" s="7">
        <f>+Données!Q46</f>
        <v>5996.81</v>
      </c>
      <c r="L46" s="320">
        <f t="shared" si="0"/>
        <v>1353971.6900000002</v>
      </c>
      <c r="M46" s="7">
        <f>+Données!F46</f>
        <v>0</v>
      </c>
      <c r="N46" s="7">
        <f>+Données!K46</f>
        <v>2288</v>
      </c>
      <c r="O46" s="7">
        <f>(Données!L46/Données!Y46)*1</f>
        <v>99340.45</v>
      </c>
      <c r="P46" s="320">
        <f t="shared" si="1"/>
        <v>1455600.1400000001</v>
      </c>
      <c r="Q46" s="160">
        <f>+Données!X46</f>
        <v>76</v>
      </c>
      <c r="R46" s="320">
        <f t="shared" si="2"/>
        <v>19152.633421052633</v>
      </c>
    </row>
    <row r="47" spans="1:18" x14ac:dyDescent="0.25">
      <c r="A47" s="6">
        <f>Données!A47</f>
        <v>5480</v>
      </c>
      <c r="B47" s="26" t="str">
        <f>Données!B47</f>
        <v>Daillens</v>
      </c>
      <c r="C47" s="7">
        <f>Données!C47+Données!D47</f>
        <v>2667691.98</v>
      </c>
      <c r="D47" s="7">
        <f>+Données!G47+Données!H47+Données!S47</f>
        <v>255924.05</v>
      </c>
      <c r="E47" s="7">
        <f>+Données!E47</f>
        <v>0</v>
      </c>
      <c r="F47" s="7">
        <f>+Données!I47</f>
        <v>0</v>
      </c>
      <c r="G47" s="7">
        <f>+Données!J47</f>
        <v>56333.919999999998</v>
      </c>
      <c r="H47" s="7">
        <f>Données!U47</f>
        <v>-65065.599999999999</v>
      </c>
      <c r="I47" s="144">
        <f>Données!V47</f>
        <v>0</v>
      </c>
      <c r="J47" s="144">
        <f>Données!W47</f>
        <v>-1600.42</v>
      </c>
      <c r="K47" s="7">
        <f>+Données!Q47</f>
        <v>1238.28</v>
      </c>
      <c r="L47" s="320">
        <f t="shared" si="0"/>
        <v>2914522.2099999995</v>
      </c>
      <c r="M47" s="7">
        <f>+Données!F47</f>
        <v>0</v>
      </c>
      <c r="N47" s="7">
        <f>+Données!K47</f>
        <v>13078.7</v>
      </c>
      <c r="O47" s="7">
        <f>(Données!L47/Données!Y47)*1</f>
        <v>340000.25</v>
      </c>
      <c r="P47" s="320">
        <f t="shared" si="1"/>
        <v>3267601.1599999997</v>
      </c>
      <c r="Q47" s="160">
        <f>+Données!X47</f>
        <v>66</v>
      </c>
      <c r="R47" s="320">
        <f t="shared" si="2"/>
        <v>49509.108484848482</v>
      </c>
    </row>
    <row r="48" spans="1:18" x14ac:dyDescent="0.25">
      <c r="A48" s="6">
        <f>Données!A48</f>
        <v>5481</v>
      </c>
      <c r="B48" s="26" t="str">
        <f>Données!B48</f>
        <v>Dizy</v>
      </c>
      <c r="C48" s="7">
        <f>Données!C48+Données!D48</f>
        <v>835486.91</v>
      </c>
      <c r="D48" s="7">
        <f>+Données!G48+Données!H48+Données!S48</f>
        <v>48907.130000000005</v>
      </c>
      <c r="E48" s="7">
        <f>+Données!E48</f>
        <v>0</v>
      </c>
      <c r="F48" s="7">
        <f>+Données!I48</f>
        <v>0</v>
      </c>
      <c r="G48" s="7">
        <f>+Données!J48</f>
        <v>4980.2700000000004</v>
      </c>
      <c r="H48" s="7">
        <f>Données!U48</f>
        <v>-2852.98</v>
      </c>
      <c r="I48" s="144">
        <f>Données!V48</f>
        <v>0</v>
      </c>
      <c r="J48" s="144">
        <f>Données!W48</f>
        <v>0</v>
      </c>
      <c r="K48" s="7">
        <f>+Données!Q48</f>
        <v>0</v>
      </c>
      <c r="L48" s="320">
        <f t="shared" si="0"/>
        <v>886521.33000000007</v>
      </c>
      <c r="M48" s="7">
        <f>+Données!F48</f>
        <v>0</v>
      </c>
      <c r="N48" s="7">
        <f>+Données!K48</f>
        <v>0</v>
      </c>
      <c r="O48" s="7">
        <f>(Données!L48/Données!Y48)*1</f>
        <v>42351.1</v>
      </c>
      <c r="P48" s="320">
        <f t="shared" si="1"/>
        <v>928872.43</v>
      </c>
      <c r="Q48" s="160">
        <f>+Données!X48</f>
        <v>75</v>
      </c>
      <c r="R48" s="320">
        <f t="shared" si="2"/>
        <v>12384.965733333334</v>
      </c>
    </row>
    <row r="49" spans="1:18" x14ac:dyDescent="0.25">
      <c r="A49" s="6">
        <f>Données!A49</f>
        <v>5482</v>
      </c>
      <c r="B49" s="26" t="str">
        <f>Données!B49</f>
        <v>Eclépens</v>
      </c>
      <c r="C49" s="7">
        <f>Données!C49+Données!D49</f>
        <v>1544084.1</v>
      </c>
      <c r="D49" s="7">
        <f>+Données!G49+Données!H49+Données!S49</f>
        <v>415059.51999999996</v>
      </c>
      <c r="E49" s="7">
        <f>+Données!E49</f>
        <v>0</v>
      </c>
      <c r="F49" s="7">
        <f>+Données!I49</f>
        <v>0</v>
      </c>
      <c r="G49" s="7">
        <f>+Données!J49</f>
        <v>81331.199999999997</v>
      </c>
      <c r="H49" s="7">
        <f>Données!U49</f>
        <v>-30197.040000000001</v>
      </c>
      <c r="I49" s="144">
        <f>Données!V49</f>
        <v>0</v>
      </c>
      <c r="J49" s="144">
        <f>Données!W49</f>
        <v>-275.85000000000002</v>
      </c>
      <c r="K49" s="7">
        <f>+Données!Q49</f>
        <v>14227.49</v>
      </c>
      <c r="L49" s="320">
        <f t="shared" si="0"/>
        <v>2024229.42</v>
      </c>
      <c r="M49" s="7">
        <f>+Données!F49</f>
        <v>0</v>
      </c>
      <c r="N49" s="7">
        <f>+Données!K49</f>
        <v>23193.3</v>
      </c>
      <c r="O49" s="7">
        <f>(Données!L49/Données!Y49)*1</f>
        <v>454670.8</v>
      </c>
      <c r="P49" s="320">
        <f t="shared" si="1"/>
        <v>2502093.52</v>
      </c>
      <c r="Q49" s="160">
        <f>+Données!X49</f>
        <v>46</v>
      </c>
      <c r="R49" s="320">
        <f t="shared" si="2"/>
        <v>54393.337391304347</v>
      </c>
    </row>
    <row r="50" spans="1:18" x14ac:dyDescent="0.25">
      <c r="A50" s="6">
        <f>Données!A50</f>
        <v>5483</v>
      </c>
      <c r="B50" s="26" t="str">
        <f>Données!B50</f>
        <v>Ferreyres</v>
      </c>
      <c r="C50" s="7">
        <f>Données!C50+Données!D50</f>
        <v>806165.96000000008</v>
      </c>
      <c r="D50" s="7">
        <f>+Données!G50+Données!H50+Données!S50</f>
        <v>-1570.66</v>
      </c>
      <c r="E50" s="7">
        <f>+Données!E50</f>
        <v>0</v>
      </c>
      <c r="F50" s="7">
        <f>+Données!I50</f>
        <v>0</v>
      </c>
      <c r="G50" s="7">
        <f>+Données!J50</f>
        <v>184.35</v>
      </c>
      <c r="H50" s="7">
        <f>Données!U50</f>
        <v>-11798.06</v>
      </c>
      <c r="I50" s="144">
        <f>Données!V50</f>
        <v>0</v>
      </c>
      <c r="J50" s="144">
        <f>Données!W50</f>
        <v>-940.71</v>
      </c>
      <c r="K50" s="7">
        <f>+Données!Q50</f>
        <v>0</v>
      </c>
      <c r="L50" s="320">
        <f t="shared" si="0"/>
        <v>792040.88</v>
      </c>
      <c r="M50" s="7">
        <f>+Données!F50</f>
        <v>0</v>
      </c>
      <c r="N50" s="7">
        <f>+Données!K50</f>
        <v>175.5</v>
      </c>
      <c r="O50" s="7">
        <f>(Données!L50/Données!Y50)*1</f>
        <v>58650.400000000001</v>
      </c>
      <c r="P50" s="320">
        <f t="shared" si="1"/>
        <v>850866.78</v>
      </c>
      <c r="Q50" s="160">
        <f>+Données!X50</f>
        <v>76</v>
      </c>
      <c r="R50" s="320">
        <f t="shared" si="2"/>
        <v>11195.615526315791</v>
      </c>
    </row>
    <row r="51" spans="1:18" x14ac:dyDescent="0.25">
      <c r="A51" s="6">
        <f>Données!A51</f>
        <v>5484</v>
      </c>
      <c r="B51" s="26" t="str">
        <f>Données!B51</f>
        <v>Gollion</v>
      </c>
      <c r="C51" s="7">
        <f>Données!C51+Données!D51</f>
        <v>2261484.2999999998</v>
      </c>
      <c r="D51" s="7">
        <f>+Données!G51+Données!H51+Données!S51</f>
        <v>3952.4</v>
      </c>
      <c r="E51" s="7">
        <f>+Données!E51</f>
        <v>0</v>
      </c>
      <c r="F51" s="7">
        <f>+Données!I51</f>
        <v>0</v>
      </c>
      <c r="G51" s="7">
        <f>+Données!J51</f>
        <v>22142.720000000001</v>
      </c>
      <c r="H51" s="7">
        <f>Données!U51</f>
        <v>-17091.62</v>
      </c>
      <c r="I51" s="144">
        <f>Données!V51</f>
        <v>0</v>
      </c>
      <c r="J51" s="144">
        <f>Données!W51</f>
        <v>-339.85</v>
      </c>
      <c r="K51" s="7">
        <f>+Données!Q51</f>
        <v>3405.85</v>
      </c>
      <c r="L51" s="320">
        <f t="shared" si="0"/>
        <v>2273553.7999999998</v>
      </c>
      <c r="M51" s="7">
        <f>+Données!F51</f>
        <v>0</v>
      </c>
      <c r="N51" s="7">
        <f>+Données!K51</f>
        <v>6883.15</v>
      </c>
      <c r="O51" s="7">
        <f>(Données!L51/Données!Y51)*1</f>
        <v>214766.3</v>
      </c>
      <c r="P51" s="320">
        <f t="shared" si="1"/>
        <v>2495203.2499999995</v>
      </c>
      <c r="Q51" s="160">
        <f>+Données!X51</f>
        <v>74</v>
      </c>
      <c r="R51" s="320">
        <f t="shared" si="2"/>
        <v>33718.962837837833</v>
      </c>
    </row>
    <row r="52" spans="1:18" x14ac:dyDescent="0.25">
      <c r="A52" s="6">
        <f>Données!A52</f>
        <v>5485</v>
      </c>
      <c r="B52" s="26" t="str">
        <f>Données!B52</f>
        <v>Grancy</v>
      </c>
      <c r="C52" s="7">
        <f>Données!C52+Données!D52</f>
        <v>1707580.8399999999</v>
      </c>
      <c r="D52" s="7">
        <f>+Données!G52+Données!H52+Données!S52</f>
        <v>27430.289999999997</v>
      </c>
      <c r="E52" s="7">
        <f>+Données!E52</f>
        <v>0</v>
      </c>
      <c r="F52" s="7">
        <f>+Données!I52</f>
        <v>0</v>
      </c>
      <c r="G52" s="7">
        <f>+Données!J52</f>
        <v>11949.79</v>
      </c>
      <c r="H52" s="7">
        <f>Données!U52</f>
        <v>-1608.69</v>
      </c>
      <c r="I52" s="144">
        <f>Données!V52</f>
        <v>0</v>
      </c>
      <c r="J52" s="144">
        <f>Données!W52</f>
        <v>-3350.45</v>
      </c>
      <c r="K52" s="7">
        <f>+Données!Q52</f>
        <v>721.08</v>
      </c>
      <c r="L52" s="320">
        <f t="shared" si="0"/>
        <v>1742722.86</v>
      </c>
      <c r="M52" s="7">
        <f>+Données!F52</f>
        <v>0</v>
      </c>
      <c r="N52" s="7">
        <f>+Données!K52</f>
        <v>2031.25</v>
      </c>
      <c r="O52" s="7">
        <f>(Données!L52/Données!Y52)*1</f>
        <v>106710.85</v>
      </c>
      <c r="P52" s="320">
        <f t="shared" si="1"/>
        <v>1851464.9600000002</v>
      </c>
      <c r="Q52" s="160">
        <f>+Données!X52</f>
        <v>70</v>
      </c>
      <c r="R52" s="320">
        <f t="shared" si="2"/>
        <v>26449.499428571431</v>
      </c>
    </row>
    <row r="53" spans="1:18" x14ac:dyDescent="0.25">
      <c r="A53" s="6">
        <f>Données!A53</f>
        <v>5486</v>
      </c>
      <c r="B53" s="26" t="str">
        <f>Données!B53</f>
        <v>L'Isle</v>
      </c>
      <c r="C53" s="7">
        <f>Données!C53+Données!D53</f>
        <v>2478586.7800000003</v>
      </c>
      <c r="D53" s="7">
        <f>+Données!G53+Données!H53+Données!S53</f>
        <v>55283.950000000004</v>
      </c>
      <c r="E53" s="7">
        <f>+Données!E53</f>
        <v>0</v>
      </c>
      <c r="F53" s="7">
        <f>+Données!I53</f>
        <v>0</v>
      </c>
      <c r="G53" s="7">
        <f>+Données!J53</f>
        <v>27797.14</v>
      </c>
      <c r="H53" s="7">
        <f>Données!U53</f>
        <v>-13751.9</v>
      </c>
      <c r="I53" s="144">
        <f>Données!V53</f>
        <v>0</v>
      </c>
      <c r="J53" s="144">
        <f>Données!W53</f>
        <v>-1738.85</v>
      </c>
      <c r="K53" s="7">
        <f>+Données!Q53</f>
        <v>3185.17</v>
      </c>
      <c r="L53" s="320">
        <f t="shared" si="0"/>
        <v>2549362.2900000005</v>
      </c>
      <c r="M53" s="7">
        <f>+Données!F53</f>
        <v>0</v>
      </c>
      <c r="N53" s="7">
        <f>+Données!K53</f>
        <v>11654.25</v>
      </c>
      <c r="O53" s="7">
        <f>(Données!L53/Données!Y53)*1</f>
        <v>211183.2</v>
      </c>
      <c r="P53" s="320">
        <f t="shared" si="1"/>
        <v>2772199.7400000007</v>
      </c>
      <c r="Q53" s="160">
        <f>+Données!X53</f>
        <v>75</v>
      </c>
      <c r="R53" s="320">
        <f t="shared" si="2"/>
        <v>36962.66320000001</v>
      </c>
    </row>
    <row r="54" spans="1:18" x14ac:dyDescent="0.25">
      <c r="A54" s="6">
        <f>Données!A54</f>
        <v>5487</v>
      </c>
      <c r="B54" s="26" t="str">
        <f>Données!B54</f>
        <v>Lussery-Villars</v>
      </c>
      <c r="C54" s="7">
        <f>Données!C54+Données!D54</f>
        <v>1016117.03</v>
      </c>
      <c r="D54" s="7">
        <f>+Données!G54+Données!H54+Données!S54</f>
        <v>7244.63</v>
      </c>
      <c r="E54" s="7">
        <f>+Données!E54</f>
        <v>0</v>
      </c>
      <c r="F54" s="7">
        <f>+Données!I54</f>
        <v>0</v>
      </c>
      <c r="G54" s="7">
        <f>+Données!J54</f>
        <v>18332.07</v>
      </c>
      <c r="H54" s="7">
        <f>Données!U54</f>
        <v>-14874.42</v>
      </c>
      <c r="I54" s="144">
        <f>Données!V54</f>
        <v>0</v>
      </c>
      <c r="J54" s="144">
        <f>Données!W54</f>
        <v>0</v>
      </c>
      <c r="K54" s="7">
        <f>+Données!Q54</f>
        <v>17538.34</v>
      </c>
      <c r="L54" s="320">
        <f t="shared" si="0"/>
        <v>1044357.6499999999</v>
      </c>
      <c r="M54" s="7">
        <f>+Données!F54</f>
        <v>0</v>
      </c>
      <c r="N54" s="7">
        <f>+Données!K54</f>
        <v>993.25</v>
      </c>
      <c r="O54" s="7">
        <f>(Données!L54/Données!Y54)*1</f>
        <v>85279.85</v>
      </c>
      <c r="P54" s="320">
        <f t="shared" si="1"/>
        <v>1130630.75</v>
      </c>
      <c r="Q54" s="160">
        <f>+Données!X54</f>
        <v>75</v>
      </c>
      <c r="R54" s="320">
        <f t="shared" si="2"/>
        <v>15075.076666666666</v>
      </c>
    </row>
    <row r="55" spans="1:18" x14ac:dyDescent="0.25">
      <c r="A55" s="6">
        <f>Données!A55</f>
        <v>5488</v>
      </c>
      <c r="B55" s="26" t="str">
        <f>Données!B55</f>
        <v>Mauraz</v>
      </c>
      <c r="C55" s="7">
        <f>Données!C55+Données!D55</f>
        <v>134939.26999999999</v>
      </c>
      <c r="D55" s="7">
        <f>+Données!G55+Données!H55+Données!S55</f>
        <v>326.39</v>
      </c>
      <c r="E55" s="7">
        <f>+Données!E55</f>
        <v>0</v>
      </c>
      <c r="F55" s="7">
        <f>+Données!I55</f>
        <v>0</v>
      </c>
      <c r="G55" s="7">
        <f>+Données!J55</f>
        <v>-309.79000000000002</v>
      </c>
      <c r="H55" s="7">
        <f>Données!U55</f>
        <v>-117.49</v>
      </c>
      <c r="I55" s="144">
        <f>Données!V55</f>
        <v>0</v>
      </c>
      <c r="J55" s="144">
        <f>Données!W55</f>
        <v>0</v>
      </c>
      <c r="K55" s="7">
        <f>+Données!Q55</f>
        <v>0</v>
      </c>
      <c r="L55" s="320">
        <f t="shared" si="0"/>
        <v>134838.38</v>
      </c>
      <c r="M55" s="7">
        <f>+Données!F55</f>
        <v>0</v>
      </c>
      <c r="N55" s="7">
        <f>+Données!K55</f>
        <v>0</v>
      </c>
      <c r="O55" s="7">
        <f>(Données!L55/Données!Y55)*1</f>
        <v>10658</v>
      </c>
      <c r="P55" s="320">
        <f t="shared" si="1"/>
        <v>145496.38</v>
      </c>
      <c r="Q55" s="160">
        <f>+Données!X55</f>
        <v>77</v>
      </c>
      <c r="R55" s="320">
        <f t="shared" si="2"/>
        <v>1889.5633766233766</v>
      </c>
    </row>
    <row r="56" spans="1:18" x14ac:dyDescent="0.25">
      <c r="A56" s="6">
        <f>Données!A56</f>
        <v>5489</v>
      </c>
      <c r="B56" s="26" t="str">
        <f>Données!B56</f>
        <v>Mex</v>
      </c>
      <c r="C56" s="7">
        <f>Données!C56+Données!D56</f>
        <v>2664444.6999999997</v>
      </c>
      <c r="D56" s="7">
        <f>+Données!G56+Données!H56+Données!S56</f>
        <v>1583736.1500000001</v>
      </c>
      <c r="E56" s="7">
        <f>+Données!E56</f>
        <v>0</v>
      </c>
      <c r="F56" s="7">
        <f>+Données!I56</f>
        <v>0</v>
      </c>
      <c r="G56" s="7">
        <f>+Données!J56</f>
        <v>27761.9</v>
      </c>
      <c r="H56" s="7">
        <f>Données!U56</f>
        <v>-13111.91</v>
      </c>
      <c r="I56" s="144">
        <f>Données!V56</f>
        <v>0</v>
      </c>
      <c r="J56" s="144">
        <f>Données!W56</f>
        <v>-337.25</v>
      </c>
      <c r="K56" s="7">
        <f>+Données!Q56</f>
        <v>4459.1400000000003</v>
      </c>
      <c r="L56" s="320">
        <f t="shared" si="0"/>
        <v>4266952.7299999995</v>
      </c>
      <c r="M56" s="7">
        <f>+Données!F56</f>
        <v>0</v>
      </c>
      <c r="N56" s="7">
        <f>+Données!K56</f>
        <v>9590.5</v>
      </c>
      <c r="O56" s="7">
        <f>(Données!L56/Données!Y56)*1</f>
        <v>311406.90000000002</v>
      </c>
      <c r="P56" s="320">
        <f t="shared" si="1"/>
        <v>4587950.13</v>
      </c>
      <c r="Q56" s="160">
        <f>+Données!X56</f>
        <v>59.5</v>
      </c>
      <c r="R56" s="320">
        <f t="shared" si="2"/>
        <v>77108.405546218492</v>
      </c>
    </row>
    <row r="57" spans="1:18" x14ac:dyDescent="0.25">
      <c r="A57" s="6">
        <f>Données!A57</f>
        <v>5490</v>
      </c>
      <c r="B57" s="26" t="str">
        <f>Données!B57</f>
        <v>Moiry</v>
      </c>
      <c r="C57" s="7">
        <f>Données!C57+Données!D57</f>
        <v>542473.30999999994</v>
      </c>
      <c r="D57" s="7">
        <f>+Données!G57+Données!H57+Données!S57</f>
        <v>25424.47</v>
      </c>
      <c r="E57" s="7">
        <f>+Données!E57</f>
        <v>0</v>
      </c>
      <c r="F57" s="7">
        <f>+Données!I57</f>
        <v>0</v>
      </c>
      <c r="G57" s="7">
        <f>+Données!J57</f>
        <v>10081.25</v>
      </c>
      <c r="H57" s="7">
        <f>Données!U57</f>
        <v>-20687.330000000002</v>
      </c>
      <c r="I57" s="144">
        <f>Données!V57</f>
        <v>0</v>
      </c>
      <c r="J57" s="144">
        <f>Données!W57</f>
        <v>0</v>
      </c>
      <c r="K57" s="7">
        <f>+Données!Q57</f>
        <v>8010.98</v>
      </c>
      <c r="L57" s="320">
        <f t="shared" si="0"/>
        <v>565302.67999999993</v>
      </c>
      <c r="M57" s="7">
        <f>+Données!F57</f>
        <v>0</v>
      </c>
      <c r="N57" s="7">
        <f>+Données!K57</f>
        <v>0</v>
      </c>
      <c r="O57" s="7">
        <f>(Données!L57/Données!Y57)*1</f>
        <v>49288.5</v>
      </c>
      <c r="P57" s="320">
        <f t="shared" si="1"/>
        <v>614591.17999999993</v>
      </c>
      <c r="Q57" s="160">
        <f>+Données!X57</f>
        <v>76</v>
      </c>
      <c r="R57" s="320">
        <f t="shared" si="2"/>
        <v>8086.7260526315777</v>
      </c>
    </row>
    <row r="58" spans="1:18" x14ac:dyDescent="0.25">
      <c r="A58" s="6">
        <f>Données!A58</f>
        <v>5491</v>
      </c>
      <c r="B58" s="26" t="str">
        <f>Données!B58</f>
        <v>Mont-la-Ville</v>
      </c>
      <c r="C58" s="7">
        <f>Données!C58+Données!D58</f>
        <v>919819.02</v>
      </c>
      <c r="D58" s="7">
        <f>+Données!G58+Données!H58+Données!S58</f>
        <v>310.52999999999975</v>
      </c>
      <c r="E58" s="7">
        <f>+Données!E58</f>
        <v>0</v>
      </c>
      <c r="F58" s="7">
        <f>+Données!I58</f>
        <v>0</v>
      </c>
      <c r="G58" s="7">
        <f>+Données!J58</f>
        <v>15056.83</v>
      </c>
      <c r="H58" s="7">
        <f>Données!U58</f>
        <v>-490.67</v>
      </c>
      <c r="I58" s="144">
        <f>Données!V58</f>
        <v>0</v>
      </c>
      <c r="J58" s="144">
        <f>Données!W58</f>
        <v>-99.15</v>
      </c>
      <c r="K58" s="7">
        <f>+Données!Q58</f>
        <v>35030.28</v>
      </c>
      <c r="L58" s="320">
        <f t="shared" si="0"/>
        <v>969626.84</v>
      </c>
      <c r="M58" s="7">
        <f>+Données!F58</f>
        <v>2690</v>
      </c>
      <c r="N58" s="7">
        <f>+Données!K58</f>
        <v>425</v>
      </c>
      <c r="O58" s="7">
        <f>(Données!L58/Données!Y58)*1</f>
        <v>95817.9</v>
      </c>
      <c r="P58" s="320">
        <f t="shared" si="1"/>
        <v>1068559.74</v>
      </c>
      <c r="Q58" s="160">
        <f>+Données!X58</f>
        <v>76</v>
      </c>
      <c r="R58" s="320">
        <f t="shared" si="2"/>
        <v>14059.996578947368</v>
      </c>
    </row>
    <row r="59" spans="1:18" x14ac:dyDescent="0.25">
      <c r="A59" s="6">
        <f>Données!A59</f>
        <v>5492</v>
      </c>
      <c r="B59" s="26" t="str">
        <f>Données!B59</f>
        <v>Montricher</v>
      </c>
      <c r="C59" s="7">
        <f>Données!C59+Données!D59</f>
        <v>12345886.870000001</v>
      </c>
      <c r="D59" s="7">
        <f>+Données!G59+Données!H59+Données!S59</f>
        <v>57692.79</v>
      </c>
      <c r="E59" s="7">
        <f>+Données!E59</f>
        <v>0</v>
      </c>
      <c r="F59" s="7">
        <f>+Données!I59</f>
        <v>0</v>
      </c>
      <c r="G59" s="7">
        <f>+Données!J59</f>
        <v>42243.24</v>
      </c>
      <c r="H59" s="7">
        <f>Données!U59</f>
        <v>-23429.119999999999</v>
      </c>
      <c r="I59" s="144">
        <f>Données!V59</f>
        <v>0</v>
      </c>
      <c r="J59" s="144">
        <f>Données!W59</f>
        <v>-7370.65</v>
      </c>
      <c r="K59" s="7">
        <f>+Données!Q59</f>
        <v>6079.59</v>
      </c>
      <c r="L59" s="320">
        <f t="shared" si="0"/>
        <v>12421102.720000001</v>
      </c>
      <c r="M59" s="7">
        <f>+Données!F59</f>
        <v>0</v>
      </c>
      <c r="N59" s="7">
        <f>+Données!K59</f>
        <v>5630.8</v>
      </c>
      <c r="O59" s="7">
        <f>(Données!L59/Données!Y59)*1</f>
        <v>255188.50000000003</v>
      </c>
      <c r="P59" s="320">
        <f t="shared" si="1"/>
        <v>12681922.020000001</v>
      </c>
      <c r="Q59" s="160">
        <f>+Données!X59</f>
        <v>64</v>
      </c>
      <c r="R59" s="320">
        <f t="shared" si="2"/>
        <v>198155.03156250002</v>
      </c>
    </row>
    <row r="60" spans="1:18" x14ac:dyDescent="0.25">
      <c r="A60" s="6">
        <f>Données!A60</f>
        <v>5493</v>
      </c>
      <c r="B60" s="26" t="str">
        <f>Données!B60</f>
        <v>Orny</v>
      </c>
      <c r="C60" s="7">
        <f>Données!C60+Données!D60</f>
        <v>1003532.27</v>
      </c>
      <c r="D60" s="7">
        <f>+Données!G60+Données!H60+Données!S60</f>
        <v>64861.56</v>
      </c>
      <c r="E60" s="7">
        <f>+Données!E60</f>
        <v>0</v>
      </c>
      <c r="F60" s="7">
        <f>+Données!I60</f>
        <v>0</v>
      </c>
      <c r="G60" s="7">
        <f>+Données!J60</f>
        <v>21034.01</v>
      </c>
      <c r="H60" s="7">
        <f>Données!U60</f>
        <v>-8637.16</v>
      </c>
      <c r="I60" s="144">
        <f>Données!V60</f>
        <v>0</v>
      </c>
      <c r="J60" s="144">
        <f>Données!W60</f>
        <v>-1978.64</v>
      </c>
      <c r="K60" s="7">
        <f>+Données!Q60</f>
        <v>9252.0300000000007</v>
      </c>
      <c r="L60" s="320">
        <f t="shared" si="0"/>
        <v>1088064.0700000003</v>
      </c>
      <c r="M60" s="7">
        <f>+Données!F60</f>
        <v>0</v>
      </c>
      <c r="N60" s="7">
        <f>+Données!K60</f>
        <v>3791.05</v>
      </c>
      <c r="O60" s="7">
        <f>(Données!L60/Données!Y60)*1</f>
        <v>85007.538461538454</v>
      </c>
      <c r="P60" s="320">
        <f t="shared" si="1"/>
        <v>1176862.6584615388</v>
      </c>
      <c r="Q60" s="160">
        <f>+Données!X60</f>
        <v>73</v>
      </c>
      <c r="R60" s="320">
        <f t="shared" si="2"/>
        <v>16121.406280295052</v>
      </c>
    </row>
    <row r="61" spans="1:18" x14ac:dyDescent="0.25">
      <c r="A61" s="6">
        <f>Données!A61</f>
        <v>5495</v>
      </c>
      <c r="B61" s="26" t="str">
        <f>Données!B61</f>
        <v>Penthalaz</v>
      </c>
      <c r="C61" s="7">
        <f>Données!C61+Données!D61</f>
        <v>5995003.0200000005</v>
      </c>
      <c r="D61" s="7">
        <f>+Données!G61+Données!H61+Données!S61</f>
        <v>138158.31</v>
      </c>
      <c r="E61" s="7">
        <f>+Données!E61</f>
        <v>0</v>
      </c>
      <c r="F61" s="7">
        <f>+Données!I61</f>
        <v>100147.7</v>
      </c>
      <c r="G61" s="7">
        <f>+Données!J61</f>
        <v>192035.45</v>
      </c>
      <c r="H61" s="7">
        <f>Données!U61</f>
        <v>-94057.97</v>
      </c>
      <c r="I61" s="144">
        <f>Données!V61</f>
        <v>0</v>
      </c>
      <c r="J61" s="144">
        <f>Données!W61</f>
        <v>-198.5</v>
      </c>
      <c r="K61" s="7">
        <f>+Données!Q61</f>
        <v>29114.47</v>
      </c>
      <c r="L61" s="320">
        <f t="shared" si="0"/>
        <v>6360202.4800000004</v>
      </c>
      <c r="M61" s="7">
        <f>+Données!F61</f>
        <v>0</v>
      </c>
      <c r="N61" s="7">
        <f>+Données!K61</f>
        <v>99419.65</v>
      </c>
      <c r="O61" s="7">
        <f>(Données!L61/Données!Y61)*1</f>
        <v>545636.19999999995</v>
      </c>
      <c r="P61" s="320">
        <f t="shared" si="1"/>
        <v>7005258.330000001</v>
      </c>
      <c r="Q61" s="160">
        <f>+Données!X61</f>
        <v>72.5</v>
      </c>
      <c r="R61" s="320">
        <f t="shared" si="2"/>
        <v>96624.252827586228</v>
      </c>
    </row>
    <row r="62" spans="1:18" x14ac:dyDescent="0.25">
      <c r="A62" s="6">
        <f>Données!A62</f>
        <v>5496</v>
      </c>
      <c r="B62" s="26" t="str">
        <f>Données!B62</f>
        <v>Penthaz</v>
      </c>
      <c r="C62" s="7">
        <f>Données!C62+Données!D62</f>
        <v>3832093.27</v>
      </c>
      <c r="D62" s="7">
        <f>+Données!G62+Données!H62+Données!S62</f>
        <v>136495.44</v>
      </c>
      <c r="E62" s="7">
        <f>+Données!E62</f>
        <v>0</v>
      </c>
      <c r="F62" s="7">
        <f>+Données!I62</f>
        <v>0</v>
      </c>
      <c r="G62" s="7">
        <f>+Données!J62</f>
        <v>83816.800000000003</v>
      </c>
      <c r="H62" s="7">
        <f>Données!U62</f>
        <v>-69168.78</v>
      </c>
      <c r="I62" s="144">
        <f>Données!V62</f>
        <v>0</v>
      </c>
      <c r="J62" s="144">
        <f>Données!W62</f>
        <v>-518.25</v>
      </c>
      <c r="K62" s="7">
        <f>+Données!Q62</f>
        <v>15184.16</v>
      </c>
      <c r="L62" s="320">
        <f t="shared" si="0"/>
        <v>3997902.64</v>
      </c>
      <c r="M62" s="7">
        <f>+Données!F62</f>
        <v>0</v>
      </c>
      <c r="N62" s="7">
        <f>+Données!K62</f>
        <v>26336.6</v>
      </c>
      <c r="O62" s="7">
        <f>(Données!L62/Données!Y62)*1</f>
        <v>383756.79999999999</v>
      </c>
      <c r="P62" s="320">
        <f t="shared" si="1"/>
        <v>4407996.04</v>
      </c>
      <c r="Q62" s="160">
        <f>+Données!X62</f>
        <v>69.5</v>
      </c>
      <c r="R62" s="320">
        <f t="shared" si="2"/>
        <v>63424.403453237413</v>
      </c>
    </row>
    <row r="63" spans="1:18" x14ac:dyDescent="0.25">
      <c r="A63" s="6">
        <f>Données!A63</f>
        <v>5497</v>
      </c>
      <c r="B63" s="26" t="str">
        <f>Données!B63</f>
        <v>Pompaples</v>
      </c>
      <c r="C63" s="7">
        <f>Données!C63+Données!D63</f>
        <v>1505806.27</v>
      </c>
      <c r="D63" s="7">
        <f>+Données!G63+Données!H63+Données!S63</f>
        <v>202435.94</v>
      </c>
      <c r="E63" s="7">
        <f>+Données!E63</f>
        <v>0</v>
      </c>
      <c r="F63" s="7">
        <f>+Données!I63</f>
        <v>0</v>
      </c>
      <c r="G63" s="7">
        <f>+Données!J63</f>
        <v>92621.04</v>
      </c>
      <c r="H63" s="7">
        <f>Données!U63</f>
        <v>-24720.62</v>
      </c>
      <c r="I63" s="144">
        <f>Données!V63</f>
        <v>0</v>
      </c>
      <c r="J63" s="144">
        <f>Données!W63</f>
        <v>-113.15</v>
      </c>
      <c r="K63" s="7">
        <f>+Données!Q63</f>
        <v>9432.6</v>
      </c>
      <c r="L63" s="320">
        <f t="shared" si="0"/>
        <v>1785462.08</v>
      </c>
      <c r="M63" s="7">
        <f>+Données!F63</f>
        <v>0</v>
      </c>
      <c r="N63" s="7">
        <f>+Données!K63</f>
        <v>4323.2</v>
      </c>
      <c r="O63" s="7">
        <f>(Données!L63/Données!Y63)*1</f>
        <v>142877.65</v>
      </c>
      <c r="P63" s="320">
        <f t="shared" si="1"/>
        <v>1932662.93</v>
      </c>
      <c r="Q63" s="160">
        <f>+Données!X63</f>
        <v>66</v>
      </c>
      <c r="R63" s="320">
        <f t="shared" si="2"/>
        <v>29282.771666666667</v>
      </c>
    </row>
    <row r="64" spans="1:18" x14ac:dyDescent="0.25">
      <c r="A64" s="6">
        <f>Données!A64</f>
        <v>5498</v>
      </c>
      <c r="B64" s="26" t="str">
        <f>Données!B64</f>
        <v>La Sarraz</v>
      </c>
      <c r="C64" s="7">
        <f>Données!C64+Données!D64</f>
        <v>4593766.9300000006</v>
      </c>
      <c r="D64" s="7">
        <f>+Données!G64+Données!H64+Données!S64</f>
        <v>172314.03000000003</v>
      </c>
      <c r="E64" s="7">
        <f>+Données!E64</f>
        <v>0</v>
      </c>
      <c r="F64" s="7">
        <f>+Données!I64</f>
        <v>0</v>
      </c>
      <c r="G64" s="7">
        <f>+Données!J64</f>
        <v>145301.63</v>
      </c>
      <c r="H64" s="7">
        <f>Données!U64</f>
        <v>-72552.09</v>
      </c>
      <c r="I64" s="144">
        <f>Données!V64</f>
        <v>0</v>
      </c>
      <c r="J64" s="144">
        <f>Données!W64</f>
        <v>-114.7</v>
      </c>
      <c r="K64" s="7">
        <f>+Données!Q64</f>
        <v>48856.29</v>
      </c>
      <c r="L64" s="320">
        <f t="shared" si="0"/>
        <v>4887572.0900000008</v>
      </c>
      <c r="M64" s="7">
        <f>+Données!F64</f>
        <v>0</v>
      </c>
      <c r="N64" s="7">
        <f>+Données!K64</f>
        <v>48765.8</v>
      </c>
      <c r="O64" s="7">
        <f>(Données!L64/Données!Y64)*1</f>
        <v>425606.7</v>
      </c>
      <c r="P64" s="320">
        <f t="shared" si="1"/>
        <v>5361944.5900000008</v>
      </c>
      <c r="Q64" s="160">
        <f>+Données!X64</f>
        <v>70</v>
      </c>
      <c r="R64" s="320">
        <f t="shared" si="2"/>
        <v>76599.208428571437</v>
      </c>
    </row>
    <row r="65" spans="1:18" x14ac:dyDescent="0.25">
      <c r="A65" s="6">
        <f>Données!A65</f>
        <v>5499</v>
      </c>
      <c r="B65" s="26" t="str">
        <f>Données!B65</f>
        <v>Senarclens</v>
      </c>
      <c r="C65" s="7">
        <f>Données!C65+Données!D65</f>
        <v>1325122.53</v>
      </c>
      <c r="D65" s="7">
        <f>+Données!G65+Données!H65+Données!S65</f>
        <v>11180.189999999999</v>
      </c>
      <c r="E65" s="7">
        <f>+Données!E65</f>
        <v>0</v>
      </c>
      <c r="F65" s="7">
        <f>+Données!I65</f>
        <v>0</v>
      </c>
      <c r="G65" s="7">
        <f>+Données!J65</f>
        <v>7108.46</v>
      </c>
      <c r="H65" s="7">
        <f>Données!U65</f>
        <v>-3415.39</v>
      </c>
      <c r="I65" s="144">
        <f>Données!V65</f>
        <v>0</v>
      </c>
      <c r="J65" s="144">
        <f>Données!W65</f>
        <v>-1776</v>
      </c>
      <c r="K65" s="7">
        <f>+Données!Q65</f>
        <v>2.23</v>
      </c>
      <c r="L65" s="320">
        <f t="shared" si="0"/>
        <v>1338222.02</v>
      </c>
      <c r="M65" s="7">
        <f>+Données!F65</f>
        <v>0</v>
      </c>
      <c r="N65" s="7">
        <f>+Données!K65</f>
        <v>0</v>
      </c>
      <c r="O65" s="7">
        <f>(Données!L65/Données!Y65)*1</f>
        <v>109606.1</v>
      </c>
      <c r="P65" s="320">
        <f t="shared" si="1"/>
        <v>1447828.12</v>
      </c>
      <c r="Q65" s="160">
        <f>+Données!X65</f>
        <v>68.5</v>
      </c>
      <c r="R65" s="320">
        <f t="shared" si="2"/>
        <v>21136.176934306572</v>
      </c>
    </row>
    <row r="66" spans="1:18" x14ac:dyDescent="0.25">
      <c r="A66" s="6">
        <f>Données!A66</f>
        <v>5501</v>
      </c>
      <c r="B66" s="26" t="str">
        <f>Données!B66</f>
        <v>Sullens</v>
      </c>
      <c r="C66" s="7">
        <f>Données!C66+Données!D66</f>
        <v>3259694.9299999997</v>
      </c>
      <c r="D66" s="7">
        <f>+Données!G66+Données!H66+Données!S66</f>
        <v>128413.95</v>
      </c>
      <c r="E66" s="7">
        <f>+Données!E66</f>
        <v>0</v>
      </c>
      <c r="F66" s="7">
        <f>+Données!I66</f>
        <v>0</v>
      </c>
      <c r="G66" s="7">
        <f>+Données!J66</f>
        <v>38253.9</v>
      </c>
      <c r="H66" s="7">
        <f>Données!U66</f>
        <v>-12826.39</v>
      </c>
      <c r="I66" s="144">
        <f>Données!V66</f>
        <v>0</v>
      </c>
      <c r="J66" s="144">
        <f>Données!W66</f>
        <v>-2592.9</v>
      </c>
      <c r="K66" s="7">
        <f>+Données!Q66</f>
        <v>293.48</v>
      </c>
      <c r="L66" s="320">
        <f t="shared" si="0"/>
        <v>3411236.9699999997</v>
      </c>
      <c r="M66" s="7">
        <f>+Données!F66</f>
        <v>0</v>
      </c>
      <c r="N66" s="7">
        <f>+Données!K66</f>
        <v>0</v>
      </c>
      <c r="O66" s="7">
        <f>(Données!L66/Données!Y66)*1</f>
        <v>284880.5</v>
      </c>
      <c r="P66" s="320">
        <f t="shared" si="1"/>
        <v>3696117.4699999997</v>
      </c>
      <c r="Q66" s="160">
        <f>+Données!X66</f>
        <v>64</v>
      </c>
      <c r="R66" s="320">
        <f t="shared" si="2"/>
        <v>57751.835468749996</v>
      </c>
    </row>
    <row r="67" spans="1:18" x14ac:dyDescent="0.25">
      <c r="A67" s="6">
        <f>Données!A67</f>
        <v>5503</v>
      </c>
      <c r="B67" s="26" t="str">
        <f>Données!B67</f>
        <v>Vufflens-la-Ville</v>
      </c>
      <c r="C67" s="7">
        <f>Données!C67+Données!D67</f>
        <v>2510233.94</v>
      </c>
      <c r="D67" s="7">
        <f>+Données!G67+Données!H67+Données!S67</f>
        <v>1501273.72</v>
      </c>
      <c r="E67" s="7">
        <f>+Données!E67</f>
        <v>0</v>
      </c>
      <c r="F67" s="7">
        <f>+Données!I67</f>
        <v>0</v>
      </c>
      <c r="G67" s="7">
        <f>+Données!J67</f>
        <v>44038.65</v>
      </c>
      <c r="H67" s="7">
        <f>Données!U67</f>
        <v>-24694.63</v>
      </c>
      <c r="I67" s="144">
        <f>Données!V67</f>
        <v>0</v>
      </c>
      <c r="J67" s="144">
        <f>Données!W67</f>
        <v>-3520.65</v>
      </c>
      <c r="K67" s="7">
        <f>+Données!Q67</f>
        <v>7835.63</v>
      </c>
      <c r="L67" s="320">
        <f t="shared" si="0"/>
        <v>4035166.66</v>
      </c>
      <c r="M67" s="7">
        <f>+Données!F67</f>
        <v>0</v>
      </c>
      <c r="N67" s="7">
        <f>+Données!K67</f>
        <v>65974.850000000006</v>
      </c>
      <c r="O67" s="7">
        <f>(Données!L67/Données!Y67)*1</f>
        <v>509910.16666666663</v>
      </c>
      <c r="P67" s="320">
        <f t="shared" si="1"/>
        <v>4611051.6766666668</v>
      </c>
      <c r="Q67" s="160">
        <f>+Données!X67</f>
        <v>67</v>
      </c>
      <c r="R67" s="320">
        <f t="shared" si="2"/>
        <v>68821.666815920398</v>
      </c>
    </row>
    <row r="68" spans="1:18" x14ac:dyDescent="0.25">
      <c r="A68" s="6">
        <f>Données!A68</f>
        <v>5511</v>
      </c>
      <c r="B68" s="26" t="str">
        <f>Données!B68</f>
        <v>Assens</v>
      </c>
      <c r="C68" s="7">
        <f>Données!C68+Données!D68</f>
        <v>4037060.58</v>
      </c>
      <c r="D68" s="7">
        <f>+Données!G68+Données!H68+Données!S68</f>
        <v>380041.05000000005</v>
      </c>
      <c r="E68" s="7">
        <f>+Données!E68</f>
        <v>0</v>
      </c>
      <c r="F68" s="7">
        <f>+Données!I68</f>
        <v>0</v>
      </c>
      <c r="G68" s="7">
        <f>+Données!J68</f>
        <v>77736.639999999999</v>
      </c>
      <c r="H68" s="7">
        <f>Données!U68</f>
        <v>-63529.25</v>
      </c>
      <c r="I68" s="144">
        <f>Données!V68</f>
        <v>0</v>
      </c>
      <c r="J68" s="144">
        <f>Données!W68</f>
        <v>-57.15</v>
      </c>
      <c r="K68" s="7">
        <f>+Données!Q68</f>
        <v>25272.78</v>
      </c>
      <c r="L68" s="320">
        <f t="shared" si="0"/>
        <v>4456524.6499999994</v>
      </c>
      <c r="M68" s="7">
        <f>+Données!F68</f>
        <v>0</v>
      </c>
      <c r="N68" s="7">
        <f>+Données!K68</f>
        <v>18849.3</v>
      </c>
      <c r="O68" s="7">
        <f>(Données!L68/Données!Y68)*1</f>
        <v>412608.45</v>
      </c>
      <c r="P68" s="320">
        <f t="shared" si="1"/>
        <v>4887982.3999999994</v>
      </c>
      <c r="Q68" s="160">
        <f>+Données!X68</f>
        <v>70</v>
      </c>
      <c r="R68" s="320">
        <f t="shared" si="2"/>
        <v>69828.319999999992</v>
      </c>
    </row>
    <row r="69" spans="1:18" x14ac:dyDescent="0.25">
      <c r="A69" s="6">
        <f>Données!A69</f>
        <v>5512</v>
      </c>
      <c r="B69" s="26" t="str">
        <f>Données!B69</f>
        <v>Bercher</v>
      </c>
      <c r="C69" s="7">
        <f>Données!C69+Données!D69</f>
        <v>2806623.3499999996</v>
      </c>
      <c r="D69" s="7">
        <f>+Données!G69+Données!H69+Données!S69</f>
        <v>103216.13999999998</v>
      </c>
      <c r="E69" s="7">
        <f>+Données!E69</f>
        <v>0</v>
      </c>
      <c r="F69" s="7">
        <f>+Données!I69</f>
        <v>0</v>
      </c>
      <c r="G69" s="7">
        <f>+Données!J69</f>
        <v>51502.19</v>
      </c>
      <c r="H69" s="7">
        <f>Données!U69</f>
        <v>-17606.48</v>
      </c>
      <c r="I69" s="144">
        <f>Données!V69</f>
        <v>0</v>
      </c>
      <c r="J69" s="144">
        <f>Données!W69</f>
        <v>-169.21</v>
      </c>
      <c r="K69" s="7">
        <f>+Données!Q69</f>
        <v>4599.7700000000004</v>
      </c>
      <c r="L69" s="320">
        <f t="shared" si="0"/>
        <v>2948165.76</v>
      </c>
      <c r="M69" s="7">
        <f>+Données!F69</f>
        <v>0</v>
      </c>
      <c r="N69" s="7">
        <f>+Données!K69</f>
        <v>12270.15</v>
      </c>
      <c r="O69" s="7">
        <f>(Données!L69/Données!Y69)*1</f>
        <v>293561.8</v>
      </c>
      <c r="P69" s="320">
        <f t="shared" si="1"/>
        <v>3253997.7099999995</v>
      </c>
      <c r="Q69" s="160">
        <f>+Données!X69</f>
        <v>79</v>
      </c>
      <c r="R69" s="320">
        <f t="shared" si="2"/>
        <v>41189.844430379737</v>
      </c>
    </row>
    <row r="70" spans="1:18" x14ac:dyDescent="0.25">
      <c r="A70" s="6">
        <f>Données!A70</f>
        <v>5514</v>
      </c>
      <c r="B70" s="26" t="str">
        <f>Données!B70</f>
        <v>Bottens</v>
      </c>
      <c r="C70" s="7">
        <f>Données!C70+Données!D70</f>
        <v>2933099.1700000004</v>
      </c>
      <c r="D70" s="7">
        <f>+Données!G70+Données!H70+Données!S70</f>
        <v>37787.770000000004</v>
      </c>
      <c r="E70" s="7">
        <f>+Données!E70</f>
        <v>0</v>
      </c>
      <c r="F70" s="7">
        <f>+Données!I70</f>
        <v>60460.3</v>
      </c>
      <c r="G70" s="7">
        <f>+Données!J70</f>
        <v>69654.759999999995</v>
      </c>
      <c r="H70" s="7">
        <f>Données!U70</f>
        <v>-39493.65</v>
      </c>
      <c r="I70" s="144">
        <f>Données!V70</f>
        <v>0</v>
      </c>
      <c r="J70" s="144">
        <f>Données!W70</f>
        <v>-1495</v>
      </c>
      <c r="K70" s="7">
        <f>+Données!Q70</f>
        <v>7701.06</v>
      </c>
      <c r="L70" s="320">
        <f t="shared" si="0"/>
        <v>3067714.41</v>
      </c>
      <c r="M70" s="7">
        <f>+Données!F70</f>
        <v>0</v>
      </c>
      <c r="N70" s="7">
        <f>+Données!K70</f>
        <v>13359.5</v>
      </c>
      <c r="O70" s="7">
        <f>(Données!L70/Données!Y70)*1</f>
        <v>250689.9</v>
      </c>
      <c r="P70" s="320">
        <f t="shared" si="1"/>
        <v>3331763.81</v>
      </c>
      <c r="Q70" s="160">
        <f>+Données!X70</f>
        <v>72.5</v>
      </c>
      <c r="R70" s="320">
        <f t="shared" si="2"/>
        <v>45955.362896551727</v>
      </c>
    </row>
    <row r="71" spans="1:18" x14ac:dyDescent="0.25">
      <c r="A71" s="6">
        <f>Données!A71</f>
        <v>5515</v>
      </c>
      <c r="B71" s="26" t="str">
        <f>Données!B71</f>
        <v>Bretigny-sur-Morrens</v>
      </c>
      <c r="C71" s="7">
        <f>Données!C71+Données!D71</f>
        <v>2242020.85</v>
      </c>
      <c r="D71" s="7">
        <f>+Données!G71+Données!H71+Données!S71</f>
        <v>50307.519999999997</v>
      </c>
      <c r="E71" s="7">
        <f>+Données!E71</f>
        <v>0</v>
      </c>
      <c r="F71" s="7">
        <f>+Données!I71</f>
        <v>0</v>
      </c>
      <c r="G71" s="7">
        <f>+Données!J71</f>
        <v>32410.52</v>
      </c>
      <c r="H71" s="7">
        <f>Données!U71</f>
        <v>-33293.47</v>
      </c>
      <c r="I71" s="144">
        <f>Données!V71</f>
        <v>0</v>
      </c>
      <c r="J71" s="144">
        <f>Données!W71</f>
        <v>0</v>
      </c>
      <c r="K71" s="7">
        <f>+Données!Q71</f>
        <v>2966.34</v>
      </c>
      <c r="L71" s="320">
        <f t="shared" ref="L71:L134" si="3">SUM(C71:K71)</f>
        <v>2294411.7599999998</v>
      </c>
      <c r="M71" s="7">
        <f>+Données!F71</f>
        <v>0</v>
      </c>
      <c r="N71" s="7">
        <f>+Données!K71</f>
        <v>17570.55</v>
      </c>
      <c r="O71" s="7">
        <f>(Données!L71/Données!Y71)*1</f>
        <v>193068.15</v>
      </c>
      <c r="P71" s="320">
        <f t="shared" ref="P71:P134" si="4">SUM(L71:O71)</f>
        <v>2505050.4599999995</v>
      </c>
      <c r="Q71" s="160">
        <f>+Données!X71</f>
        <v>78</v>
      </c>
      <c r="R71" s="320">
        <f t="shared" ref="R71:R134" si="5">P71/Q71</f>
        <v>32116.031538461531</v>
      </c>
    </row>
    <row r="72" spans="1:18" x14ac:dyDescent="0.25">
      <c r="A72" s="6">
        <f>Données!A72</f>
        <v>5516</v>
      </c>
      <c r="B72" s="26" t="str">
        <f>Données!B72</f>
        <v>Cugy</v>
      </c>
      <c r="C72" s="7">
        <f>Données!C72+Données!D72</f>
        <v>7306717.3300000001</v>
      </c>
      <c r="D72" s="7">
        <f>+Données!G72+Données!H72+Données!S72</f>
        <v>430383.07</v>
      </c>
      <c r="E72" s="7">
        <f>+Données!E72</f>
        <v>0</v>
      </c>
      <c r="F72" s="7">
        <f>+Données!I72</f>
        <v>52949.919999999998</v>
      </c>
      <c r="G72" s="7">
        <f>+Données!J72</f>
        <v>151434.35999999999</v>
      </c>
      <c r="H72" s="7">
        <f>Données!U72</f>
        <v>-85372.83</v>
      </c>
      <c r="I72" s="144">
        <f>Données!V72</f>
        <v>0</v>
      </c>
      <c r="J72" s="144">
        <f>Données!W72</f>
        <v>-1967.7</v>
      </c>
      <c r="K72" s="7">
        <f>+Données!Q72</f>
        <v>20966.349999999999</v>
      </c>
      <c r="L72" s="320">
        <f t="shared" si="3"/>
        <v>7875110.5</v>
      </c>
      <c r="M72" s="7">
        <f>+Données!F72</f>
        <v>0</v>
      </c>
      <c r="N72" s="7">
        <f>+Données!K72</f>
        <v>32478</v>
      </c>
      <c r="O72" s="7">
        <f>(Données!L72/Données!Y72)*1</f>
        <v>607313.75</v>
      </c>
      <c r="P72" s="320">
        <f t="shared" si="4"/>
        <v>8514902.25</v>
      </c>
      <c r="Q72" s="160">
        <f>+Données!X72</f>
        <v>76</v>
      </c>
      <c r="R72" s="320">
        <f t="shared" si="5"/>
        <v>112038.1875</v>
      </c>
    </row>
    <row r="73" spans="1:18" x14ac:dyDescent="0.25">
      <c r="A73" s="6">
        <f>Données!A73</f>
        <v>5518</v>
      </c>
      <c r="B73" s="26" t="str">
        <f>Données!B73</f>
        <v>Echallens</v>
      </c>
      <c r="C73" s="7">
        <f>Données!C73+Données!D73</f>
        <v>13185481.08</v>
      </c>
      <c r="D73" s="7">
        <f>+Données!G73+Données!H73+Données!S73</f>
        <v>1092421.03</v>
      </c>
      <c r="E73" s="7">
        <f>+Données!E73</f>
        <v>0</v>
      </c>
      <c r="F73" s="7">
        <f>+Données!I73</f>
        <v>0</v>
      </c>
      <c r="G73" s="7">
        <f>+Données!J73</f>
        <v>288855.84999999998</v>
      </c>
      <c r="H73" s="7">
        <f>Données!U73</f>
        <v>-252821.63</v>
      </c>
      <c r="I73" s="144">
        <f>Données!V73</f>
        <v>0</v>
      </c>
      <c r="J73" s="144">
        <f>Données!W73</f>
        <v>-2162.42</v>
      </c>
      <c r="K73" s="7">
        <f>+Données!Q73</f>
        <v>53126.09</v>
      </c>
      <c r="L73" s="320">
        <f t="shared" si="3"/>
        <v>14364899.999999998</v>
      </c>
      <c r="M73" s="7">
        <f>+Données!F73</f>
        <v>0</v>
      </c>
      <c r="N73" s="7">
        <f>+Données!K73</f>
        <v>103831.65</v>
      </c>
      <c r="O73" s="7">
        <f>(Données!L73/Données!Y73)*1</f>
        <v>1254131.95</v>
      </c>
      <c r="P73" s="320">
        <f t="shared" si="4"/>
        <v>15722863.599999998</v>
      </c>
      <c r="Q73" s="160">
        <f>+Données!X73</f>
        <v>72.5</v>
      </c>
      <c r="R73" s="320">
        <f t="shared" si="5"/>
        <v>216867.084137931</v>
      </c>
    </row>
    <row r="74" spans="1:18" x14ac:dyDescent="0.25">
      <c r="A74" s="6">
        <f>Données!A74</f>
        <v>5520</v>
      </c>
      <c r="B74" s="26" t="str">
        <f>Données!B74</f>
        <v>Essertines-sur-Yverdon</v>
      </c>
      <c r="C74" s="7">
        <f>Données!C74+Données!D74</f>
        <v>2356652.5100000002</v>
      </c>
      <c r="D74" s="7">
        <f>+Données!G74+Données!H74+Données!S74</f>
        <v>32602.989999999998</v>
      </c>
      <c r="E74" s="7">
        <f>+Données!E74</f>
        <v>0</v>
      </c>
      <c r="F74" s="7">
        <f>+Données!I74</f>
        <v>0</v>
      </c>
      <c r="G74" s="7">
        <f>+Données!J74</f>
        <v>22611.96</v>
      </c>
      <c r="H74" s="7">
        <f>Données!U74</f>
        <v>-26017.83</v>
      </c>
      <c r="I74" s="144">
        <f>Données!V74</f>
        <v>0</v>
      </c>
      <c r="J74" s="144">
        <f>Données!W74</f>
        <v>-71.75</v>
      </c>
      <c r="K74" s="7">
        <f>+Données!Q74</f>
        <v>1395.65</v>
      </c>
      <c r="L74" s="320">
        <f t="shared" si="3"/>
        <v>2387173.5300000003</v>
      </c>
      <c r="M74" s="7">
        <f>+Données!F74</f>
        <v>0</v>
      </c>
      <c r="N74" s="7">
        <f>+Données!K74</f>
        <v>8412.65</v>
      </c>
      <c r="O74" s="7">
        <f>(Données!L74/Données!Y74)*1</f>
        <v>219268.5</v>
      </c>
      <c r="P74" s="320">
        <f t="shared" si="4"/>
        <v>2614854.6800000002</v>
      </c>
      <c r="Q74" s="160">
        <f>+Données!X74</f>
        <v>74</v>
      </c>
      <c r="R74" s="320">
        <f t="shared" si="5"/>
        <v>35335.874054054053</v>
      </c>
    </row>
    <row r="75" spans="1:18" x14ac:dyDescent="0.25">
      <c r="A75" s="6">
        <f>Données!A75</f>
        <v>5521</v>
      </c>
      <c r="B75" s="26" t="str">
        <f>Données!B75</f>
        <v>Etagnières</v>
      </c>
      <c r="C75" s="7">
        <f>Données!C75+Données!D75</f>
        <v>2862280.1799999997</v>
      </c>
      <c r="D75" s="7">
        <f>+Données!G75+Données!H75+Données!S75</f>
        <v>192937.38</v>
      </c>
      <c r="E75" s="7">
        <f>+Données!E75</f>
        <v>0</v>
      </c>
      <c r="F75" s="7">
        <f>+Données!I75</f>
        <v>0</v>
      </c>
      <c r="G75" s="7">
        <f>+Données!J75</f>
        <v>92174.45</v>
      </c>
      <c r="H75" s="7">
        <f>Données!U75</f>
        <v>-45913.77</v>
      </c>
      <c r="I75" s="144">
        <f>Données!V75</f>
        <v>0</v>
      </c>
      <c r="J75" s="144">
        <f>Données!W75</f>
        <v>-455.7</v>
      </c>
      <c r="K75" s="7">
        <f>+Données!Q75</f>
        <v>5400.16</v>
      </c>
      <c r="L75" s="320">
        <f t="shared" si="3"/>
        <v>3106422.6999999997</v>
      </c>
      <c r="M75" s="7">
        <f>+Données!F75</f>
        <v>0</v>
      </c>
      <c r="N75" s="7">
        <f>+Données!K75</f>
        <v>24744.6</v>
      </c>
      <c r="O75" s="7">
        <f>(Données!L75/Données!Y75)*1</f>
        <v>290246.15000000002</v>
      </c>
      <c r="P75" s="320">
        <f t="shared" si="4"/>
        <v>3421413.4499999997</v>
      </c>
      <c r="Q75" s="160">
        <f>+Données!X75</f>
        <v>73</v>
      </c>
      <c r="R75" s="320">
        <f t="shared" si="5"/>
        <v>46868.677397260268</v>
      </c>
    </row>
    <row r="76" spans="1:18" x14ac:dyDescent="0.25">
      <c r="A76" s="6">
        <f>Données!A76</f>
        <v>5522</v>
      </c>
      <c r="B76" s="26" t="str">
        <f>Données!B76</f>
        <v>Fey</v>
      </c>
      <c r="C76" s="7">
        <f>Données!C76+Données!D76</f>
        <v>1690052.17</v>
      </c>
      <c r="D76" s="7">
        <f>+Données!G76+Données!H76+Données!S76</f>
        <v>59063.289999999994</v>
      </c>
      <c r="E76" s="7">
        <f>+Données!E76</f>
        <v>0</v>
      </c>
      <c r="F76" s="7">
        <f>+Données!I76</f>
        <v>0</v>
      </c>
      <c r="G76" s="7">
        <f>+Données!J76</f>
        <v>15601.49</v>
      </c>
      <c r="H76" s="7">
        <f>Données!U76</f>
        <v>-29888.06</v>
      </c>
      <c r="I76" s="144">
        <f>Données!V76</f>
        <v>0</v>
      </c>
      <c r="J76" s="144">
        <f>Données!W76</f>
        <v>0</v>
      </c>
      <c r="K76" s="7">
        <f>+Données!Q76</f>
        <v>0</v>
      </c>
      <c r="L76" s="320">
        <f t="shared" si="3"/>
        <v>1734828.89</v>
      </c>
      <c r="M76" s="7">
        <f>+Données!F76</f>
        <v>0</v>
      </c>
      <c r="N76" s="7">
        <f>+Données!K76</f>
        <v>3239.85</v>
      </c>
      <c r="O76" s="7">
        <f>(Données!L76/Données!Y76)*1</f>
        <v>150686.35</v>
      </c>
      <c r="P76" s="320">
        <f t="shared" si="4"/>
        <v>1888755.09</v>
      </c>
      <c r="Q76" s="160">
        <f>+Données!X76</f>
        <v>75</v>
      </c>
      <c r="R76" s="320">
        <f t="shared" si="5"/>
        <v>25183.4012</v>
      </c>
    </row>
    <row r="77" spans="1:18" x14ac:dyDescent="0.25">
      <c r="A77" s="6">
        <f>Données!A77</f>
        <v>5523</v>
      </c>
      <c r="B77" s="26" t="str">
        <f>Données!B77</f>
        <v>Froideville</v>
      </c>
      <c r="C77" s="7">
        <f>Données!C77+Données!D77</f>
        <v>5691901.2799999993</v>
      </c>
      <c r="D77" s="7">
        <f>+Données!G77+Données!H77+Données!S77</f>
        <v>72095.759999999995</v>
      </c>
      <c r="E77" s="7">
        <f>+Données!E77</f>
        <v>0</v>
      </c>
      <c r="F77" s="7">
        <f>+Données!I77</f>
        <v>0</v>
      </c>
      <c r="G77" s="7">
        <f>+Données!J77</f>
        <v>94604.28</v>
      </c>
      <c r="H77" s="7">
        <f>Données!U77</f>
        <v>-52330.44</v>
      </c>
      <c r="I77" s="144">
        <f>Données!V77</f>
        <v>0</v>
      </c>
      <c r="J77" s="144">
        <f>Données!W77</f>
        <v>-560.95000000000005</v>
      </c>
      <c r="K77" s="7">
        <f>+Données!Q77</f>
        <v>18311.91</v>
      </c>
      <c r="L77" s="320">
        <f t="shared" si="3"/>
        <v>5824021.8399999989</v>
      </c>
      <c r="M77" s="7">
        <f>+Données!F77</f>
        <v>13520</v>
      </c>
      <c r="N77" s="7">
        <f>+Données!K77</f>
        <v>31774.799999999999</v>
      </c>
      <c r="O77" s="7">
        <f>(Données!L77/Données!Y77)*1</f>
        <v>554423.67999999993</v>
      </c>
      <c r="P77" s="320">
        <f t="shared" si="4"/>
        <v>6423740.3199999984</v>
      </c>
      <c r="Q77" s="160">
        <f>+Données!X77</f>
        <v>72</v>
      </c>
      <c r="R77" s="320">
        <f t="shared" si="5"/>
        <v>89218.615555555531</v>
      </c>
    </row>
    <row r="78" spans="1:18" x14ac:dyDescent="0.25">
      <c r="A78" s="6">
        <f>Données!A78</f>
        <v>5527</v>
      </c>
      <c r="B78" s="26" t="str">
        <f>Données!B78</f>
        <v>Morrens</v>
      </c>
      <c r="C78" s="7">
        <f>Données!C78+Données!D78</f>
        <v>2844016.68</v>
      </c>
      <c r="D78" s="7">
        <f>+Données!G78+Données!H78+Données!S78</f>
        <v>42290.8</v>
      </c>
      <c r="E78" s="7">
        <f>+Données!E78</f>
        <v>0</v>
      </c>
      <c r="F78" s="7">
        <f>+Données!I78</f>
        <v>0</v>
      </c>
      <c r="G78" s="7">
        <f>+Données!J78</f>
        <v>18899.87</v>
      </c>
      <c r="H78" s="7">
        <f>Données!U78</f>
        <v>-16163.84</v>
      </c>
      <c r="I78" s="144">
        <f>Données!V78</f>
        <v>0</v>
      </c>
      <c r="J78" s="144">
        <f>Données!W78</f>
        <v>-223.65</v>
      </c>
      <c r="K78" s="7">
        <f>+Données!Q78</f>
        <v>2275.06</v>
      </c>
      <c r="L78" s="320">
        <f t="shared" si="3"/>
        <v>2891094.9200000004</v>
      </c>
      <c r="M78" s="7">
        <f>+Données!F78</f>
        <v>0</v>
      </c>
      <c r="N78" s="7">
        <f>+Données!K78</f>
        <v>6427.75</v>
      </c>
      <c r="O78" s="7">
        <f>(Données!L78/Données!Y78)*1</f>
        <v>256256.8</v>
      </c>
      <c r="P78" s="320">
        <f t="shared" si="4"/>
        <v>3153779.47</v>
      </c>
      <c r="Q78" s="160">
        <f>+Données!X78</f>
        <v>74</v>
      </c>
      <c r="R78" s="320">
        <f t="shared" si="5"/>
        <v>42618.641486486493</v>
      </c>
    </row>
    <row r="79" spans="1:18" x14ac:dyDescent="0.25">
      <c r="A79" s="6">
        <f>Données!A79</f>
        <v>5529</v>
      </c>
      <c r="B79" s="26" t="str">
        <f>Données!B79</f>
        <v>Oulens-sous-Echallens</v>
      </c>
      <c r="C79" s="7">
        <f>Données!C79+Données!D79</f>
        <v>1368449.95</v>
      </c>
      <c r="D79" s="7">
        <f>+Données!G79+Données!H79+Données!S79</f>
        <v>26411.089999999997</v>
      </c>
      <c r="E79" s="7">
        <f>+Données!E79</f>
        <v>0</v>
      </c>
      <c r="F79" s="7">
        <f>+Données!I79</f>
        <v>0</v>
      </c>
      <c r="G79" s="7">
        <f>+Données!J79</f>
        <v>1711.12</v>
      </c>
      <c r="H79" s="7">
        <f>Données!U79</f>
        <v>-33893.25</v>
      </c>
      <c r="I79" s="144">
        <f>Données!V79</f>
        <v>0</v>
      </c>
      <c r="J79" s="144">
        <f>Données!W79</f>
        <v>0</v>
      </c>
      <c r="K79" s="7">
        <f>+Données!Q79</f>
        <v>8483.81</v>
      </c>
      <c r="L79" s="320">
        <f t="shared" si="3"/>
        <v>1371162.7200000002</v>
      </c>
      <c r="M79" s="7">
        <f>+Données!F79</f>
        <v>0</v>
      </c>
      <c r="N79" s="7">
        <f>+Données!K79</f>
        <v>5172.05</v>
      </c>
      <c r="O79" s="7">
        <f>(Données!L79/Données!Y79)*1</f>
        <v>137385.79999999999</v>
      </c>
      <c r="P79" s="320">
        <f t="shared" si="4"/>
        <v>1513720.5700000003</v>
      </c>
      <c r="Q79" s="160">
        <f>+Données!X79</f>
        <v>71</v>
      </c>
      <c r="R79" s="320">
        <f t="shared" si="5"/>
        <v>21320.008028169017</v>
      </c>
    </row>
    <row r="80" spans="1:18" x14ac:dyDescent="0.25">
      <c r="A80" s="6">
        <f>Données!A80</f>
        <v>5530</v>
      </c>
      <c r="B80" s="26" t="str">
        <f>Données!B80</f>
        <v>Pailly</v>
      </c>
      <c r="C80" s="7">
        <f>Données!C80+Données!D80</f>
        <v>1314786.27</v>
      </c>
      <c r="D80" s="7">
        <f>+Données!G80+Données!H80+Données!S80</f>
        <v>22226.18</v>
      </c>
      <c r="E80" s="7">
        <f>+Données!E80</f>
        <v>0</v>
      </c>
      <c r="F80" s="7">
        <f>+Données!I80</f>
        <v>0</v>
      </c>
      <c r="G80" s="7">
        <f>+Données!J80</f>
        <v>7440.13</v>
      </c>
      <c r="H80" s="7">
        <f>Données!U80</f>
        <v>-17949.830000000002</v>
      </c>
      <c r="I80" s="144">
        <f>Données!V80</f>
        <v>0</v>
      </c>
      <c r="J80" s="144">
        <f>Données!W80</f>
        <v>-53.95</v>
      </c>
      <c r="K80" s="7">
        <f>+Données!Q80</f>
        <v>0</v>
      </c>
      <c r="L80" s="320">
        <f t="shared" si="3"/>
        <v>1326448.7999999998</v>
      </c>
      <c r="M80" s="7">
        <f>+Données!F80</f>
        <v>0</v>
      </c>
      <c r="N80" s="7">
        <f>+Données!K80</f>
        <v>1400</v>
      </c>
      <c r="O80" s="7">
        <f>(Données!L80/Données!Y80)*1</f>
        <v>115051.20833333334</v>
      </c>
      <c r="P80" s="320">
        <f t="shared" si="4"/>
        <v>1442900.0083333331</v>
      </c>
      <c r="Q80" s="160">
        <f>+Données!X80</f>
        <v>76</v>
      </c>
      <c r="R80" s="320">
        <f t="shared" si="5"/>
        <v>18985.526425438595</v>
      </c>
    </row>
    <row r="81" spans="1:18" x14ac:dyDescent="0.25">
      <c r="A81" s="6">
        <f>Données!A81</f>
        <v>5531</v>
      </c>
      <c r="B81" s="26" t="str">
        <f>Données!B81</f>
        <v>Penthéréaz</v>
      </c>
      <c r="C81" s="7">
        <f>Données!C81+Données!D81</f>
        <v>1128306.06</v>
      </c>
      <c r="D81" s="7">
        <f>+Données!G81+Données!H81+Données!S81</f>
        <v>15297.1</v>
      </c>
      <c r="E81" s="7">
        <f>+Données!E81</f>
        <v>0</v>
      </c>
      <c r="F81" s="7">
        <f>+Données!I81</f>
        <v>0</v>
      </c>
      <c r="G81" s="7">
        <f>+Données!J81</f>
        <v>18775.740000000002</v>
      </c>
      <c r="H81" s="7">
        <f>Données!U81</f>
        <v>-2361.56</v>
      </c>
      <c r="I81" s="144">
        <f>Données!V81</f>
        <v>0</v>
      </c>
      <c r="J81" s="144">
        <f>Données!W81</f>
        <v>0</v>
      </c>
      <c r="K81" s="7">
        <f>+Données!Q81</f>
        <v>0</v>
      </c>
      <c r="L81" s="320">
        <f t="shared" si="3"/>
        <v>1160017.3400000001</v>
      </c>
      <c r="M81" s="7">
        <f>+Données!F81</f>
        <v>0</v>
      </c>
      <c r="N81" s="7">
        <f>+Données!K81</f>
        <v>1739.3</v>
      </c>
      <c r="O81" s="7">
        <f>(Données!L81/Données!Y81)*1</f>
        <v>94690.85</v>
      </c>
      <c r="P81" s="320">
        <f t="shared" si="4"/>
        <v>1256447.4900000002</v>
      </c>
      <c r="Q81" s="160">
        <f>+Données!X81</f>
        <v>74</v>
      </c>
      <c r="R81" s="320">
        <f t="shared" si="5"/>
        <v>16979.020135135139</v>
      </c>
    </row>
    <row r="82" spans="1:18" x14ac:dyDescent="0.25">
      <c r="A82" s="6">
        <f>Données!A82</f>
        <v>5533</v>
      </c>
      <c r="B82" s="26" t="str">
        <f>Données!B82</f>
        <v>Poliez-Pittet</v>
      </c>
      <c r="C82" s="7">
        <f>Données!C82+Données!D82</f>
        <v>1730062.1199999999</v>
      </c>
      <c r="D82" s="7">
        <f>+Données!G82+Données!H82+Données!S82</f>
        <v>60394.240000000005</v>
      </c>
      <c r="E82" s="7">
        <f>+Données!E82</f>
        <v>0</v>
      </c>
      <c r="F82" s="7">
        <f>+Données!I82</f>
        <v>0</v>
      </c>
      <c r="G82" s="7">
        <f>+Données!J82</f>
        <v>44143.31</v>
      </c>
      <c r="H82" s="7">
        <f>Données!U82</f>
        <v>-14860.1</v>
      </c>
      <c r="I82" s="144">
        <f>Données!V82</f>
        <v>0</v>
      </c>
      <c r="J82" s="144">
        <f>Données!W82</f>
        <v>-259.26</v>
      </c>
      <c r="K82" s="7">
        <f>+Données!Q82</f>
        <v>28.41</v>
      </c>
      <c r="L82" s="320">
        <f t="shared" si="3"/>
        <v>1819508.7199999997</v>
      </c>
      <c r="M82" s="7">
        <f>+Données!F82</f>
        <v>0</v>
      </c>
      <c r="N82" s="7">
        <f>+Données!K82</f>
        <v>12880.3</v>
      </c>
      <c r="O82" s="7">
        <f>(Données!L82/Données!Y82)*1</f>
        <v>165428.15</v>
      </c>
      <c r="P82" s="320">
        <f t="shared" si="4"/>
        <v>1997817.1699999997</v>
      </c>
      <c r="Q82" s="160">
        <f>+Données!X82</f>
        <v>73</v>
      </c>
      <c r="R82" s="320">
        <f t="shared" si="5"/>
        <v>27367.358493150681</v>
      </c>
    </row>
    <row r="83" spans="1:18" x14ac:dyDescent="0.25">
      <c r="A83" s="6">
        <f>Données!A83</f>
        <v>5534</v>
      </c>
      <c r="B83" s="26" t="str">
        <f>Données!B83</f>
        <v>Rueyres</v>
      </c>
      <c r="C83" s="7">
        <f>Données!C83+Données!D83</f>
        <v>794514.22</v>
      </c>
      <c r="D83" s="7">
        <f>+Données!G83+Données!H83+Données!S83</f>
        <v>459041.17000000004</v>
      </c>
      <c r="E83" s="7">
        <f>+Données!E83</f>
        <v>0</v>
      </c>
      <c r="F83" s="7">
        <f>+Données!I83</f>
        <v>0</v>
      </c>
      <c r="G83" s="7">
        <f>+Données!J83</f>
        <v>-11215.71</v>
      </c>
      <c r="H83" s="7">
        <f>Données!U83</f>
        <v>-17148.490000000002</v>
      </c>
      <c r="I83" s="144">
        <f>Données!V83</f>
        <v>0</v>
      </c>
      <c r="J83" s="144">
        <f>Données!W83</f>
        <v>0</v>
      </c>
      <c r="K83" s="7">
        <f>+Données!Q83</f>
        <v>0</v>
      </c>
      <c r="L83" s="320">
        <f t="shared" si="3"/>
        <v>1225191.1900000002</v>
      </c>
      <c r="M83" s="7">
        <f>+Données!F83</f>
        <v>0</v>
      </c>
      <c r="N83" s="7">
        <f>+Données!K83</f>
        <v>1149.75</v>
      </c>
      <c r="O83" s="7">
        <f>(Données!L83/Données!Y83)*1</f>
        <v>86373.125</v>
      </c>
      <c r="P83" s="320">
        <f t="shared" si="4"/>
        <v>1312714.0650000002</v>
      </c>
      <c r="Q83" s="160">
        <f>+Données!X83</f>
        <v>73</v>
      </c>
      <c r="R83" s="320">
        <f t="shared" si="5"/>
        <v>17982.384452054797</v>
      </c>
    </row>
    <row r="84" spans="1:18" x14ac:dyDescent="0.25">
      <c r="A84" s="6">
        <f>Données!A84</f>
        <v>5535</v>
      </c>
      <c r="B84" s="26" t="str">
        <f>Données!B84</f>
        <v>Saint-Barthélemy</v>
      </c>
      <c r="C84" s="7">
        <f>Données!C84+Données!D84</f>
        <v>1770552.12</v>
      </c>
      <c r="D84" s="7">
        <f>+Données!G84+Données!H84+Données!S84</f>
        <v>64545.320000000007</v>
      </c>
      <c r="E84" s="7">
        <f>+Données!E84</f>
        <v>0</v>
      </c>
      <c r="F84" s="7">
        <f>+Données!I84</f>
        <v>0</v>
      </c>
      <c r="G84" s="7">
        <f>+Données!J84</f>
        <v>3688.73</v>
      </c>
      <c r="H84" s="7">
        <f>Données!U84</f>
        <v>-7777.42</v>
      </c>
      <c r="I84" s="144">
        <f>Données!V84</f>
        <v>0</v>
      </c>
      <c r="J84" s="144">
        <f>Données!W84</f>
        <v>-26.4</v>
      </c>
      <c r="K84" s="7">
        <f>+Données!Q84</f>
        <v>0</v>
      </c>
      <c r="L84" s="320">
        <f t="shared" si="3"/>
        <v>1830982.3500000003</v>
      </c>
      <c r="M84" s="7">
        <f>+Données!F84</f>
        <v>0</v>
      </c>
      <c r="N84" s="7">
        <f>+Données!K84</f>
        <v>1739.3</v>
      </c>
      <c r="O84" s="7">
        <f>(Données!L84/Données!Y84)*1</f>
        <v>156509.95000000001</v>
      </c>
      <c r="P84" s="320">
        <f t="shared" si="4"/>
        <v>1989231.6000000003</v>
      </c>
      <c r="Q84" s="160">
        <f>+Données!X84</f>
        <v>75</v>
      </c>
      <c r="R84" s="320">
        <f t="shared" si="5"/>
        <v>26523.088000000003</v>
      </c>
    </row>
    <row r="85" spans="1:18" x14ac:dyDescent="0.25">
      <c r="A85" s="6">
        <f>Données!A85</f>
        <v>5537</v>
      </c>
      <c r="B85" s="26" t="str">
        <f>Données!B85</f>
        <v>Villars-le-Terroir</v>
      </c>
      <c r="C85" s="7">
        <f>Données!C85+Données!D85</f>
        <v>2532596.9300000002</v>
      </c>
      <c r="D85" s="7">
        <f>+Données!G85+Données!H85+Données!S85</f>
        <v>-20532.78</v>
      </c>
      <c r="E85" s="7">
        <f>+Données!E85</f>
        <v>0</v>
      </c>
      <c r="F85" s="7">
        <f>+Données!I85</f>
        <v>0</v>
      </c>
      <c r="G85" s="7">
        <f>+Données!J85</f>
        <v>42192.17</v>
      </c>
      <c r="H85" s="7">
        <f>Données!U85</f>
        <v>-42523.06</v>
      </c>
      <c r="I85" s="144">
        <f>Données!V85</f>
        <v>0</v>
      </c>
      <c r="J85" s="144">
        <f>Données!W85</f>
        <v>-255.05</v>
      </c>
      <c r="K85" s="7">
        <f>+Données!Q85</f>
        <v>3105.65</v>
      </c>
      <c r="L85" s="320">
        <f t="shared" si="3"/>
        <v>2514583.8600000003</v>
      </c>
      <c r="M85" s="7">
        <f>+Données!F85</f>
        <v>7850</v>
      </c>
      <c r="N85" s="7">
        <f>+Données!K85</f>
        <v>6838.25</v>
      </c>
      <c r="O85" s="7">
        <f>(Données!L85/Données!Y85)*1</f>
        <v>269166.75</v>
      </c>
      <c r="P85" s="320">
        <f t="shared" si="4"/>
        <v>2798438.8600000003</v>
      </c>
      <c r="Q85" s="160">
        <f>+Données!X85</f>
        <v>76</v>
      </c>
      <c r="R85" s="320">
        <f t="shared" si="5"/>
        <v>36821.563947368428</v>
      </c>
    </row>
    <row r="86" spans="1:18" x14ac:dyDescent="0.25">
      <c r="A86" s="6">
        <f>Données!A86</f>
        <v>5539</v>
      </c>
      <c r="B86" s="26" t="str">
        <f>Données!B86</f>
        <v>Vuarrens</v>
      </c>
      <c r="C86" s="7">
        <f>Données!C86+Données!D86</f>
        <v>2274678.1799999997</v>
      </c>
      <c r="D86" s="7">
        <f>+Données!G86+Données!H86+Données!S86</f>
        <v>50581.13</v>
      </c>
      <c r="E86" s="7">
        <f>+Données!E86</f>
        <v>0</v>
      </c>
      <c r="F86" s="7">
        <f>+Données!I86</f>
        <v>0</v>
      </c>
      <c r="G86" s="7">
        <f>+Données!J86</f>
        <v>34511.29</v>
      </c>
      <c r="H86" s="7">
        <f>Données!U86</f>
        <v>-25733.34</v>
      </c>
      <c r="I86" s="144">
        <f>Données!V86</f>
        <v>0</v>
      </c>
      <c r="J86" s="144">
        <f>Données!W86</f>
        <v>-76.2</v>
      </c>
      <c r="K86" s="7">
        <f>+Données!Q86</f>
        <v>3654.73</v>
      </c>
      <c r="L86" s="320">
        <f t="shared" si="3"/>
        <v>2337615.7899999996</v>
      </c>
      <c r="M86" s="7">
        <f>+Données!F86</f>
        <v>0</v>
      </c>
      <c r="N86" s="7">
        <f>+Données!K86</f>
        <v>7615.7</v>
      </c>
      <c r="O86" s="7">
        <f>(Données!L86/Données!Y86)*1</f>
        <v>220194</v>
      </c>
      <c r="P86" s="320">
        <f t="shared" si="4"/>
        <v>2565425.4899999998</v>
      </c>
      <c r="Q86" s="160">
        <f>+Données!X86</f>
        <v>73.5</v>
      </c>
      <c r="R86" s="320">
        <f t="shared" si="5"/>
        <v>34903.7481632653</v>
      </c>
    </row>
    <row r="87" spans="1:18" x14ac:dyDescent="0.25">
      <c r="A87" s="6">
        <f>Données!A87</f>
        <v>5540</v>
      </c>
      <c r="B87" s="26" t="str">
        <f>Données!B87</f>
        <v>Montilliez</v>
      </c>
      <c r="C87" s="7">
        <f>Données!C87+Données!D87</f>
        <v>4301343.0599999996</v>
      </c>
      <c r="D87" s="7">
        <f>+Données!G87+Données!H87+Données!S87</f>
        <v>-41848.130000000005</v>
      </c>
      <c r="E87" s="7">
        <f>+Données!E87</f>
        <v>0</v>
      </c>
      <c r="F87" s="7">
        <f>+Données!I87</f>
        <v>0</v>
      </c>
      <c r="G87" s="7">
        <f>+Données!J87</f>
        <v>89673.34</v>
      </c>
      <c r="H87" s="7">
        <f>Données!U87</f>
        <v>-45048.75</v>
      </c>
      <c r="I87" s="144">
        <f>Données!V87</f>
        <v>0</v>
      </c>
      <c r="J87" s="144">
        <f>Données!W87</f>
        <v>-476.2</v>
      </c>
      <c r="K87" s="7">
        <f>+Données!Q87</f>
        <v>26252.06</v>
      </c>
      <c r="L87" s="320">
        <f t="shared" si="3"/>
        <v>4329895.379999999</v>
      </c>
      <c r="M87" s="7">
        <f>+Données!F87</f>
        <v>0</v>
      </c>
      <c r="N87" s="7">
        <f>+Données!K87</f>
        <v>14558.5</v>
      </c>
      <c r="O87" s="7">
        <f>(Données!L87/Données!Y87)*1</f>
        <v>370485.37499999994</v>
      </c>
      <c r="P87" s="320">
        <f t="shared" si="4"/>
        <v>4714939.254999999</v>
      </c>
      <c r="Q87" s="160">
        <f>+Données!X87</f>
        <v>72.5</v>
      </c>
      <c r="R87" s="320">
        <f t="shared" si="5"/>
        <v>65033.644896551712</v>
      </c>
    </row>
    <row r="88" spans="1:18" x14ac:dyDescent="0.25">
      <c r="A88" s="6">
        <f>Données!A88</f>
        <v>5541</v>
      </c>
      <c r="B88" s="26" t="str">
        <f>Données!B88</f>
        <v>Goumoëns</v>
      </c>
      <c r="C88" s="7">
        <f>Données!C88+Données!D88</f>
        <v>2734948.49</v>
      </c>
      <c r="D88" s="7">
        <f>+Données!G88+Données!H88+Données!S88</f>
        <v>82626.2</v>
      </c>
      <c r="E88" s="7">
        <f>+Données!E88</f>
        <v>0</v>
      </c>
      <c r="F88" s="7">
        <f>+Données!I88</f>
        <v>0</v>
      </c>
      <c r="G88" s="7">
        <f>+Données!J88</f>
        <v>47105.599999999999</v>
      </c>
      <c r="H88" s="7">
        <f>Données!U88</f>
        <v>-8609.93</v>
      </c>
      <c r="I88" s="144">
        <f>Données!V88</f>
        <v>0</v>
      </c>
      <c r="J88" s="144">
        <f>Données!W88</f>
        <v>0</v>
      </c>
      <c r="K88" s="7">
        <f>+Données!Q88</f>
        <v>54.32</v>
      </c>
      <c r="L88" s="320">
        <f t="shared" si="3"/>
        <v>2856124.68</v>
      </c>
      <c r="M88" s="7">
        <f>+Données!F88</f>
        <v>0</v>
      </c>
      <c r="N88" s="7">
        <f>+Données!K88</f>
        <v>4099.05</v>
      </c>
      <c r="O88" s="7">
        <f>(Données!L88/Données!Y88)*1</f>
        <v>235799.85</v>
      </c>
      <c r="P88" s="320">
        <f t="shared" si="4"/>
        <v>3096023.58</v>
      </c>
      <c r="Q88" s="160">
        <f>+Données!X88</f>
        <v>75.5</v>
      </c>
      <c r="R88" s="320">
        <f t="shared" si="5"/>
        <v>41006.934834437088</v>
      </c>
    </row>
    <row r="89" spans="1:18" x14ac:dyDescent="0.25">
      <c r="A89" s="6">
        <f>Données!A89</f>
        <v>5551</v>
      </c>
      <c r="B89" s="26" t="str">
        <f>Données!B89</f>
        <v>Bonvillars</v>
      </c>
      <c r="C89" s="7">
        <f>Données!C89+Données!D89</f>
        <v>916634.82</v>
      </c>
      <c r="D89" s="7">
        <f>+Données!G89+Données!H89+Données!S89</f>
        <v>56126.079999999994</v>
      </c>
      <c r="E89" s="7">
        <f>+Données!E89</f>
        <v>0</v>
      </c>
      <c r="F89" s="7">
        <f>+Données!I89</f>
        <v>0</v>
      </c>
      <c r="G89" s="7">
        <f>+Données!J89</f>
        <v>3677.13</v>
      </c>
      <c r="H89" s="7">
        <f>Données!U89</f>
        <v>-565.08000000000004</v>
      </c>
      <c r="I89" s="144">
        <f>Données!V89</f>
        <v>0</v>
      </c>
      <c r="J89" s="144">
        <f>Données!W89</f>
        <v>-176.95</v>
      </c>
      <c r="K89" s="7">
        <f>+Données!Q89</f>
        <v>0</v>
      </c>
      <c r="L89" s="320">
        <f t="shared" si="3"/>
        <v>975696</v>
      </c>
      <c r="M89" s="7">
        <f>+Données!F89</f>
        <v>0</v>
      </c>
      <c r="N89" s="7">
        <f>+Données!K89</f>
        <v>12553.55</v>
      </c>
      <c r="O89" s="7">
        <f>(Données!L89/Données!Y89)*1</f>
        <v>121378.5</v>
      </c>
      <c r="P89" s="320">
        <f t="shared" si="4"/>
        <v>1109628.05</v>
      </c>
      <c r="Q89" s="160">
        <f>+Données!X89</f>
        <v>57</v>
      </c>
      <c r="R89" s="320">
        <f t="shared" si="5"/>
        <v>19467.158771929826</v>
      </c>
    </row>
    <row r="90" spans="1:18" x14ac:dyDescent="0.25">
      <c r="A90" s="6">
        <f>Données!A90</f>
        <v>5552</v>
      </c>
      <c r="B90" s="26" t="str">
        <f>Données!B90</f>
        <v>Bullet</v>
      </c>
      <c r="C90" s="7">
        <f>Données!C90+Données!D90</f>
        <v>1233334.77</v>
      </c>
      <c r="D90" s="7">
        <f>+Données!G90+Données!H90+Données!S90</f>
        <v>41689.54</v>
      </c>
      <c r="E90" s="7">
        <f>+Données!E90</f>
        <v>0</v>
      </c>
      <c r="F90" s="7">
        <f>+Données!I90</f>
        <v>0</v>
      </c>
      <c r="G90" s="7">
        <f>+Données!J90</f>
        <v>22126.2</v>
      </c>
      <c r="H90" s="7">
        <f>Données!U90</f>
        <v>-3197.03</v>
      </c>
      <c r="I90" s="144">
        <f>Données!V90</f>
        <v>0</v>
      </c>
      <c r="J90" s="144">
        <f>Données!W90</f>
        <v>0</v>
      </c>
      <c r="K90" s="7">
        <f>+Données!Q90</f>
        <v>798.07</v>
      </c>
      <c r="L90" s="320">
        <f t="shared" si="3"/>
        <v>1294751.55</v>
      </c>
      <c r="M90" s="7">
        <f>+Données!F90</f>
        <v>0</v>
      </c>
      <c r="N90" s="7">
        <f>+Données!K90</f>
        <v>6331.1</v>
      </c>
      <c r="O90" s="7">
        <f>(Données!L90/Données!Y90)*1</f>
        <v>144796.15</v>
      </c>
      <c r="P90" s="320">
        <f t="shared" si="4"/>
        <v>1445878.8</v>
      </c>
      <c r="Q90" s="160">
        <f>+Données!X90</f>
        <v>72</v>
      </c>
      <c r="R90" s="320">
        <f t="shared" si="5"/>
        <v>20081.650000000001</v>
      </c>
    </row>
    <row r="91" spans="1:18" x14ac:dyDescent="0.25">
      <c r="A91" s="6">
        <f>Données!A91</f>
        <v>5553</v>
      </c>
      <c r="B91" s="26" t="str">
        <f>Données!B91</f>
        <v>Champagne</v>
      </c>
      <c r="C91" s="7">
        <f>Données!C91+Données!D91</f>
        <v>2037279.67</v>
      </c>
      <c r="D91" s="7">
        <f>+Données!G91+Données!H91+Données!S91</f>
        <v>258112.76</v>
      </c>
      <c r="E91" s="7">
        <f>+Données!E91</f>
        <v>0</v>
      </c>
      <c r="F91" s="7">
        <f>+Données!I91</f>
        <v>0</v>
      </c>
      <c r="G91" s="7">
        <f>+Données!J91</f>
        <v>7509.84</v>
      </c>
      <c r="H91" s="7">
        <f>Données!U91</f>
        <v>-98826.85</v>
      </c>
      <c r="I91" s="144">
        <f>Données!V91</f>
        <v>0</v>
      </c>
      <c r="J91" s="144">
        <f>Données!W91</f>
        <v>-877.4</v>
      </c>
      <c r="K91" s="7">
        <f>+Données!Q91</f>
        <v>832.43</v>
      </c>
      <c r="L91" s="320">
        <f t="shared" si="3"/>
        <v>2204030.4499999997</v>
      </c>
      <c r="M91" s="7">
        <f>+Données!F91</f>
        <v>0</v>
      </c>
      <c r="N91" s="7">
        <f>+Données!K91</f>
        <v>35751.35</v>
      </c>
      <c r="O91" s="7">
        <f>(Données!L91/Données!Y91)*1</f>
        <v>254165.75</v>
      </c>
      <c r="P91" s="320">
        <f t="shared" si="4"/>
        <v>2493947.5499999998</v>
      </c>
      <c r="Q91" s="160">
        <f>+Données!X91</f>
        <v>65</v>
      </c>
      <c r="R91" s="320">
        <f t="shared" si="5"/>
        <v>38368.423846153841</v>
      </c>
    </row>
    <row r="92" spans="1:18" x14ac:dyDescent="0.25">
      <c r="A92" s="6">
        <f>Données!A92</f>
        <v>5554</v>
      </c>
      <c r="B92" s="26" t="str">
        <f>Données!B92</f>
        <v>Concise</v>
      </c>
      <c r="C92" s="7">
        <f>Données!C92+Données!D92</f>
        <v>2149898.59</v>
      </c>
      <c r="D92" s="7">
        <f>+Données!G92+Données!H92+Données!S92</f>
        <v>-9221.1600000000017</v>
      </c>
      <c r="E92" s="7">
        <f>+Données!E92</f>
        <v>0</v>
      </c>
      <c r="F92" s="7">
        <f>+Données!I92</f>
        <v>0</v>
      </c>
      <c r="G92" s="7">
        <f>+Données!J92</f>
        <v>28935.93</v>
      </c>
      <c r="H92" s="7">
        <f>Données!U92</f>
        <v>-30290.69</v>
      </c>
      <c r="I92" s="144">
        <f>Données!V92</f>
        <v>0</v>
      </c>
      <c r="J92" s="144">
        <f>Données!W92</f>
        <v>-983.68</v>
      </c>
      <c r="K92" s="7">
        <f>+Données!Q92</f>
        <v>133.83000000000001</v>
      </c>
      <c r="L92" s="320">
        <f t="shared" si="3"/>
        <v>2138472.8199999998</v>
      </c>
      <c r="M92" s="7">
        <f>+Données!F92</f>
        <v>0</v>
      </c>
      <c r="N92" s="7">
        <f>+Données!K92</f>
        <v>5287.5</v>
      </c>
      <c r="O92" s="7">
        <f>(Données!L92/Données!Y92)*1</f>
        <v>199938.2</v>
      </c>
      <c r="P92" s="320">
        <f t="shared" si="4"/>
        <v>2343698.52</v>
      </c>
      <c r="Q92" s="160">
        <f>+Données!X92</f>
        <v>71</v>
      </c>
      <c r="R92" s="320">
        <f t="shared" si="5"/>
        <v>33009.838309859158</v>
      </c>
    </row>
    <row r="93" spans="1:18" x14ac:dyDescent="0.25">
      <c r="A93" s="6">
        <f>Données!A93</f>
        <v>5555</v>
      </c>
      <c r="B93" s="26" t="str">
        <f>Données!B93</f>
        <v>Corcelles-près-Concise</v>
      </c>
      <c r="C93" s="7">
        <f>Données!C93+Données!D93</f>
        <v>837156.66999999993</v>
      </c>
      <c r="D93" s="7">
        <f>+Données!G93+Données!H93+Données!S93</f>
        <v>19652.53</v>
      </c>
      <c r="E93" s="7">
        <f>+Données!E93</f>
        <v>0</v>
      </c>
      <c r="F93" s="7">
        <f>+Données!I93</f>
        <v>0</v>
      </c>
      <c r="G93" s="7">
        <f>+Données!J93</f>
        <v>6142.48</v>
      </c>
      <c r="H93" s="7">
        <f>Données!U93</f>
        <v>-3227.7</v>
      </c>
      <c r="I93" s="144">
        <f>Données!V93</f>
        <v>0</v>
      </c>
      <c r="J93" s="144">
        <f>Données!W93</f>
        <v>0</v>
      </c>
      <c r="K93" s="7">
        <f>+Données!Q93</f>
        <v>15088.46</v>
      </c>
      <c r="L93" s="320">
        <f t="shared" si="3"/>
        <v>874812.44</v>
      </c>
      <c r="M93" s="7">
        <f>+Données!F93</f>
        <v>0</v>
      </c>
      <c r="N93" s="7">
        <f>+Données!K93</f>
        <v>2283.5</v>
      </c>
      <c r="O93" s="7">
        <f>(Données!L93/Données!Y93)*1</f>
        <v>102012.65</v>
      </c>
      <c r="P93" s="320">
        <f t="shared" si="4"/>
        <v>979108.59</v>
      </c>
      <c r="Q93" s="160">
        <f>+Données!X93</f>
        <v>69</v>
      </c>
      <c r="R93" s="320">
        <f t="shared" si="5"/>
        <v>14189.979565217391</v>
      </c>
    </row>
    <row r="94" spans="1:18" x14ac:dyDescent="0.25">
      <c r="A94" s="6">
        <f>Données!A94</f>
        <v>5556</v>
      </c>
      <c r="B94" s="26" t="str">
        <f>Données!B94</f>
        <v>Fiez</v>
      </c>
      <c r="C94" s="7">
        <f>Données!C94+Données!D94</f>
        <v>817127.11</v>
      </c>
      <c r="D94" s="7">
        <f>+Données!G94+Données!H94+Données!S94</f>
        <v>7878.15</v>
      </c>
      <c r="E94" s="7">
        <f>+Données!E94</f>
        <v>0</v>
      </c>
      <c r="F94" s="7">
        <f>+Données!I94</f>
        <v>0</v>
      </c>
      <c r="G94" s="7">
        <f>+Données!J94</f>
        <v>1837.56</v>
      </c>
      <c r="H94" s="7">
        <f>Données!U94</f>
        <v>-22658.74</v>
      </c>
      <c r="I94" s="144">
        <f>Données!V94</f>
        <v>0</v>
      </c>
      <c r="J94" s="144">
        <f>Données!W94</f>
        <v>0</v>
      </c>
      <c r="K94" s="7">
        <f>+Données!Q94</f>
        <v>0</v>
      </c>
      <c r="L94" s="320">
        <f t="shared" si="3"/>
        <v>804184.08000000007</v>
      </c>
      <c r="M94" s="7">
        <f>+Données!F94</f>
        <v>2580</v>
      </c>
      <c r="N94" s="7">
        <f>+Données!K94</f>
        <v>132.15</v>
      </c>
      <c r="O94" s="7">
        <f>(Données!L94/Données!Y94)*1</f>
        <v>77087.100000000006</v>
      </c>
      <c r="P94" s="320">
        <f t="shared" si="4"/>
        <v>883983.33000000007</v>
      </c>
      <c r="Q94" s="160">
        <f>+Données!X94</f>
        <v>69</v>
      </c>
      <c r="R94" s="320">
        <f t="shared" si="5"/>
        <v>12811.352608695654</v>
      </c>
    </row>
    <row r="95" spans="1:18" x14ac:dyDescent="0.25">
      <c r="A95" s="6">
        <f>Données!A95</f>
        <v>5557</v>
      </c>
      <c r="B95" s="26" t="str">
        <f>Données!B95</f>
        <v>Fontaines-sur-Grandson</v>
      </c>
      <c r="C95" s="7">
        <f>Données!C95+Données!D95</f>
        <v>317529.08</v>
      </c>
      <c r="D95" s="7">
        <f>+Données!G95+Données!H95+Données!S95</f>
        <v>5484.72</v>
      </c>
      <c r="E95" s="7">
        <f>+Données!E95</f>
        <v>0</v>
      </c>
      <c r="F95" s="7">
        <f>+Données!I95</f>
        <v>0</v>
      </c>
      <c r="G95" s="7">
        <f>+Données!J95</f>
        <v>1658.57</v>
      </c>
      <c r="H95" s="7">
        <f>Données!U95</f>
        <v>-8954.31</v>
      </c>
      <c r="I95" s="144">
        <f>Données!V95</f>
        <v>0</v>
      </c>
      <c r="J95" s="144">
        <f>Données!W95</f>
        <v>0</v>
      </c>
      <c r="K95" s="7">
        <f>+Données!Q95</f>
        <v>1041.33</v>
      </c>
      <c r="L95" s="320">
        <f t="shared" si="3"/>
        <v>316759.39</v>
      </c>
      <c r="M95" s="7">
        <f>+Données!F95</f>
        <v>1002.45</v>
      </c>
      <c r="N95" s="7">
        <f>+Données!K95</f>
        <v>847.95</v>
      </c>
      <c r="O95" s="7">
        <f>(Données!L95/Données!Y95)*1</f>
        <v>37721.1</v>
      </c>
      <c r="P95" s="320">
        <f t="shared" si="4"/>
        <v>356330.89</v>
      </c>
      <c r="Q95" s="160">
        <f>+Données!X95</f>
        <v>69</v>
      </c>
      <c r="R95" s="320">
        <f t="shared" si="5"/>
        <v>5164.2157971014494</v>
      </c>
    </row>
    <row r="96" spans="1:18" x14ac:dyDescent="0.25">
      <c r="A96" s="6">
        <f>Données!A96</f>
        <v>5559</v>
      </c>
      <c r="B96" s="26" t="str">
        <f>Données!B96</f>
        <v>Giez</v>
      </c>
      <c r="C96" s="7">
        <f>Données!C96+Données!D96</f>
        <v>1181328.54</v>
      </c>
      <c r="D96" s="7">
        <f>+Données!G96+Données!H96+Données!S96</f>
        <v>303564.74</v>
      </c>
      <c r="E96" s="7">
        <f>+Données!E96</f>
        <v>0</v>
      </c>
      <c r="F96" s="7">
        <f>+Données!I96</f>
        <v>0</v>
      </c>
      <c r="G96" s="7">
        <f>+Données!J96</f>
        <v>2382.98</v>
      </c>
      <c r="H96" s="7">
        <f>Données!U96</f>
        <v>-8881.1299999999992</v>
      </c>
      <c r="I96" s="144">
        <f>Données!V96</f>
        <v>0</v>
      </c>
      <c r="J96" s="144">
        <f>Données!W96</f>
        <v>-333.2</v>
      </c>
      <c r="K96" s="7">
        <f>+Données!Q96</f>
        <v>671.92</v>
      </c>
      <c r="L96" s="320">
        <f t="shared" si="3"/>
        <v>1478733.85</v>
      </c>
      <c r="M96" s="7">
        <f>+Données!F96</f>
        <v>0</v>
      </c>
      <c r="N96" s="7">
        <f>+Données!K96</f>
        <v>4391</v>
      </c>
      <c r="O96" s="7">
        <f>(Données!L96/Données!Y96)*1</f>
        <v>99456.9</v>
      </c>
      <c r="P96" s="320">
        <f t="shared" si="4"/>
        <v>1582581.75</v>
      </c>
      <c r="Q96" s="160">
        <f>+Données!X96</f>
        <v>68</v>
      </c>
      <c r="R96" s="320">
        <f t="shared" si="5"/>
        <v>23273.261029411766</v>
      </c>
    </row>
    <row r="97" spans="1:18" x14ac:dyDescent="0.25">
      <c r="A97" s="6">
        <f>Données!A97</f>
        <v>5560</v>
      </c>
      <c r="B97" s="26" t="str">
        <f>Données!B97</f>
        <v>Grandevent</v>
      </c>
      <c r="C97" s="7">
        <f>Données!C97+Données!D97</f>
        <v>510098.09</v>
      </c>
      <c r="D97" s="7">
        <f>+Données!G97+Données!H97+Données!S97</f>
        <v>1931.82</v>
      </c>
      <c r="E97" s="7">
        <f>+Données!E97</f>
        <v>0</v>
      </c>
      <c r="F97" s="7">
        <f>+Données!I97</f>
        <v>0</v>
      </c>
      <c r="G97" s="7">
        <f>+Données!J97</f>
        <v>6989.96</v>
      </c>
      <c r="H97" s="7">
        <f>Données!U97</f>
        <v>-5451.92</v>
      </c>
      <c r="I97" s="144">
        <f>Données!V97</f>
        <v>0</v>
      </c>
      <c r="J97" s="144">
        <f>Données!W97</f>
        <v>0</v>
      </c>
      <c r="K97" s="7">
        <f>+Données!Q97</f>
        <v>0</v>
      </c>
      <c r="L97" s="320">
        <f t="shared" si="3"/>
        <v>513567.95000000007</v>
      </c>
      <c r="M97" s="7">
        <f>+Données!F97</f>
        <v>0</v>
      </c>
      <c r="N97" s="7">
        <f>+Données!K97</f>
        <v>0</v>
      </c>
      <c r="O97" s="7">
        <f>(Données!L97/Données!Y97)*1</f>
        <v>47581.9</v>
      </c>
      <c r="P97" s="320">
        <f t="shared" si="4"/>
        <v>561149.85000000009</v>
      </c>
      <c r="Q97" s="160">
        <f>+Données!X97</f>
        <v>70</v>
      </c>
      <c r="R97" s="320">
        <f t="shared" si="5"/>
        <v>8016.4264285714298</v>
      </c>
    </row>
    <row r="98" spans="1:18" x14ac:dyDescent="0.25">
      <c r="A98" s="6">
        <f>Données!A98</f>
        <v>5561</v>
      </c>
      <c r="B98" s="26" t="str">
        <f>Données!B98</f>
        <v>Grandson</v>
      </c>
      <c r="C98" s="7">
        <f>Données!C98+Données!D98</f>
        <v>7602998.6299999999</v>
      </c>
      <c r="D98" s="7">
        <f>+Données!G98+Données!H98+Données!S98</f>
        <v>254858.43</v>
      </c>
      <c r="E98" s="7">
        <f>+Données!E98</f>
        <v>0</v>
      </c>
      <c r="F98" s="7">
        <f>+Données!I98</f>
        <v>0</v>
      </c>
      <c r="G98" s="7">
        <f>+Données!J98</f>
        <v>120277.04</v>
      </c>
      <c r="H98" s="7">
        <f>Données!U98</f>
        <v>-91878.85</v>
      </c>
      <c r="I98" s="144">
        <f>Données!V98</f>
        <v>0</v>
      </c>
      <c r="J98" s="144">
        <f>Données!W98</f>
        <v>-1654.35</v>
      </c>
      <c r="K98" s="7">
        <f>+Données!Q98</f>
        <v>20701.96</v>
      </c>
      <c r="L98" s="320">
        <f t="shared" si="3"/>
        <v>7905302.8600000003</v>
      </c>
      <c r="M98" s="7">
        <f>+Données!F98</f>
        <v>0</v>
      </c>
      <c r="N98" s="7">
        <f>+Données!K98</f>
        <v>63902.35</v>
      </c>
      <c r="O98" s="7">
        <f>(Données!L98/Données!Y98)*1</f>
        <v>705570.05</v>
      </c>
      <c r="P98" s="320">
        <f t="shared" si="4"/>
        <v>8674775.2599999998</v>
      </c>
      <c r="Q98" s="160">
        <f>+Données!X98</f>
        <v>69</v>
      </c>
      <c r="R98" s="320">
        <f t="shared" si="5"/>
        <v>125721.38057971014</v>
      </c>
    </row>
    <row r="99" spans="1:18" x14ac:dyDescent="0.25">
      <c r="A99" s="6">
        <f>Données!A99</f>
        <v>5562</v>
      </c>
      <c r="B99" s="26" t="str">
        <f>Données!B99</f>
        <v>Mauborget</v>
      </c>
      <c r="C99" s="7">
        <f>Données!C99+Données!D99</f>
        <v>273133.70999999996</v>
      </c>
      <c r="D99" s="7">
        <f>+Données!G99+Données!H99+Données!S99</f>
        <v>812.07</v>
      </c>
      <c r="E99" s="7">
        <f>+Données!E99</f>
        <v>0</v>
      </c>
      <c r="F99" s="7">
        <f>+Données!I99</f>
        <v>0</v>
      </c>
      <c r="G99" s="7">
        <f>+Données!J99</f>
        <v>10728.68</v>
      </c>
      <c r="H99" s="7">
        <f>Données!U99</f>
        <v>-10541.68</v>
      </c>
      <c r="I99" s="144">
        <f>Données!V99</f>
        <v>0</v>
      </c>
      <c r="J99" s="144">
        <f>Données!W99</f>
        <v>0</v>
      </c>
      <c r="K99" s="7">
        <f>+Données!Q99</f>
        <v>10813.52</v>
      </c>
      <c r="L99" s="320">
        <f t="shared" si="3"/>
        <v>284946.3</v>
      </c>
      <c r="M99" s="7">
        <f>+Données!F99</f>
        <v>870</v>
      </c>
      <c r="N99" s="7">
        <f>+Données!K99</f>
        <v>-104.5</v>
      </c>
      <c r="O99" s="7">
        <f>(Données!L99/Données!Y99)*1</f>
        <v>33075.708333333336</v>
      </c>
      <c r="P99" s="320">
        <f t="shared" si="4"/>
        <v>318787.5083333333</v>
      </c>
      <c r="Q99" s="160">
        <f>+Données!X99</f>
        <v>70</v>
      </c>
      <c r="R99" s="320">
        <f t="shared" si="5"/>
        <v>4554.1072619047618</v>
      </c>
    </row>
    <row r="100" spans="1:18" x14ac:dyDescent="0.25">
      <c r="A100" s="6">
        <f>Données!A100</f>
        <v>5563</v>
      </c>
      <c r="B100" s="26" t="str">
        <f>Données!B100</f>
        <v>Mutrux</v>
      </c>
      <c r="C100" s="7">
        <f>Données!C100+Données!D100</f>
        <v>291722.22000000003</v>
      </c>
      <c r="D100" s="7">
        <f>+Données!G100+Données!H100+Données!S100</f>
        <v>-186.89000000000001</v>
      </c>
      <c r="E100" s="7">
        <f>+Données!E100</f>
        <v>0</v>
      </c>
      <c r="F100" s="7">
        <f>+Données!I100</f>
        <v>0</v>
      </c>
      <c r="G100" s="7">
        <f>+Données!J100</f>
        <v>7066.88</v>
      </c>
      <c r="H100" s="7">
        <f>Données!U100</f>
        <v>-173</v>
      </c>
      <c r="I100" s="144">
        <f>Données!V100</f>
        <v>0</v>
      </c>
      <c r="J100" s="144">
        <f>Données!W100</f>
        <v>0</v>
      </c>
      <c r="K100" s="7">
        <f>+Données!Q100</f>
        <v>0</v>
      </c>
      <c r="L100" s="320">
        <f t="shared" si="3"/>
        <v>298429.21000000002</v>
      </c>
      <c r="M100" s="7">
        <f>+Données!F100</f>
        <v>522</v>
      </c>
      <c r="N100" s="7">
        <f>+Données!K100</f>
        <v>0</v>
      </c>
      <c r="O100" s="7">
        <f>(Données!L100/Données!Y100)*1</f>
        <v>23396.3</v>
      </c>
      <c r="P100" s="320">
        <f t="shared" si="4"/>
        <v>322347.51</v>
      </c>
      <c r="Q100" s="160">
        <f>+Données!X100</f>
        <v>80</v>
      </c>
      <c r="R100" s="320">
        <f t="shared" si="5"/>
        <v>4029.343875</v>
      </c>
    </row>
    <row r="101" spans="1:18" x14ac:dyDescent="0.25">
      <c r="A101" s="6">
        <f>Données!A101</f>
        <v>5564</v>
      </c>
      <c r="B101" s="26" t="str">
        <f>Données!B101</f>
        <v>Novalles</v>
      </c>
      <c r="C101" s="7">
        <f>Données!C101+Données!D101</f>
        <v>173152.59</v>
      </c>
      <c r="D101" s="7">
        <f>+Données!G101+Données!H101+Données!S101</f>
        <v>59.349999999999994</v>
      </c>
      <c r="E101" s="7">
        <f>+Données!E101</f>
        <v>0</v>
      </c>
      <c r="F101" s="7">
        <f>+Données!I101</f>
        <v>0</v>
      </c>
      <c r="G101" s="7">
        <f>+Données!J101</f>
        <v>0</v>
      </c>
      <c r="H101" s="7">
        <f>Données!U101</f>
        <v>-1158.83</v>
      </c>
      <c r="I101" s="144">
        <f>Données!V101</f>
        <v>0</v>
      </c>
      <c r="J101" s="144">
        <f>Données!W101</f>
        <v>0</v>
      </c>
      <c r="K101" s="7">
        <f>+Données!Q101</f>
        <v>0</v>
      </c>
      <c r="L101" s="320">
        <f t="shared" si="3"/>
        <v>172053.11000000002</v>
      </c>
      <c r="M101" s="7">
        <f>+Données!F101</f>
        <v>0</v>
      </c>
      <c r="N101" s="7">
        <f>+Données!K101</f>
        <v>0</v>
      </c>
      <c r="O101" s="7">
        <f>(Données!L101/Données!Y101)*1</f>
        <v>15235.062499999998</v>
      </c>
      <c r="P101" s="320">
        <f t="shared" si="4"/>
        <v>187288.17250000002</v>
      </c>
      <c r="Q101" s="160">
        <f>+Données!X101</f>
        <v>76</v>
      </c>
      <c r="R101" s="320">
        <f t="shared" si="5"/>
        <v>2464.3180592105264</v>
      </c>
    </row>
    <row r="102" spans="1:18" x14ac:dyDescent="0.25">
      <c r="A102" s="6">
        <f>Données!A102</f>
        <v>5565</v>
      </c>
      <c r="B102" s="26" t="str">
        <f>Données!B102</f>
        <v>Onnens</v>
      </c>
      <c r="C102" s="7">
        <f>Données!C102+Données!D102</f>
        <v>1039828.3200000001</v>
      </c>
      <c r="D102" s="7">
        <f>+Données!G102+Données!H102+Données!S102</f>
        <v>86572.569999999992</v>
      </c>
      <c r="E102" s="7">
        <f>+Données!E102</f>
        <v>0</v>
      </c>
      <c r="F102" s="7">
        <f>+Données!I102</f>
        <v>0</v>
      </c>
      <c r="G102" s="7">
        <f>+Données!J102</f>
        <v>4717.21</v>
      </c>
      <c r="H102" s="7">
        <f>Données!U102</f>
        <v>-8089.7</v>
      </c>
      <c r="I102" s="144">
        <f>Données!V102</f>
        <v>0</v>
      </c>
      <c r="J102" s="144">
        <f>Données!W102</f>
        <v>-261.02999999999997</v>
      </c>
      <c r="K102" s="7">
        <f>+Données!Q102</f>
        <v>0</v>
      </c>
      <c r="L102" s="320">
        <f t="shared" si="3"/>
        <v>1122767.3700000001</v>
      </c>
      <c r="M102" s="7">
        <f>+Données!F102</f>
        <v>0</v>
      </c>
      <c r="N102" s="7">
        <f>+Données!K102</f>
        <v>23875.35</v>
      </c>
      <c r="O102" s="7">
        <f>(Données!L102/Données!Y102)*1</f>
        <v>135301.95000000001</v>
      </c>
      <c r="P102" s="320">
        <f t="shared" si="4"/>
        <v>1281944.6700000002</v>
      </c>
      <c r="Q102" s="160">
        <f>+Données!X102</f>
        <v>63.5</v>
      </c>
      <c r="R102" s="320">
        <f t="shared" si="5"/>
        <v>20188.105039370083</v>
      </c>
    </row>
    <row r="103" spans="1:18" x14ac:dyDescent="0.25">
      <c r="A103" s="6">
        <f>Données!A103</f>
        <v>5566</v>
      </c>
      <c r="B103" s="26" t="str">
        <f>Données!B103</f>
        <v>Provence</v>
      </c>
      <c r="C103" s="7">
        <f>Données!C103+Données!D103</f>
        <v>830253.56</v>
      </c>
      <c r="D103" s="7">
        <f>+Données!G103+Données!H103+Données!S103</f>
        <v>4300.8999999999996</v>
      </c>
      <c r="E103" s="7">
        <f>+Données!E103</f>
        <v>0</v>
      </c>
      <c r="F103" s="7">
        <f>+Données!I103</f>
        <v>0</v>
      </c>
      <c r="G103" s="7">
        <f>+Données!J103</f>
        <v>13401.13</v>
      </c>
      <c r="H103" s="7">
        <f>Données!U103</f>
        <v>-2241.89</v>
      </c>
      <c r="I103" s="144">
        <f>Données!V103</f>
        <v>0</v>
      </c>
      <c r="J103" s="144">
        <f>Données!W103</f>
        <v>0</v>
      </c>
      <c r="K103" s="7">
        <f>+Données!Q103</f>
        <v>1543.08</v>
      </c>
      <c r="L103" s="320">
        <f t="shared" si="3"/>
        <v>847256.78</v>
      </c>
      <c r="M103" s="7">
        <f>+Données!F103</f>
        <v>2680</v>
      </c>
      <c r="N103" s="7">
        <f>+Données!K103</f>
        <v>2760.45</v>
      </c>
      <c r="O103" s="7">
        <f>(Données!L103/Données!Y103)*1</f>
        <v>67042.666666666672</v>
      </c>
      <c r="P103" s="320">
        <f t="shared" si="4"/>
        <v>919739.89666666661</v>
      </c>
      <c r="Q103" s="160">
        <f>+Données!X103</f>
        <v>81</v>
      </c>
      <c r="R103" s="320">
        <f t="shared" si="5"/>
        <v>11354.81353909465</v>
      </c>
    </row>
    <row r="104" spans="1:18" x14ac:dyDescent="0.25">
      <c r="A104" s="6">
        <f>Données!A104</f>
        <v>5568</v>
      </c>
      <c r="B104" s="26" t="str">
        <f>Données!B104</f>
        <v>Sainte-Croix</v>
      </c>
      <c r="C104" s="7">
        <f>Données!C104+Données!D104</f>
        <v>6819648.7599999998</v>
      </c>
      <c r="D104" s="7">
        <f>+Données!G104+Données!H104+Données!S104</f>
        <v>487803.17000000004</v>
      </c>
      <c r="E104" s="7">
        <f>+Données!E104</f>
        <v>0</v>
      </c>
      <c r="F104" s="7">
        <f>+Données!I104</f>
        <v>0</v>
      </c>
      <c r="G104" s="7">
        <f>+Données!J104</f>
        <v>165964.81</v>
      </c>
      <c r="H104" s="7">
        <f>Données!U104</f>
        <v>-242614.02</v>
      </c>
      <c r="I104" s="144">
        <f>Données!V104</f>
        <v>0</v>
      </c>
      <c r="J104" s="144">
        <f>Données!W104</f>
        <v>-365.5</v>
      </c>
      <c r="K104" s="7">
        <f>+Données!Q104</f>
        <v>30651.95</v>
      </c>
      <c r="L104" s="320">
        <f t="shared" si="3"/>
        <v>7261089.1699999999</v>
      </c>
      <c r="M104" s="7">
        <f>+Données!F104</f>
        <v>0</v>
      </c>
      <c r="N104" s="7">
        <f>+Données!K104</f>
        <v>52209.4</v>
      </c>
      <c r="O104" s="7">
        <f>(Données!L104/Données!Y104)*1</f>
        <v>706695.25</v>
      </c>
      <c r="P104" s="320">
        <f t="shared" si="4"/>
        <v>8019993.8200000003</v>
      </c>
      <c r="Q104" s="160">
        <f>+Données!X104</f>
        <v>70</v>
      </c>
      <c r="R104" s="320">
        <f t="shared" si="5"/>
        <v>114571.34028571429</v>
      </c>
    </row>
    <row r="105" spans="1:18" x14ac:dyDescent="0.25">
      <c r="A105" s="6">
        <f>Données!A105</f>
        <v>5571</v>
      </c>
      <c r="B105" s="26" t="str">
        <f>Données!B105</f>
        <v>Tévenon</v>
      </c>
      <c r="C105" s="7">
        <f>Données!C105+Données!D105</f>
        <v>1657110.1199999999</v>
      </c>
      <c r="D105" s="7">
        <f>+Données!G105+Données!H105+Données!S105</f>
        <v>20748.580000000002</v>
      </c>
      <c r="E105" s="7">
        <f>+Données!E105</f>
        <v>0</v>
      </c>
      <c r="F105" s="7">
        <f>+Données!I105</f>
        <v>0</v>
      </c>
      <c r="G105" s="7">
        <f>+Données!J105</f>
        <v>17484.810000000001</v>
      </c>
      <c r="H105" s="7">
        <f>Données!U105</f>
        <v>-8926.3700000000008</v>
      </c>
      <c r="I105" s="144">
        <f>Données!V105</f>
        <v>0</v>
      </c>
      <c r="J105" s="144">
        <f>Données!W105</f>
        <v>-71.55</v>
      </c>
      <c r="K105" s="7">
        <f>+Données!Q105</f>
        <v>0</v>
      </c>
      <c r="L105" s="320">
        <f t="shared" si="3"/>
        <v>1686345.5899999999</v>
      </c>
      <c r="M105" s="7">
        <f>+Données!F105</f>
        <v>0</v>
      </c>
      <c r="N105" s="7">
        <f>+Données!K105</f>
        <v>9181</v>
      </c>
      <c r="O105" s="7">
        <f>(Données!L105/Données!Y105)*1</f>
        <v>173879.83333333334</v>
      </c>
      <c r="P105" s="320">
        <f t="shared" si="4"/>
        <v>1869406.4233333331</v>
      </c>
      <c r="Q105" s="160">
        <f>+Données!X105</f>
        <v>71.5</v>
      </c>
      <c r="R105" s="320">
        <f t="shared" si="5"/>
        <v>26145.544382284381</v>
      </c>
    </row>
    <row r="106" spans="1:18" x14ac:dyDescent="0.25">
      <c r="A106" s="6">
        <f>Données!A106</f>
        <v>5581</v>
      </c>
      <c r="B106" s="26" t="str">
        <f>Données!B106</f>
        <v>Belmont-sur-Lausanne</v>
      </c>
      <c r="C106" s="7">
        <f>Données!C106+Données!D106</f>
        <v>16048974.850000001</v>
      </c>
      <c r="D106" s="7">
        <f>+Données!G106+Données!H106+Données!S106</f>
        <v>614232.09</v>
      </c>
      <c r="E106" s="7">
        <f>+Données!E106</f>
        <v>0</v>
      </c>
      <c r="F106" s="7">
        <f>+Données!I106</f>
        <v>42869.73</v>
      </c>
      <c r="G106" s="7">
        <f>+Données!J106</f>
        <v>117418.2</v>
      </c>
      <c r="H106" s="7">
        <f>Données!U106</f>
        <v>-227217.26</v>
      </c>
      <c r="I106" s="144">
        <f>Données!V106</f>
        <v>0</v>
      </c>
      <c r="J106" s="144">
        <f>Données!W106</f>
        <v>-14712.79</v>
      </c>
      <c r="K106" s="7">
        <f>+Données!Q106</f>
        <v>86625.919999999998</v>
      </c>
      <c r="L106" s="320">
        <f t="shared" si="3"/>
        <v>16668190.740000002</v>
      </c>
      <c r="M106" s="7">
        <f>+Données!F106</f>
        <v>0</v>
      </c>
      <c r="N106" s="7">
        <f>+Données!K106</f>
        <v>52887</v>
      </c>
      <c r="O106" s="7">
        <f>(Données!L106/Données!Y106)*1</f>
        <v>1057911.3</v>
      </c>
      <c r="P106" s="320">
        <f t="shared" si="4"/>
        <v>17778989.040000003</v>
      </c>
      <c r="Q106" s="160">
        <f>+Données!X106</f>
        <v>72</v>
      </c>
      <c r="R106" s="320">
        <f t="shared" si="5"/>
        <v>246930.40333333338</v>
      </c>
    </row>
    <row r="107" spans="1:18" x14ac:dyDescent="0.25">
      <c r="A107" s="6">
        <f>Données!A107</f>
        <v>5582</v>
      </c>
      <c r="B107" s="26" t="str">
        <f>Données!B107</f>
        <v>Cheseaux-sur-Lausanne</v>
      </c>
      <c r="C107" s="7">
        <f>Données!C107+Données!D107</f>
        <v>10965016.48</v>
      </c>
      <c r="D107" s="7">
        <f>+Données!G107+Données!H107+Données!S107</f>
        <v>807705.34000000008</v>
      </c>
      <c r="E107" s="7">
        <f>+Données!E107</f>
        <v>0</v>
      </c>
      <c r="F107" s="7">
        <f>+Données!I107</f>
        <v>0</v>
      </c>
      <c r="G107" s="7">
        <f>+Données!J107</f>
        <v>310854.2</v>
      </c>
      <c r="H107" s="7">
        <f>Données!U107</f>
        <v>-135362.1</v>
      </c>
      <c r="I107" s="144">
        <f>Données!V107</f>
        <v>0</v>
      </c>
      <c r="J107" s="144">
        <f>Données!W107</f>
        <v>-7060.05</v>
      </c>
      <c r="K107" s="7">
        <f>+Données!Q107</f>
        <v>7361.89</v>
      </c>
      <c r="L107" s="320">
        <f t="shared" si="3"/>
        <v>11948515.76</v>
      </c>
      <c r="M107" s="7">
        <f>+Données!F107</f>
        <v>0</v>
      </c>
      <c r="N107" s="7">
        <f>+Données!K107</f>
        <v>123981.75</v>
      </c>
      <c r="O107" s="7">
        <f>(Données!L107/Données!Y107)*1</f>
        <v>1036909.9</v>
      </c>
      <c r="P107" s="320">
        <f t="shared" si="4"/>
        <v>13109407.41</v>
      </c>
      <c r="Q107" s="160">
        <f>+Données!X107</f>
        <v>73</v>
      </c>
      <c r="R107" s="320">
        <f t="shared" si="5"/>
        <v>179580.92342465755</v>
      </c>
    </row>
    <row r="108" spans="1:18" x14ac:dyDescent="0.25">
      <c r="A108" s="6">
        <f>Données!A108</f>
        <v>5583</v>
      </c>
      <c r="B108" s="26" t="str">
        <f>Données!B108</f>
        <v>Crissier</v>
      </c>
      <c r="C108" s="7">
        <f>Données!C108+Données!D108</f>
        <v>16402153.790000001</v>
      </c>
      <c r="D108" s="7">
        <f>+Données!G108+Données!H108+Données!S108</f>
        <v>7534093.7799999993</v>
      </c>
      <c r="E108" s="7">
        <f>+Données!E108</f>
        <v>0</v>
      </c>
      <c r="F108" s="7">
        <f>+Données!I108</f>
        <v>0</v>
      </c>
      <c r="G108" s="7">
        <f>+Données!J108</f>
        <v>1556964.22</v>
      </c>
      <c r="H108" s="7">
        <f>Données!U108</f>
        <v>-375310.17</v>
      </c>
      <c r="I108" s="144">
        <f>Données!V108</f>
        <v>0</v>
      </c>
      <c r="J108" s="144">
        <f>Données!W108</f>
        <v>-5517.98</v>
      </c>
      <c r="K108" s="7">
        <f>+Données!Q108</f>
        <v>222234.34</v>
      </c>
      <c r="L108" s="320">
        <f t="shared" si="3"/>
        <v>25334617.979999997</v>
      </c>
      <c r="M108" s="7">
        <f>+Données!F108</f>
        <v>0</v>
      </c>
      <c r="N108" s="7">
        <f>+Données!K108</f>
        <v>599154</v>
      </c>
      <c r="O108" s="7">
        <f>(Données!L108/Données!Y108)*1</f>
        <v>3044225.9</v>
      </c>
      <c r="P108" s="320">
        <f t="shared" si="4"/>
        <v>28977997.879999995</v>
      </c>
      <c r="Q108" s="160">
        <f>+Données!X108</f>
        <v>63.5</v>
      </c>
      <c r="R108" s="320">
        <f t="shared" si="5"/>
        <v>456346.42330708652</v>
      </c>
    </row>
    <row r="109" spans="1:18" x14ac:dyDescent="0.25">
      <c r="A109" s="6">
        <f>Données!A109</f>
        <v>5584</v>
      </c>
      <c r="B109" s="26" t="str">
        <f>Données!B109</f>
        <v>Epalinges</v>
      </c>
      <c r="C109" s="7">
        <f>Données!C109+Données!D109</f>
        <v>29534522.52</v>
      </c>
      <c r="D109" s="7">
        <f>+Données!G109+Données!H109+Données!S109</f>
        <v>919392.87000000011</v>
      </c>
      <c r="E109" s="7">
        <f>+Données!E109</f>
        <v>0</v>
      </c>
      <c r="F109" s="7">
        <f>+Données!I109</f>
        <v>433651.65</v>
      </c>
      <c r="G109" s="7">
        <f>+Données!J109</f>
        <v>503221.37</v>
      </c>
      <c r="H109" s="7">
        <f>Données!U109</f>
        <v>-196707.33</v>
      </c>
      <c r="I109" s="144">
        <f>Données!V109</f>
        <v>0</v>
      </c>
      <c r="J109" s="144">
        <f>Données!W109</f>
        <v>-291699.46999999997</v>
      </c>
      <c r="K109" s="7">
        <f>+Données!Q109</f>
        <v>103047.62</v>
      </c>
      <c r="L109" s="320">
        <f t="shared" si="3"/>
        <v>31005429.230000004</v>
      </c>
      <c r="M109" s="7">
        <f>+Données!F109</f>
        <v>0</v>
      </c>
      <c r="N109" s="7">
        <f>+Données!K109</f>
        <v>331856.09999999998</v>
      </c>
      <c r="O109" s="7">
        <f>(Données!L109/Données!Y109)*1</f>
        <v>2698147.3</v>
      </c>
      <c r="P109" s="320">
        <f t="shared" si="4"/>
        <v>34035432.630000003</v>
      </c>
      <c r="Q109" s="160">
        <f>+Données!X109</f>
        <v>64.5</v>
      </c>
      <c r="R109" s="320">
        <f t="shared" si="5"/>
        <v>527681.12604651169</v>
      </c>
    </row>
    <row r="110" spans="1:18" x14ac:dyDescent="0.25">
      <c r="A110" s="6">
        <f>Données!A110</f>
        <v>5585</v>
      </c>
      <c r="B110" s="26" t="str">
        <f>Données!B110</f>
        <v>Jouxtens-Mézery</v>
      </c>
      <c r="C110" s="7">
        <f>Données!C110+Données!D110</f>
        <v>10791481.609999999</v>
      </c>
      <c r="D110" s="7">
        <f>+Données!G110+Données!H110+Données!S110</f>
        <v>67061.239999999991</v>
      </c>
      <c r="E110" s="7">
        <f>+Données!E110</f>
        <v>0</v>
      </c>
      <c r="F110" s="7">
        <f>+Données!I110</f>
        <v>750925.89</v>
      </c>
      <c r="G110" s="7">
        <f>+Données!J110</f>
        <v>38020.800000000003</v>
      </c>
      <c r="H110" s="7">
        <f>Données!U110</f>
        <v>-241199.24</v>
      </c>
      <c r="I110" s="144">
        <f>Données!V110</f>
        <v>0</v>
      </c>
      <c r="J110" s="144">
        <f>Données!W110</f>
        <v>-19646.27</v>
      </c>
      <c r="K110" s="7">
        <f>+Données!Q110</f>
        <v>228603.78</v>
      </c>
      <c r="L110" s="320">
        <f t="shared" si="3"/>
        <v>11615247.810000001</v>
      </c>
      <c r="M110" s="7">
        <f>+Données!F110</f>
        <v>0</v>
      </c>
      <c r="N110" s="7">
        <f>+Données!K110</f>
        <v>12786</v>
      </c>
      <c r="O110" s="7">
        <f>(Données!L110/Données!Y110)*1</f>
        <v>634503.43333333335</v>
      </c>
      <c r="P110" s="320">
        <f t="shared" si="4"/>
        <v>12262537.243333334</v>
      </c>
      <c r="Q110" s="160">
        <f>+Données!X110</f>
        <v>59</v>
      </c>
      <c r="R110" s="320">
        <f t="shared" si="5"/>
        <v>207839.61429378533</v>
      </c>
    </row>
    <row r="111" spans="1:18" x14ac:dyDescent="0.25">
      <c r="A111" s="6">
        <f>Données!A111</f>
        <v>5586</v>
      </c>
      <c r="B111" s="26" t="str">
        <f>Données!B111</f>
        <v>Lausanne</v>
      </c>
      <c r="C111" s="7">
        <f>Données!C111+Données!D111</f>
        <v>372138128.02999997</v>
      </c>
      <c r="D111" s="7">
        <f>+Données!G111+Données!H111+Données!S111</f>
        <v>118931435.66999999</v>
      </c>
      <c r="E111" s="7">
        <f>+Données!E111</f>
        <v>0</v>
      </c>
      <c r="F111" s="7">
        <f>+Données!I111</f>
        <v>5260439.42</v>
      </c>
      <c r="G111" s="7">
        <f>+Données!J111</f>
        <v>25515335.539999999</v>
      </c>
      <c r="H111" s="7">
        <f>Données!U111</f>
        <v>-7675123.0899999999</v>
      </c>
      <c r="I111" s="144">
        <f>Données!V111</f>
        <v>0</v>
      </c>
      <c r="J111" s="144">
        <f>Données!W111</f>
        <v>-2669875.0699999998</v>
      </c>
      <c r="K111" s="7">
        <f>+Données!Q111</f>
        <v>1564389.62</v>
      </c>
      <c r="L111" s="320">
        <f t="shared" si="3"/>
        <v>513064730.12</v>
      </c>
      <c r="M111" s="7">
        <f>+Données!F111</f>
        <v>0</v>
      </c>
      <c r="N111" s="7">
        <f>+Données!K111</f>
        <v>6859959.75</v>
      </c>
      <c r="O111" s="7">
        <f>(Données!L111/Données!Y111)*1</f>
        <v>31690670.666666668</v>
      </c>
      <c r="P111" s="320">
        <f t="shared" si="4"/>
        <v>551615360.53666663</v>
      </c>
      <c r="Q111" s="160">
        <f>+Données!X111</f>
        <v>78.5</v>
      </c>
      <c r="R111" s="320">
        <f t="shared" si="5"/>
        <v>7026947.2679830147</v>
      </c>
    </row>
    <row r="112" spans="1:18" x14ac:dyDescent="0.25">
      <c r="A112" s="6">
        <f>Données!A112</f>
        <v>5587</v>
      </c>
      <c r="B112" s="26" t="str">
        <f>Données!B112</f>
        <v>Le Mont-sur-Lausanne</v>
      </c>
      <c r="C112" s="7">
        <f>Données!C112+Données!D112</f>
        <v>30486998.549999997</v>
      </c>
      <c r="D112" s="7">
        <f>+Données!G112+Données!H112+Données!S112</f>
        <v>3389944.83</v>
      </c>
      <c r="E112" s="7">
        <f>+Données!E112</f>
        <v>0</v>
      </c>
      <c r="F112" s="7">
        <f>+Données!I112</f>
        <v>106783.4</v>
      </c>
      <c r="G112" s="7">
        <f>+Données!J112</f>
        <v>470017.82</v>
      </c>
      <c r="H112" s="7">
        <f>Données!U112</f>
        <v>-559042.57999999996</v>
      </c>
      <c r="I112" s="144">
        <f>Données!V112</f>
        <v>0</v>
      </c>
      <c r="J112" s="144">
        <f>Données!W112</f>
        <v>-33024.68</v>
      </c>
      <c r="K112" s="7">
        <f>+Données!Q112</f>
        <v>40093.53</v>
      </c>
      <c r="L112" s="320">
        <f t="shared" si="3"/>
        <v>33901770.869999997</v>
      </c>
      <c r="M112" s="7">
        <f>+Données!F112</f>
        <v>0</v>
      </c>
      <c r="N112" s="7">
        <f>+Données!K112</f>
        <v>354873.9</v>
      </c>
      <c r="O112" s="7">
        <f>(Données!L112/Données!Y112)*1</f>
        <v>2832221.416666667</v>
      </c>
      <c r="P112" s="320">
        <f t="shared" si="4"/>
        <v>37088866.18666666</v>
      </c>
      <c r="Q112" s="160">
        <f>+Données!X112</f>
        <v>72</v>
      </c>
      <c r="R112" s="320">
        <f t="shared" si="5"/>
        <v>515123.14148148138</v>
      </c>
    </row>
    <row r="113" spans="1:18" x14ac:dyDescent="0.25">
      <c r="A113" s="6">
        <f>Données!A113</f>
        <v>5588</v>
      </c>
      <c r="B113" s="26" t="str">
        <f>Données!B113</f>
        <v>Paudex</v>
      </c>
      <c r="C113" s="7">
        <f>Données!C113+Données!D113</f>
        <v>7834324.5600000005</v>
      </c>
      <c r="D113" s="7">
        <f>+Données!G113+Données!H113+Données!S113</f>
        <v>906877.36</v>
      </c>
      <c r="E113" s="7">
        <f>+Données!E113</f>
        <v>0</v>
      </c>
      <c r="F113" s="7">
        <f>+Données!I113</f>
        <v>407770.55</v>
      </c>
      <c r="G113" s="7">
        <f>+Données!J113</f>
        <v>389535.51</v>
      </c>
      <c r="H113" s="7">
        <f>Données!U113</f>
        <v>-35078.17</v>
      </c>
      <c r="I113" s="144">
        <f>Données!V113</f>
        <v>0</v>
      </c>
      <c r="J113" s="144">
        <f>Données!W113</f>
        <v>-55499.1</v>
      </c>
      <c r="K113" s="7">
        <f>+Données!Q113</f>
        <v>16960.46</v>
      </c>
      <c r="L113" s="320">
        <f t="shared" si="3"/>
        <v>9464891.1700000018</v>
      </c>
      <c r="M113" s="7">
        <f>+Données!F113</f>
        <v>0</v>
      </c>
      <c r="N113" s="7">
        <f>+Données!K113</f>
        <v>50212.45</v>
      </c>
      <c r="O113" s="7">
        <f>(Données!L113/Données!Y113)*1</f>
        <v>578847.92857142864</v>
      </c>
      <c r="P113" s="320">
        <f t="shared" si="4"/>
        <v>10093951.54857143</v>
      </c>
      <c r="Q113" s="160">
        <f>+Données!X113</f>
        <v>66.5</v>
      </c>
      <c r="R113" s="320">
        <f t="shared" si="5"/>
        <v>151788.7450912997</v>
      </c>
    </row>
    <row r="114" spans="1:18" x14ac:dyDescent="0.25">
      <c r="A114" s="6">
        <f>Données!A114</f>
        <v>5589</v>
      </c>
      <c r="B114" s="26" t="str">
        <f>Données!B114</f>
        <v>Prilly</v>
      </c>
      <c r="C114" s="7">
        <f>Données!C114+Données!D114</f>
        <v>22953845.359999999</v>
      </c>
      <c r="D114" s="7">
        <f>+Données!G114+Données!H114+Données!S114</f>
        <v>4787837.66</v>
      </c>
      <c r="E114" s="7">
        <f>+Données!E114</f>
        <v>0</v>
      </c>
      <c r="F114" s="7">
        <f>+Données!I114</f>
        <v>41457.800000000003</v>
      </c>
      <c r="G114" s="7">
        <f>+Données!J114</f>
        <v>1356058.65</v>
      </c>
      <c r="H114" s="7">
        <f>Données!U114</f>
        <v>-412325.2</v>
      </c>
      <c r="I114" s="144">
        <f>Données!V114</f>
        <v>0</v>
      </c>
      <c r="J114" s="144">
        <f>Données!W114</f>
        <v>-6712.2</v>
      </c>
      <c r="K114" s="7">
        <f>+Données!Q114</f>
        <v>133991.26999999999</v>
      </c>
      <c r="L114" s="320">
        <f t="shared" si="3"/>
        <v>28854153.34</v>
      </c>
      <c r="M114" s="7">
        <f>+Données!F114</f>
        <v>0</v>
      </c>
      <c r="N114" s="7">
        <f>+Données!K114</f>
        <v>733186.4</v>
      </c>
      <c r="O114" s="7">
        <f>(Données!L114/Données!Y114)*1</f>
        <v>2500028.8846153845</v>
      </c>
      <c r="P114" s="320">
        <f t="shared" si="4"/>
        <v>32087368.624615382</v>
      </c>
      <c r="Q114" s="160">
        <f>+Données!X114</f>
        <v>72.5</v>
      </c>
      <c r="R114" s="320">
        <f t="shared" si="5"/>
        <v>442584.39482228115</v>
      </c>
    </row>
    <row r="115" spans="1:18" x14ac:dyDescent="0.25">
      <c r="A115" s="6">
        <f>Données!A115</f>
        <v>5590</v>
      </c>
      <c r="B115" s="26" t="str">
        <f>Données!B115</f>
        <v>Pully</v>
      </c>
      <c r="C115" s="7">
        <f>Données!C115+Données!D115</f>
        <v>79502512.090000004</v>
      </c>
      <c r="D115" s="7">
        <f>+Données!G115+Données!H115+Données!S115</f>
        <v>12884231.26</v>
      </c>
      <c r="E115" s="7">
        <f>+Données!E115</f>
        <v>0</v>
      </c>
      <c r="F115" s="7">
        <f>+Données!I115</f>
        <v>2795829.37</v>
      </c>
      <c r="G115" s="7">
        <f>+Données!J115</f>
        <v>1217497.53</v>
      </c>
      <c r="H115" s="7">
        <f>Données!U115</f>
        <v>-524514.77</v>
      </c>
      <c r="I115" s="144">
        <f>Données!V115</f>
        <v>0</v>
      </c>
      <c r="J115" s="144">
        <f>Données!W115</f>
        <v>-418804.27</v>
      </c>
      <c r="K115" s="7">
        <f>+Données!Q115</f>
        <v>80856.44</v>
      </c>
      <c r="L115" s="320">
        <f t="shared" si="3"/>
        <v>95537607.650000021</v>
      </c>
      <c r="M115" s="7">
        <f>+Données!F115</f>
        <v>0</v>
      </c>
      <c r="N115" s="7">
        <f>+Données!K115</f>
        <v>507624.85</v>
      </c>
      <c r="O115" s="7">
        <f>(Données!L115/Données!Y115)*1</f>
        <v>5831670.6428571437</v>
      </c>
      <c r="P115" s="320">
        <f t="shared" si="4"/>
        <v>101876903.14285716</v>
      </c>
      <c r="Q115" s="160">
        <f>+Données!X115</f>
        <v>61</v>
      </c>
      <c r="R115" s="320">
        <f t="shared" si="5"/>
        <v>1670113.1662763469</v>
      </c>
    </row>
    <row r="116" spans="1:18" x14ac:dyDescent="0.25">
      <c r="A116" s="6">
        <f>Données!A116</f>
        <v>5591</v>
      </c>
      <c r="B116" s="26" t="str">
        <f>Données!B116</f>
        <v>Renens</v>
      </c>
      <c r="C116" s="7">
        <f>Données!C116+Données!D116</f>
        <v>32084139.629999999</v>
      </c>
      <c r="D116" s="7">
        <f>+Données!G116+Données!H116+Données!S116</f>
        <v>9480611.2899999991</v>
      </c>
      <c r="E116" s="7">
        <f>+Données!E116</f>
        <v>0</v>
      </c>
      <c r="F116" s="7">
        <f>+Données!I116</f>
        <v>0</v>
      </c>
      <c r="G116" s="7">
        <f>+Données!J116</f>
        <v>2691592.72</v>
      </c>
      <c r="H116" s="7">
        <f>Données!U116</f>
        <v>-1748786.41</v>
      </c>
      <c r="I116" s="144">
        <f>Données!V116</f>
        <v>0</v>
      </c>
      <c r="J116" s="144">
        <f>Données!W116</f>
        <v>-12462.05</v>
      </c>
      <c r="K116" s="7">
        <f>+Données!Q116</f>
        <v>801053.57</v>
      </c>
      <c r="L116" s="320">
        <f t="shared" si="3"/>
        <v>43296148.750000007</v>
      </c>
      <c r="M116" s="7">
        <f>+Données!F116</f>
        <v>0</v>
      </c>
      <c r="N116" s="7">
        <f>+Données!K116</f>
        <v>778327.8</v>
      </c>
      <c r="O116" s="7">
        <f>(Données!L116/Données!Y116)*1</f>
        <v>4222418.3214285718</v>
      </c>
      <c r="P116" s="320">
        <f t="shared" si="4"/>
        <v>48296894.871428579</v>
      </c>
      <c r="Q116" s="160">
        <f>+Données!X116</f>
        <v>77</v>
      </c>
      <c r="R116" s="320">
        <f t="shared" si="5"/>
        <v>627232.40092764387</v>
      </c>
    </row>
    <row r="117" spans="1:18" x14ac:dyDescent="0.25">
      <c r="A117" s="6">
        <f>Données!A117</f>
        <v>5592</v>
      </c>
      <c r="B117" s="26" t="str">
        <f>Données!B117</f>
        <v>Romanel-sur-Lausanne</v>
      </c>
      <c r="C117" s="7">
        <f>Données!C117+Données!D117</f>
        <v>8237712.1199999992</v>
      </c>
      <c r="D117" s="7">
        <f>+Données!G117+Données!H117+Données!S117</f>
        <v>772133.50000000012</v>
      </c>
      <c r="E117" s="7">
        <f>+Données!E117</f>
        <v>0</v>
      </c>
      <c r="F117" s="7">
        <f>+Données!I117</f>
        <v>0</v>
      </c>
      <c r="G117" s="7">
        <f>+Données!J117</f>
        <v>361464.79</v>
      </c>
      <c r="H117" s="7">
        <f>Données!U117</f>
        <v>-126964.29</v>
      </c>
      <c r="I117" s="144">
        <f>Données!V117</f>
        <v>0</v>
      </c>
      <c r="J117" s="144">
        <f>Données!W117</f>
        <v>-7075.24</v>
      </c>
      <c r="K117" s="7">
        <f>+Données!Q117</f>
        <v>42061.35</v>
      </c>
      <c r="L117" s="320">
        <f t="shared" si="3"/>
        <v>9279332.2299999986</v>
      </c>
      <c r="M117" s="7">
        <f>+Données!F117</f>
        <v>0</v>
      </c>
      <c r="N117" s="7">
        <f>+Données!K117</f>
        <v>187600.3</v>
      </c>
      <c r="O117" s="7">
        <f>(Données!L117/Données!Y117)*1</f>
        <v>886924.5199999999</v>
      </c>
      <c r="P117" s="320">
        <f t="shared" si="4"/>
        <v>10353857.049999999</v>
      </c>
      <c r="Q117" s="160">
        <f>+Données!X117</f>
        <v>70.5</v>
      </c>
      <c r="R117" s="320">
        <f t="shared" si="5"/>
        <v>146863.22056737586</v>
      </c>
    </row>
    <row r="118" spans="1:18" x14ac:dyDescent="0.25">
      <c r="A118" s="6">
        <f>Données!A118</f>
        <v>5601</v>
      </c>
      <c r="B118" s="26" t="str">
        <f>Données!B118</f>
        <v>Chexbres</v>
      </c>
      <c r="C118" s="7">
        <f>Données!C118+Données!D118</f>
        <v>6727662.8599999994</v>
      </c>
      <c r="D118" s="7">
        <f>+Données!G118+Données!H118+Données!S118</f>
        <v>122086.81999999999</v>
      </c>
      <c r="E118" s="7">
        <f>+Données!E118</f>
        <v>0</v>
      </c>
      <c r="F118" s="7">
        <f>+Données!I118</f>
        <v>0</v>
      </c>
      <c r="G118" s="7">
        <f>+Données!J118</f>
        <v>160341.42000000001</v>
      </c>
      <c r="H118" s="7">
        <f>Données!U118</f>
        <v>-34012.589999999997</v>
      </c>
      <c r="I118" s="144">
        <f>Données!V118</f>
        <v>0</v>
      </c>
      <c r="J118" s="144">
        <f>Données!W118</f>
        <v>-8264.7800000000007</v>
      </c>
      <c r="K118" s="7">
        <f>+Données!Q118</f>
        <v>5544.05</v>
      </c>
      <c r="L118" s="320">
        <f t="shared" si="3"/>
        <v>6973357.7799999993</v>
      </c>
      <c r="M118" s="7">
        <f>+Données!F118</f>
        <v>0</v>
      </c>
      <c r="N118" s="7">
        <f>+Données!K118</f>
        <v>-11550.65</v>
      </c>
      <c r="O118" s="7">
        <f>(Données!L118/Données!Y118)*1</f>
        <v>531118.25</v>
      </c>
      <c r="P118" s="320">
        <f t="shared" si="4"/>
        <v>7492925.379999999</v>
      </c>
      <c r="Q118" s="160">
        <f>+Données!X118</f>
        <v>67.5</v>
      </c>
      <c r="R118" s="320">
        <f t="shared" si="5"/>
        <v>111006.30192592592</v>
      </c>
    </row>
    <row r="119" spans="1:18" x14ac:dyDescent="0.25">
      <c r="A119" s="6">
        <f>Données!A119</f>
        <v>5604</v>
      </c>
      <c r="B119" s="26" t="str">
        <f>Données!B119</f>
        <v>Forel (Lavaux)</v>
      </c>
      <c r="C119" s="7">
        <f>Données!C119+Données!D119</f>
        <v>4254756.2300000004</v>
      </c>
      <c r="D119" s="7">
        <f>+Données!G119+Données!H119+Données!S119</f>
        <v>309133.55</v>
      </c>
      <c r="E119" s="7">
        <f>+Données!E119</f>
        <v>0</v>
      </c>
      <c r="F119" s="7">
        <f>+Données!I119</f>
        <v>0</v>
      </c>
      <c r="G119" s="7">
        <f>+Données!J119</f>
        <v>75494.09</v>
      </c>
      <c r="H119" s="7">
        <f>Données!U119</f>
        <v>-53283.07</v>
      </c>
      <c r="I119" s="144">
        <f>Données!V119</f>
        <v>0</v>
      </c>
      <c r="J119" s="144">
        <f>Données!W119</f>
        <v>-6296.83</v>
      </c>
      <c r="K119" s="7">
        <f>+Données!Q119</f>
        <v>56302.93</v>
      </c>
      <c r="L119" s="320">
        <f t="shared" si="3"/>
        <v>4636106.8999999994</v>
      </c>
      <c r="M119" s="7">
        <f>+Données!F119</f>
        <v>0</v>
      </c>
      <c r="N119" s="7">
        <f>+Données!K119</f>
        <v>33170.15</v>
      </c>
      <c r="O119" s="7">
        <f>(Données!L119/Données!Y119)*1</f>
        <v>443449.59999999998</v>
      </c>
      <c r="P119" s="320">
        <f t="shared" si="4"/>
        <v>5112726.6499999994</v>
      </c>
      <c r="Q119" s="160">
        <f>+Données!X119</f>
        <v>69</v>
      </c>
      <c r="R119" s="320">
        <f t="shared" si="5"/>
        <v>74097.487681159415</v>
      </c>
    </row>
    <row r="120" spans="1:18" x14ac:dyDescent="0.25">
      <c r="A120" s="6">
        <f>Données!A120</f>
        <v>5606</v>
      </c>
      <c r="B120" s="26" t="str">
        <f>Données!B120</f>
        <v>Lutry</v>
      </c>
      <c r="C120" s="7">
        <f>Données!C120+Données!D120</f>
        <v>42261240.25</v>
      </c>
      <c r="D120" s="7">
        <f>+Données!G120+Données!H120+Données!S120</f>
        <v>4283362.2699999996</v>
      </c>
      <c r="E120" s="7">
        <f>+Données!E120</f>
        <v>0</v>
      </c>
      <c r="F120" s="7">
        <f>+Données!I120</f>
        <v>1436146.26</v>
      </c>
      <c r="G120" s="7">
        <f>+Données!J120</f>
        <v>981714.27</v>
      </c>
      <c r="H120" s="7">
        <f>Données!U120</f>
        <v>-414761.94</v>
      </c>
      <c r="I120" s="144">
        <f>Données!V120</f>
        <v>0</v>
      </c>
      <c r="J120" s="144">
        <f>Données!W120</f>
        <v>-287189.69</v>
      </c>
      <c r="K120" s="7">
        <f>+Données!Q120</f>
        <v>123575.82</v>
      </c>
      <c r="L120" s="320">
        <f t="shared" si="3"/>
        <v>48384087.240000002</v>
      </c>
      <c r="M120" s="7">
        <f>+Données!F120</f>
        <v>0</v>
      </c>
      <c r="N120" s="7">
        <f>+Données!K120</f>
        <v>218366.5</v>
      </c>
      <c r="O120" s="7">
        <f>(Données!L120/Données!Y120)*1</f>
        <v>3622106.6428571427</v>
      </c>
      <c r="P120" s="320">
        <f t="shared" si="4"/>
        <v>52224560.382857144</v>
      </c>
      <c r="Q120" s="160">
        <f>+Données!X120</f>
        <v>54</v>
      </c>
      <c r="R120" s="320">
        <f t="shared" si="5"/>
        <v>967121.48857142858</v>
      </c>
    </row>
    <row r="121" spans="1:18" x14ac:dyDescent="0.25">
      <c r="A121" s="6">
        <f>Données!A121</f>
        <v>5607</v>
      </c>
      <c r="B121" s="26" t="str">
        <f>Données!B121</f>
        <v>Puidoux</v>
      </c>
      <c r="C121" s="7">
        <f>Données!C121+Données!D121</f>
        <v>6472227</v>
      </c>
      <c r="D121" s="7">
        <f>+Données!G121+Données!H121+Données!S121</f>
        <v>1880598.6199999999</v>
      </c>
      <c r="E121" s="7">
        <f>+Données!E121</f>
        <v>0</v>
      </c>
      <c r="F121" s="7">
        <f>+Données!I121</f>
        <v>11.45</v>
      </c>
      <c r="G121" s="7">
        <f>+Données!J121</f>
        <v>138733.53</v>
      </c>
      <c r="H121" s="7">
        <f>Données!U121</f>
        <v>-80267.149999999994</v>
      </c>
      <c r="I121" s="144">
        <f>Données!V121</f>
        <v>0</v>
      </c>
      <c r="J121" s="144">
        <f>Données!W121</f>
        <v>-4302.43</v>
      </c>
      <c r="K121" s="7">
        <f>+Données!Q121</f>
        <v>4373.21</v>
      </c>
      <c r="L121" s="320">
        <f t="shared" si="3"/>
        <v>8411374.2300000004</v>
      </c>
      <c r="M121" s="7">
        <f>+Données!F121</f>
        <v>0</v>
      </c>
      <c r="N121" s="7">
        <f>+Données!K121</f>
        <v>119426.25</v>
      </c>
      <c r="O121" s="7">
        <f>(Données!L121/Données!Y121)*1</f>
        <v>838849.60869565234</v>
      </c>
      <c r="P121" s="320">
        <f t="shared" si="4"/>
        <v>9369650.0886956528</v>
      </c>
      <c r="Q121" s="160">
        <f>+Données!X121</f>
        <v>68.5</v>
      </c>
      <c r="R121" s="320">
        <f t="shared" si="5"/>
        <v>136783.21297365916</v>
      </c>
    </row>
    <row r="122" spans="1:18" x14ac:dyDescent="0.25">
      <c r="A122" s="6">
        <f>Données!A122</f>
        <v>5609</v>
      </c>
      <c r="B122" s="26" t="str">
        <f>Données!B122</f>
        <v>Rivaz</v>
      </c>
      <c r="C122" s="7">
        <f>Données!C122+Données!D122</f>
        <v>856505.92999999993</v>
      </c>
      <c r="D122" s="7">
        <f>+Données!G122+Données!H122+Données!S122</f>
        <v>20124.64</v>
      </c>
      <c r="E122" s="7">
        <f>+Données!E122</f>
        <v>0</v>
      </c>
      <c r="F122" s="7">
        <f>+Données!I122</f>
        <v>0</v>
      </c>
      <c r="G122" s="7">
        <f>+Données!J122</f>
        <v>26750.71</v>
      </c>
      <c r="H122" s="7">
        <f>Données!U122</f>
        <v>-1316.48</v>
      </c>
      <c r="I122" s="144">
        <f>Données!V122</f>
        <v>0</v>
      </c>
      <c r="J122" s="144">
        <f>Données!W122</f>
        <v>-428.86</v>
      </c>
      <c r="K122" s="7">
        <f>+Données!Q122</f>
        <v>0</v>
      </c>
      <c r="L122" s="320">
        <f t="shared" si="3"/>
        <v>901635.94</v>
      </c>
      <c r="M122" s="7">
        <f>+Données!F122</f>
        <v>0</v>
      </c>
      <c r="N122" s="7">
        <f>+Données!K122</f>
        <v>1050.4000000000001</v>
      </c>
      <c r="O122" s="7">
        <f>(Données!L122/Données!Y122)*1</f>
        <v>64939.3</v>
      </c>
      <c r="P122" s="320">
        <f t="shared" si="4"/>
        <v>967625.64</v>
      </c>
      <c r="Q122" s="160">
        <f>+Données!X122</f>
        <v>62</v>
      </c>
      <c r="R122" s="320">
        <f t="shared" si="5"/>
        <v>15606.865161290323</v>
      </c>
    </row>
    <row r="123" spans="1:18" x14ac:dyDescent="0.25">
      <c r="A123" s="6">
        <f>Données!A123</f>
        <v>5610</v>
      </c>
      <c r="B123" s="26" t="str">
        <f>Données!B123</f>
        <v>St-Saphorin (Lavaux)</v>
      </c>
      <c r="C123" s="7">
        <f>Données!C123+Données!D123</f>
        <v>1184243.52</v>
      </c>
      <c r="D123" s="7">
        <f>+Données!G123+Données!H123+Données!S123</f>
        <v>21684.19</v>
      </c>
      <c r="E123" s="7">
        <f>+Données!E123</f>
        <v>0</v>
      </c>
      <c r="F123" s="7">
        <f>+Données!I123</f>
        <v>719.45</v>
      </c>
      <c r="G123" s="7">
        <f>+Données!J123</f>
        <v>-5028.79</v>
      </c>
      <c r="H123" s="7">
        <f>Données!U123</f>
        <v>-7667.65</v>
      </c>
      <c r="I123" s="144">
        <f>Données!V123</f>
        <v>0</v>
      </c>
      <c r="J123" s="144">
        <f>Données!W123</f>
        <v>-2327.38</v>
      </c>
      <c r="K123" s="7">
        <f>+Données!Q123</f>
        <v>1127.55</v>
      </c>
      <c r="L123" s="320">
        <f t="shared" si="3"/>
        <v>1192750.8900000001</v>
      </c>
      <c r="M123" s="7">
        <f>+Données!F123</f>
        <v>0</v>
      </c>
      <c r="N123" s="7">
        <f>+Données!K123</f>
        <v>6811.15</v>
      </c>
      <c r="O123" s="7">
        <f>(Données!L123/Données!Y123)*1</f>
        <v>109553.62500000001</v>
      </c>
      <c r="P123" s="320">
        <f t="shared" si="4"/>
        <v>1309115.665</v>
      </c>
      <c r="Q123" s="160">
        <f>+Données!X123</f>
        <v>74</v>
      </c>
      <c r="R123" s="320">
        <f t="shared" si="5"/>
        <v>17690.752229729729</v>
      </c>
    </row>
    <row r="124" spans="1:18" x14ac:dyDescent="0.25">
      <c r="A124" s="6">
        <f>Données!A124</f>
        <v>5611</v>
      </c>
      <c r="B124" s="26" t="str">
        <f>Données!B124</f>
        <v>Savigny</v>
      </c>
      <c r="C124" s="7">
        <f>Données!C124+Données!D124</f>
        <v>9536114.6099999994</v>
      </c>
      <c r="D124" s="7">
        <f>+Données!G124+Données!H124+Données!S124</f>
        <v>336861.98</v>
      </c>
      <c r="E124" s="7">
        <f>+Données!E124</f>
        <v>0</v>
      </c>
      <c r="F124" s="7">
        <f>+Données!I124</f>
        <v>123283.4</v>
      </c>
      <c r="G124" s="7">
        <f>+Données!J124</f>
        <v>175740.15</v>
      </c>
      <c r="H124" s="7">
        <f>Données!U124</f>
        <v>-104215.56</v>
      </c>
      <c r="I124" s="144">
        <f>Données!V124</f>
        <v>0</v>
      </c>
      <c r="J124" s="144">
        <f>Données!W124</f>
        <v>-13036.15</v>
      </c>
      <c r="K124" s="7">
        <f>+Données!Q124</f>
        <v>28219.57</v>
      </c>
      <c r="L124" s="320">
        <f t="shared" si="3"/>
        <v>10082968</v>
      </c>
      <c r="M124" s="7">
        <f>+Données!F124</f>
        <v>0</v>
      </c>
      <c r="N124" s="7">
        <f>+Données!K124</f>
        <v>28953.5</v>
      </c>
      <c r="O124" s="7">
        <f>(Données!L124/Données!Y124)*1</f>
        <v>741701.83333333337</v>
      </c>
      <c r="P124" s="320">
        <f t="shared" si="4"/>
        <v>10853623.333333334</v>
      </c>
      <c r="Q124" s="160">
        <f>+Données!X124</f>
        <v>69</v>
      </c>
      <c r="R124" s="320">
        <f t="shared" si="5"/>
        <v>157298.88888888891</v>
      </c>
    </row>
    <row r="125" spans="1:18" x14ac:dyDescent="0.25">
      <c r="A125" s="6">
        <f>Données!A125</f>
        <v>5613</v>
      </c>
      <c r="B125" s="26" t="str">
        <f>Données!B125</f>
        <v>Bourg-en-Lavaux</v>
      </c>
      <c r="C125" s="7">
        <f>Données!C125+Données!D125</f>
        <v>20083613.539999999</v>
      </c>
      <c r="D125" s="7">
        <f>+Données!G125+Données!H125+Données!S125</f>
        <v>323107.78000000003</v>
      </c>
      <c r="E125" s="7">
        <f>+Données!E125</f>
        <v>0</v>
      </c>
      <c r="F125" s="7">
        <f>+Données!I125</f>
        <v>199848.82</v>
      </c>
      <c r="G125" s="7">
        <f>+Données!J125</f>
        <v>479887.92</v>
      </c>
      <c r="H125" s="7">
        <f>Données!U125</f>
        <v>-120252.91</v>
      </c>
      <c r="I125" s="144">
        <f>Données!V125</f>
        <v>0</v>
      </c>
      <c r="J125" s="144">
        <f>Données!W125</f>
        <v>-75604.800000000003</v>
      </c>
      <c r="K125" s="7">
        <f>+Données!Q125</f>
        <v>27445.13</v>
      </c>
      <c r="L125" s="320">
        <f t="shared" si="3"/>
        <v>20918045.48</v>
      </c>
      <c r="M125" s="7">
        <f>+Données!F125</f>
        <v>0</v>
      </c>
      <c r="N125" s="7">
        <f>+Données!K125</f>
        <v>41653.949999999997</v>
      </c>
      <c r="O125" s="7">
        <f>(Données!L125/Données!Y125)*1</f>
        <v>1682495.8333333333</v>
      </c>
      <c r="P125" s="320">
        <f t="shared" si="4"/>
        <v>22642195.263333332</v>
      </c>
      <c r="Q125" s="160">
        <f>+Données!X125</f>
        <v>62.5</v>
      </c>
      <c r="R125" s="320">
        <f t="shared" si="5"/>
        <v>362275.1242133333</v>
      </c>
    </row>
    <row r="126" spans="1:18" x14ac:dyDescent="0.25">
      <c r="A126" s="6">
        <f>Données!A126</f>
        <v>5621</v>
      </c>
      <c r="B126" s="26" t="str">
        <f>Données!B126</f>
        <v>Aclens</v>
      </c>
      <c r="C126" s="7">
        <f>Données!C126+Données!D126</f>
        <v>1332130.06</v>
      </c>
      <c r="D126" s="7">
        <f>+Données!G126+Données!H126+Données!S126</f>
        <v>157490.87000000002</v>
      </c>
      <c r="E126" s="7">
        <f>+Données!E126</f>
        <v>0</v>
      </c>
      <c r="F126" s="7">
        <f>+Données!I126</f>
        <v>0</v>
      </c>
      <c r="G126" s="7">
        <f>+Données!J126</f>
        <v>43709.41</v>
      </c>
      <c r="H126" s="7">
        <f>Données!U126</f>
        <v>-9007.27</v>
      </c>
      <c r="I126" s="144">
        <f>Données!V126</f>
        <v>0</v>
      </c>
      <c r="J126" s="144">
        <f>Données!W126</f>
        <v>-196</v>
      </c>
      <c r="K126" s="7">
        <f>+Données!Q126</f>
        <v>2979.81</v>
      </c>
      <c r="L126" s="320">
        <f t="shared" si="3"/>
        <v>1527106.8800000001</v>
      </c>
      <c r="M126" s="7">
        <f>+Données!F126</f>
        <v>0</v>
      </c>
      <c r="N126" s="7">
        <f>+Données!K126</f>
        <v>34856.199999999997</v>
      </c>
      <c r="O126" s="7">
        <f>(Données!L126/Données!Y126)*1</f>
        <v>314589.31818181818</v>
      </c>
      <c r="P126" s="320">
        <f t="shared" si="4"/>
        <v>1876552.3981818182</v>
      </c>
      <c r="Q126" s="160">
        <f>+Données!X126</f>
        <v>60</v>
      </c>
      <c r="R126" s="320">
        <f t="shared" si="5"/>
        <v>31275.873303030305</v>
      </c>
    </row>
    <row r="127" spans="1:18" x14ac:dyDescent="0.25">
      <c r="A127" s="6">
        <f>Données!A127</f>
        <v>5622</v>
      </c>
      <c r="B127" s="26" t="str">
        <f>Données!B127</f>
        <v>Bremblens</v>
      </c>
      <c r="C127" s="7">
        <f>Données!C127+Données!D127</f>
        <v>1784131.94</v>
      </c>
      <c r="D127" s="7">
        <f>+Données!G127+Données!H127+Données!S127</f>
        <v>63394.57</v>
      </c>
      <c r="E127" s="7">
        <f>+Données!E127</f>
        <v>0</v>
      </c>
      <c r="F127" s="7">
        <f>+Données!I127</f>
        <v>0</v>
      </c>
      <c r="G127" s="7">
        <f>+Données!J127</f>
        <v>16852.740000000002</v>
      </c>
      <c r="H127" s="7">
        <f>Données!U127</f>
        <v>-23728.23</v>
      </c>
      <c r="I127" s="144">
        <f>Données!V127</f>
        <v>0</v>
      </c>
      <c r="J127" s="144">
        <f>Données!W127</f>
        <v>-456.3</v>
      </c>
      <c r="K127" s="7">
        <f>+Données!Q127</f>
        <v>1641.12</v>
      </c>
      <c r="L127" s="320">
        <f t="shared" si="3"/>
        <v>1841835.84</v>
      </c>
      <c r="M127" s="7">
        <f>+Données!F127</f>
        <v>0</v>
      </c>
      <c r="N127" s="7">
        <f>+Données!K127</f>
        <v>7305.7</v>
      </c>
      <c r="O127" s="7">
        <f>(Données!L127/Données!Y127)*1</f>
        <v>166780.5</v>
      </c>
      <c r="P127" s="320">
        <f t="shared" si="4"/>
        <v>2015922.04</v>
      </c>
      <c r="Q127" s="160">
        <f>+Données!X127</f>
        <v>68</v>
      </c>
      <c r="R127" s="320">
        <f t="shared" si="5"/>
        <v>29645.912352941177</v>
      </c>
    </row>
    <row r="128" spans="1:18" x14ac:dyDescent="0.25">
      <c r="A128" s="6">
        <f>Données!A128</f>
        <v>5623</v>
      </c>
      <c r="B128" s="26" t="str">
        <f>Données!B128</f>
        <v>Buchillon</v>
      </c>
      <c r="C128" s="7">
        <f>Données!C128+Données!D128</f>
        <v>4436960.6399999997</v>
      </c>
      <c r="D128" s="7">
        <f>+Données!G128+Données!H128+Données!S128</f>
        <v>346603.71</v>
      </c>
      <c r="E128" s="7">
        <f>+Données!E128</f>
        <v>0</v>
      </c>
      <c r="F128" s="7">
        <f>+Données!I128</f>
        <v>207170.32</v>
      </c>
      <c r="G128" s="7">
        <f>+Données!J128</f>
        <v>72589.149999999994</v>
      </c>
      <c r="H128" s="7">
        <f>Données!U128</f>
        <v>-5317.97</v>
      </c>
      <c r="I128" s="144">
        <f>Données!V128</f>
        <v>0</v>
      </c>
      <c r="J128" s="144">
        <f>Données!W128</f>
        <v>-113557.63</v>
      </c>
      <c r="K128" s="7">
        <f>+Données!Q128</f>
        <v>2792.39</v>
      </c>
      <c r="L128" s="320">
        <f t="shared" si="3"/>
        <v>4947240.6100000003</v>
      </c>
      <c r="M128" s="7">
        <f>+Données!F128</f>
        <v>0</v>
      </c>
      <c r="N128" s="7">
        <f>+Données!K128</f>
        <v>3516.8</v>
      </c>
      <c r="O128" s="7">
        <f>(Données!L128/Données!Y128)*1</f>
        <v>385973.2</v>
      </c>
      <c r="P128" s="320">
        <f t="shared" si="4"/>
        <v>5336730.6100000003</v>
      </c>
      <c r="Q128" s="160">
        <f>+Données!X128</f>
        <v>52</v>
      </c>
      <c r="R128" s="320">
        <f t="shared" si="5"/>
        <v>102629.43480769232</v>
      </c>
    </row>
    <row r="129" spans="1:18" x14ac:dyDescent="0.25">
      <c r="A129" s="6">
        <f>Données!A129</f>
        <v>5624</v>
      </c>
      <c r="B129" s="26" t="str">
        <f>Données!B129</f>
        <v>Bussigny</v>
      </c>
      <c r="C129" s="7">
        <f>Données!C129+Données!D129</f>
        <v>21888417.740000002</v>
      </c>
      <c r="D129" s="7">
        <f>+Données!G129+Données!H129+Données!S129</f>
        <v>2004611.0699999998</v>
      </c>
      <c r="E129" s="7">
        <f>+Données!E129</f>
        <v>0</v>
      </c>
      <c r="F129" s="7">
        <f>+Données!I129</f>
        <v>0</v>
      </c>
      <c r="G129" s="7">
        <f>+Données!J129</f>
        <v>1135485.5900000001</v>
      </c>
      <c r="H129" s="7">
        <f>Données!U129</f>
        <v>-262739.84999999998</v>
      </c>
      <c r="I129" s="144">
        <f>Données!V129</f>
        <v>0</v>
      </c>
      <c r="J129" s="144">
        <f>Données!W129</f>
        <v>-4070.71</v>
      </c>
      <c r="K129" s="7">
        <f>+Données!Q129</f>
        <v>53208.01</v>
      </c>
      <c r="L129" s="320">
        <f t="shared" si="3"/>
        <v>24814911.850000001</v>
      </c>
      <c r="M129" s="7">
        <f>+Données!F129</f>
        <v>0</v>
      </c>
      <c r="N129" s="7">
        <f>+Données!K129</f>
        <v>605438.1</v>
      </c>
      <c r="O129" s="7">
        <f>(Données!L129/Données!Y129)*1</f>
        <v>2746366.7199999997</v>
      </c>
      <c r="P129" s="320">
        <f t="shared" si="4"/>
        <v>28166716.670000002</v>
      </c>
      <c r="Q129" s="160">
        <f>+Données!X129</f>
        <v>62.5</v>
      </c>
      <c r="R129" s="320">
        <f t="shared" si="5"/>
        <v>450667.46672000003</v>
      </c>
    </row>
    <row r="130" spans="1:18" x14ac:dyDescent="0.25">
      <c r="A130" s="6">
        <f>Données!A130</f>
        <v>5627</v>
      </c>
      <c r="B130" s="26" t="str">
        <f>Données!B130</f>
        <v>Chavannes-près-Renens</v>
      </c>
      <c r="C130" s="7">
        <f>Données!C130+Données!D130</f>
        <v>11832694.74</v>
      </c>
      <c r="D130" s="7">
        <f>+Données!G130+Données!H130+Données!S130</f>
        <v>1047356.98</v>
      </c>
      <c r="E130" s="7">
        <f>+Données!E130</f>
        <v>0</v>
      </c>
      <c r="F130" s="7">
        <f>+Données!I130</f>
        <v>0</v>
      </c>
      <c r="G130" s="7">
        <f>+Données!J130</f>
        <v>1165212.99</v>
      </c>
      <c r="H130" s="7">
        <f>Données!U130</f>
        <v>-328321.56</v>
      </c>
      <c r="I130" s="144">
        <f>Données!V130</f>
        <v>0</v>
      </c>
      <c r="J130" s="144">
        <f>Données!W130</f>
        <v>-2828.74</v>
      </c>
      <c r="K130" s="7">
        <f>+Données!Q130</f>
        <v>63855.55</v>
      </c>
      <c r="L130" s="320">
        <f t="shared" si="3"/>
        <v>13777969.960000001</v>
      </c>
      <c r="M130" s="7">
        <f>+Données!F130</f>
        <v>0</v>
      </c>
      <c r="N130" s="7">
        <f>+Données!K130</f>
        <v>391516.85</v>
      </c>
      <c r="O130" s="7">
        <f>(Données!L130/Données!Y130)*1</f>
        <v>1489118.3666666665</v>
      </c>
      <c r="P130" s="320">
        <f t="shared" si="4"/>
        <v>15658605.176666668</v>
      </c>
      <c r="Q130" s="160">
        <f>+Données!X130</f>
        <v>77.5</v>
      </c>
      <c r="R130" s="320">
        <f t="shared" si="5"/>
        <v>202046.51840860216</v>
      </c>
    </row>
    <row r="131" spans="1:18" x14ac:dyDescent="0.25">
      <c r="A131" s="6">
        <f>Données!A131</f>
        <v>5628</v>
      </c>
      <c r="B131" s="26" t="str">
        <f>Données!B131</f>
        <v>Chigny</v>
      </c>
      <c r="C131" s="7">
        <f>Données!C131+Données!D131</f>
        <v>1811407.47</v>
      </c>
      <c r="D131" s="7">
        <f>+Données!G131+Données!H131+Données!S131</f>
        <v>10497.58</v>
      </c>
      <c r="E131" s="7">
        <f>+Données!E131</f>
        <v>0</v>
      </c>
      <c r="F131" s="7">
        <f>+Données!I131</f>
        <v>0</v>
      </c>
      <c r="G131" s="7">
        <f>+Données!J131</f>
        <v>27022.27</v>
      </c>
      <c r="H131" s="7">
        <f>Données!U131</f>
        <v>-4143.33</v>
      </c>
      <c r="I131" s="144">
        <f>Données!V131</f>
        <v>0</v>
      </c>
      <c r="J131" s="144">
        <f>Données!W131</f>
        <v>-3452.15</v>
      </c>
      <c r="K131" s="7">
        <f>+Données!Q131</f>
        <v>7680.2</v>
      </c>
      <c r="L131" s="320">
        <f t="shared" si="3"/>
        <v>1849012.04</v>
      </c>
      <c r="M131" s="7">
        <f>+Données!F131</f>
        <v>0</v>
      </c>
      <c r="N131" s="7">
        <f>+Données!K131</f>
        <v>1308</v>
      </c>
      <c r="O131" s="7">
        <f>(Données!L131/Données!Y131)*1</f>
        <v>119180.9</v>
      </c>
      <c r="P131" s="320">
        <f t="shared" si="4"/>
        <v>1969500.94</v>
      </c>
      <c r="Q131" s="160">
        <f>+Données!X131</f>
        <v>62</v>
      </c>
      <c r="R131" s="320">
        <f t="shared" si="5"/>
        <v>31766.144193548385</v>
      </c>
    </row>
    <row r="132" spans="1:18" x14ac:dyDescent="0.25">
      <c r="A132" s="6">
        <f>Données!A132</f>
        <v>5629</v>
      </c>
      <c r="B132" s="26" t="str">
        <f>Données!B132</f>
        <v>Clarmont</v>
      </c>
      <c r="C132" s="7">
        <f>Données!C132+Données!D132</f>
        <v>534343.54</v>
      </c>
      <c r="D132" s="7">
        <f>+Données!G132+Données!H132+Données!S132</f>
        <v>3322.78</v>
      </c>
      <c r="E132" s="7">
        <f>+Données!E132</f>
        <v>0</v>
      </c>
      <c r="F132" s="7">
        <f>+Données!I132</f>
        <v>0</v>
      </c>
      <c r="G132" s="7">
        <f>+Données!J132</f>
        <v>619.55999999999995</v>
      </c>
      <c r="H132" s="7">
        <f>Données!U132</f>
        <v>-82.57</v>
      </c>
      <c r="I132" s="144">
        <f>Données!V132</f>
        <v>0</v>
      </c>
      <c r="J132" s="144">
        <f>Données!W132</f>
        <v>-101.75</v>
      </c>
      <c r="K132" s="7">
        <f>+Données!Q132</f>
        <v>0</v>
      </c>
      <c r="L132" s="320">
        <f t="shared" si="3"/>
        <v>538101.56000000017</v>
      </c>
      <c r="M132" s="7">
        <f>+Données!F132</f>
        <v>0</v>
      </c>
      <c r="N132" s="7">
        <f>+Données!K132</f>
        <v>537</v>
      </c>
      <c r="O132" s="7">
        <f>(Données!L132/Données!Y132)*1</f>
        <v>39424</v>
      </c>
      <c r="P132" s="320">
        <f t="shared" si="4"/>
        <v>578062.56000000017</v>
      </c>
      <c r="Q132" s="160">
        <f>+Données!X132</f>
        <v>72</v>
      </c>
      <c r="R132" s="320">
        <f t="shared" si="5"/>
        <v>8028.6466666666693</v>
      </c>
    </row>
    <row r="133" spans="1:18" x14ac:dyDescent="0.25">
      <c r="A133" s="6">
        <f>Données!A133</f>
        <v>5631</v>
      </c>
      <c r="B133" s="26" t="str">
        <f>Données!B133</f>
        <v>Denens</v>
      </c>
      <c r="C133" s="7">
        <f>Données!C133+Données!D133</f>
        <v>2470042.56</v>
      </c>
      <c r="D133" s="7">
        <f>+Données!G133+Données!H133+Données!S133</f>
        <v>7289.12</v>
      </c>
      <c r="E133" s="7">
        <f>+Données!E133</f>
        <v>0</v>
      </c>
      <c r="F133" s="7">
        <f>+Données!I133</f>
        <v>295743.52</v>
      </c>
      <c r="G133" s="7">
        <f>+Données!J133</f>
        <v>56394.86</v>
      </c>
      <c r="H133" s="7">
        <f>Données!U133</f>
        <v>-7689.64</v>
      </c>
      <c r="I133" s="144">
        <f>Données!V133</f>
        <v>0</v>
      </c>
      <c r="J133" s="144">
        <f>Données!W133</f>
        <v>-4956.12</v>
      </c>
      <c r="K133" s="7">
        <f>+Données!Q133</f>
        <v>0</v>
      </c>
      <c r="L133" s="320">
        <f t="shared" si="3"/>
        <v>2816824.3</v>
      </c>
      <c r="M133" s="7">
        <f>+Données!F133</f>
        <v>0</v>
      </c>
      <c r="N133" s="7">
        <f>+Données!K133</f>
        <v>2656.15</v>
      </c>
      <c r="O133" s="7">
        <f>(Données!L133/Données!Y133)*1</f>
        <v>226259.95</v>
      </c>
      <c r="P133" s="320">
        <f t="shared" si="4"/>
        <v>3045740.4</v>
      </c>
      <c r="Q133" s="160">
        <f>+Données!X133</f>
        <v>65</v>
      </c>
      <c r="R133" s="320">
        <f t="shared" si="5"/>
        <v>46857.544615384613</v>
      </c>
    </row>
    <row r="134" spans="1:18" x14ac:dyDescent="0.25">
      <c r="A134" s="6">
        <f>Données!A134</f>
        <v>5632</v>
      </c>
      <c r="B134" s="26" t="str">
        <f>Données!B134</f>
        <v>Denges</v>
      </c>
      <c r="C134" s="7">
        <f>Données!C134+Données!D134</f>
        <v>4394014.54</v>
      </c>
      <c r="D134" s="7">
        <f>+Données!G134+Données!H134+Données!S134</f>
        <v>259917.48</v>
      </c>
      <c r="E134" s="7">
        <f>+Données!E134</f>
        <v>0</v>
      </c>
      <c r="F134" s="7">
        <f>+Données!I134</f>
        <v>0</v>
      </c>
      <c r="G134" s="7">
        <f>+Données!J134</f>
        <v>202088.63</v>
      </c>
      <c r="H134" s="7">
        <f>Données!U134</f>
        <v>-44023.3</v>
      </c>
      <c r="I134" s="144">
        <f>Données!V134</f>
        <v>0</v>
      </c>
      <c r="J134" s="144">
        <f>Données!W134</f>
        <v>-199.83</v>
      </c>
      <c r="K134" s="7">
        <f>+Données!Q134</f>
        <v>4058.63</v>
      </c>
      <c r="L134" s="320">
        <f t="shared" si="3"/>
        <v>4815856.1500000004</v>
      </c>
      <c r="M134" s="7">
        <f>+Données!F134</f>
        <v>0</v>
      </c>
      <c r="N134" s="7">
        <f>+Données!K134</f>
        <v>50413.2</v>
      </c>
      <c r="O134" s="7">
        <f>(Données!L134/Données!Y134)*1</f>
        <v>399465</v>
      </c>
      <c r="P134" s="320">
        <f t="shared" si="4"/>
        <v>5265734.3500000006</v>
      </c>
      <c r="Q134" s="160">
        <f>+Données!X134</f>
        <v>62</v>
      </c>
      <c r="R134" s="320">
        <f t="shared" si="5"/>
        <v>84931.199193548397</v>
      </c>
    </row>
    <row r="135" spans="1:18" x14ac:dyDescent="0.25">
      <c r="A135" s="6">
        <f>Données!A135</f>
        <v>5633</v>
      </c>
      <c r="B135" s="26" t="str">
        <f>Données!B135</f>
        <v>Echandens</v>
      </c>
      <c r="C135" s="7">
        <f>Données!C135+Données!D135</f>
        <v>7757737.9299999997</v>
      </c>
      <c r="D135" s="7">
        <f>+Données!G135+Données!H135+Données!S135</f>
        <v>478142.41000000003</v>
      </c>
      <c r="E135" s="7">
        <f>+Données!E135</f>
        <v>0</v>
      </c>
      <c r="F135" s="7">
        <f>+Données!I135</f>
        <v>0</v>
      </c>
      <c r="G135" s="7">
        <f>+Données!J135</f>
        <v>281658.36</v>
      </c>
      <c r="H135" s="7">
        <f>Données!U135</f>
        <v>-13701.25</v>
      </c>
      <c r="I135" s="144">
        <f>Données!V135</f>
        <v>0</v>
      </c>
      <c r="J135" s="144">
        <f>Données!W135</f>
        <v>-54240.85</v>
      </c>
      <c r="K135" s="7">
        <f>+Données!Q135</f>
        <v>3391.4</v>
      </c>
      <c r="L135" s="320">
        <f t="shared" ref="L135:L198" si="6">SUM(C135:K135)</f>
        <v>8452988</v>
      </c>
      <c r="M135" s="7">
        <f>+Données!F135</f>
        <v>0</v>
      </c>
      <c r="N135" s="7">
        <f>+Données!K135</f>
        <v>45133.05</v>
      </c>
      <c r="O135" s="7">
        <f>(Données!L135/Données!Y135)*1</f>
        <v>747281.75</v>
      </c>
      <c r="P135" s="320">
        <f t="shared" ref="P135:P198" si="7">SUM(L135:O135)</f>
        <v>9245402.8000000007</v>
      </c>
      <c r="Q135" s="160">
        <f>+Données!X135</f>
        <v>60.5</v>
      </c>
      <c r="R135" s="320">
        <f t="shared" ref="R135:R198" si="8">P135/Q135</f>
        <v>152816.5752066116</v>
      </c>
    </row>
    <row r="136" spans="1:18" x14ac:dyDescent="0.25">
      <c r="A136" s="6">
        <f>Données!A136</f>
        <v>5634</v>
      </c>
      <c r="B136" s="26" t="str">
        <f>Données!B136</f>
        <v>Echichens</v>
      </c>
      <c r="C136" s="7">
        <f>Données!C136+Données!D136</f>
        <v>10343682.459999999</v>
      </c>
      <c r="D136" s="7">
        <f>+Données!G136+Données!H136+Données!S136</f>
        <v>176069.72</v>
      </c>
      <c r="E136" s="7">
        <f>+Données!E136</f>
        <v>0</v>
      </c>
      <c r="F136" s="7">
        <f>+Données!I136</f>
        <v>38803.65</v>
      </c>
      <c r="G136" s="7">
        <f>+Données!J136</f>
        <v>60968.01</v>
      </c>
      <c r="H136" s="7">
        <f>Données!U136</f>
        <v>-47795.45</v>
      </c>
      <c r="I136" s="144">
        <f>Données!V136</f>
        <v>0</v>
      </c>
      <c r="J136" s="144">
        <f>Données!W136</f>
        <v>-11931.9</v>
      </c>
      <c r="K136" s="7">
        <f>+Données!Q136</f>
        <v>5572.93</v>
      </c>
      <c r="L136" s="320">
        <f t="shared" si="6"/>
        <v>10565369.42</v>
      </c>
      <c r="M136" s="7">
        <f>+Données!F136</f>
        <v>0</v>
      </c>
      <c r="N136" s="7">
        <f>+Données!K136</f>
        <v>12635.9</v>
      </c>
      <c r="O136" s="7">
        <f>(Données!L136/Données!Y136)*1</f>
        <v>794835.05</v>
      </c>
      <c r="P136" s="320">
        <f t="shared" si="7"/>
        <v>11372840.370000001</v>
      </c>
      <c r="Q136" s="160">
        <f>+Données!X136</f>
        <v>66</v>
      </c>
      <c r="R136" s="320">
        <f t="shared" si="8"/>
        <v>172315.76318181818</v>
      </c>
    </row>
    <row r="137" spans="1:18" x14ac:dyDescent="0.25">
      <c r="A137" s="6">
        <f>Données!A137</f>
        <v>5635</v>
      </c>
      <c r="B137" s="26" t="str">
        <f>Données!B137</f>
        <v>Ecublens</v>
      </c>
      <c r="C137" s="7">
        <f>Données!C137+Données!D137</f>
        <v>22233994.669999998</v>
      </c>
      <c r="D137" s="7">
        <f>+Données!G137+Données!H137+Données!S137</f>
        <v>7422425.0199999996</v>
      </c>
      <c r="E137" s="7">
        <f>+Données!E137</f>
        <v>0</v>
      </c>
      <c r="F137" s="7">
        <f>+Données!I137</f>
        <v>97844.85</v>
      </c>
      <c r="G137" s="7">
        <f>+Données!J137</f>
        <v>1192526.4099999999</v>
      </c>
      <c r="H137" s="7">
        <f>Données!U137</f>
        <v>-342073.74</v>
      </c>
      <c r="I137" s="144">
        <f>Données!V137</f>
        <v>0</v>
      </c>
      <c r="J137" s="144">
        <f>Données!W137</f>
        <v>-21914.28</v>
      </c>
      <c r="K137" s="7">
        <f>+Données!Q137</f>
        <v>93353.73</v>
      </c>
      <c r="L137" s="320">
        <f t="shared" si="6"/>
        <v>30676156.66</v>
      </c>
      <c r="M137" s="7">
        <f>+Données!F137</f>
        <v>0</v>
      </c>
      <c r="N137" s="7">
        <f>+Données!K137</f>
        <v>534402.4</v>
      </c>
      <c r="O137" s="7">
        <f>(Données!L137/Données!Y137)*1</f>
        <v>2844595.8333333335</v>
      </c>
      <c r="P137" s="320">
        <f t="shared" si="7"/>
        <v>34055154.893333331</v>
      </c>
      <c r="Q137" s="160">
        <f>+Données!X137</f>
        <v>62.5</v>
      </c>
      <c r="R137" s="320">
        <f t="shared" si="8"/>
        <v>544882.47829333332</v>
      </c>
    </row>
    <row r="138" spans="1:18" x14ac:dyDescent="0.25">
      <c r="A138" s="6">
        <f>Données!A138</f>
        <v>5636</v>
      </c>
      <c r="B138" s="26" t="str">
        <f>Données!B138</f>
        <v>Etoy</v>
      </c>
      <c r="C138" s="7">
        <f>Données!C138+Données!D138</f>
        <v>7548274.7000000002</v>
      </c>
      <c r="D138" s="7">
        <f>+Données!G138+Données!H138+Données!S138</f>
        <v>3269850.38</v>
      </c>
      <c r="E138" s="7">
        <f>+Données!E138</f>
        <v>0</v>
      </c>
      <c r="F138" s="7">
        <f>+Données!I138</f>
        <v>29870.9</v>
      </c>
      <c r="G138" s="7">
        <f>+Données!J138</f>
        <v>618581.61</v>
      </c>
      <c r="H138" s="7">
        <f>Données!U138</f>
        <v>-96486.06</v>
      </c>
      <c r="I138" s="144">
        <f>Données!V138</f>
        <v>0</v>
      </c>
      <c r="J138" s="144">
        <f>Données!W138</f>
        <v>-2545.9</v>
      </c>
      <c r="K138" s="7">
        <f>+Données!Q138</f>
        <v>36641.5</v>
      </c>
      <c r="L138" s="320">
        <f t="shared" si="6"/>
        <v>11404187.129999999</v>
      </c>
      <c r="M138" s="7">
        <f>+Données!F138</f>
        <v>0</v>
      </c>
      <c r="N138" s="7">
        <f>+Données!K138</f>
        <v>253826.55</v>
      </c>
      <c r="O138" s="7">
        <f>(Données!L138/Données!Y138)*1</f>
        <v>1211954.45</v>
      </c>
      <c r="P138" s="320">
        <f t="shared" si="7"/>
        <v>12869968.129999999</v>
      </c>
      <c r="Q138" s="160">
        <f>+Données!X138</f>
        <v>60</v>
      </c>
      <c r="R138" s="320">
        <f t="shared" si="8"/>
        <v>214499.46883333332</v>
      </c>
    </row>
    <row r="139" spans="1:18" x14ac:dyDescent="0.25">
      <c r="A139" s="6">
        <f>Données!A139</f>
        <v>5637</v>
      </c>
      <c r="B139" s="26" t="str">
        <f>Données!B139</f>
        <v>Lavigny</v>
      </c>
      <c r="C139" s="7">
        <f>Données!C139+Données!D139</f>
        <v>2405715.0099999998</v>
      </c>
      <c r="D139" s="7">
        <f>+Données!G139+Données!H139+Données!S139</f>
        <v>40326.559999999998</v>
      </c>
      <c r="E139" s="7">
        <f>+Données!E139</f>
        <v>0</v>
      </c>
      <c r="F139" s="7">
        <f>+Données!I139</f>
        <v>0</v>
      </c>
      <c r="G139" s="7">
        <f>+Données!J139</f>
        <v>86585.42</v>
      </c>
      <c r="H139" s="7">
        <f>Données!U139</f>
        <v>-60150.57</v>
      </c>
      <c r="I139" s="144">
        <f>Données!V139</f>
        <v>0</v>
      </c>
      <c r="J139" s="144">
        <f>Données!W139</f>
        <v>-958.19</v>
      </c>
      <c r="K139" s="7">
        <f>+Données!Q139</f>
        <v>43413.46</v>
      </c>
      <c r="L139" s="320">
        <f t="shared" si="6"/>
        <v>2514931.69</v>
      </c>
      <c r="M139" s="7">
        <f>+Données!F139</f>
        <v>0</v>
      </c>
      <c r="N139" s="7">
        <f>+Données!K139</f>
        <v>10082.950000000001</v>
      </c>
      <c r="O139" s="7">
        <f>(Données!L139/Données!Y139)*1</f>
        <v>207910.30000000002</v>
      </c>
      <c r="P139" s="320">
        <f t="shared" si="7"/>
        <v>2732924.94</v>
      </c>
      <c r="Q139" s="160">
        <f>+Données!X139</f>
        <v>73</v>
      </c>
      <c r="R139" s="320">
        <f t="shared" si="8"/>
        <v>37437.327945205478</v>
      </c>
    </row>
    <row r="140" spans="1:18" x14ac:dyDescent="0.25">
      <c r="A140" s="6">
        <f>Données!A140</f>
        <v>5638</v>
      </c>
      <c r="B140" s="26" t="str">
        <f>Données!B140</f>
        <v>Lonay</v>
      </c>
      <c r="C140" s="7">
        <f>Données!C140+Données!D140</f>
        <v>6540918.4199999999</v>
      </c>
      <c r="D140" s="7">
        <f>+Données!G140+Données!H140+Données!S140</f>
        <v>726477.83000000007</v>
      </c>
      <c r="E140" s="7">
        <f>+Données!E140</f>
        <v>0</v>
      </c>
      <c r="F140" s="7">
        <f>+Données!I140</f>
        <v>359927.65</v>
      </c>
      <c r="G140" s="7">
        <f>+Données!J140</f>
        <v>214366.07</v>
      </c>
      <c r="H140" s="7">
        <f>Données!U140</f>
        <v>-90449.22</v>
      </c>
      <c r="I140" s="144">
        <f>Données!V140</f>
        <v>0</v>
      </c>
      <c r="J140" s="144">
        <f>Données!W140</f>
        <v>-6196.64</v>
      </c>
      <c r="K140" s="7">
        <f>+Données!Q140</f>
        <v>33556.519999999997</v>
      </c>
      <c r="L140" s="320">
        <f t="shared" si="6"/>
        <v>7778600.6300000008</v>
      </c>
      <c r="M140" s="7">
        <f>+Données!F140</f>
        <v>0</v>
      </c>
      <c r="N140" s="7">
        <f>+Données!K140</f>
        <v>73791.600000000006</v>
      </c>
      <c r="O140" s="7">
        <f>(Données!L140/Données!Y140)*1</f>
        <v>747999.2</v>
      </c>
      <c r="P140" s="320">
        <f t="shared" si="7"/>
        <v>8600391.4299999997</v>
      </c>
      <c r="Q140" s="160">
        <f>+Données!X140</f>
        <v>55</v>
      </c>
      <c r="R140" s="320">
        <f t="shared" si="8"/>
        <v>156370.75327272728</v>
      </c>
    </row>
    <row r="141" spans="1:18" x14ac:dyDescent="0.25">
      <c r="A141" s="6">
        <f>Données!A141</f>
        <v>5639</v>
      </c>
      <c r="B141" s="26" t="str">
        <f>Données!B141</f>
        <v>Lully</v>
      </c>
      <c r="C141" s="7">
        <f>Données!C141+Données!D141</f>
        <v>3144262.49</v>
      </c>
      <c r="D141" s="7">
        <f>+Données!G141+Données!H141+Données!S141</f>
        <v>45941.07</v>
      </c>
      <c r="E141" s="7">
        <f>+Données!E141</f>
        <v>0</v>
      </c>
      <c r="F141" s="7">
        <f>+Données!I141</f>
        <v>0</v>
      </c>
      <c r="G141" s="7">
        <f>+Données!J141</f>
        <v>-3253.93</v>
      </c>
      <c r="H141" s="7">
        <f>Données!U141</f>
        <v>-141.01</v>
      </c>
      <c r="I141" s="144">
        <f>Données!V141</f>
        <v>0</v>
      </c>
      <c r="J141" s="144">
        <f>Données!W141</f>
        <v>-3112.05</v>
      </c>
      <c r="K141" s="7">
        <f>+Données!Q141</f>
        <v>0</v>
      </c>
      <c r="L141" s="320">
        <f t="shared" si="6"/>
        <v>3183696.5700000003</v>
      </c>
      <c r="M141" s="7">
        <f>+Données!F141</f>
        <v>0</v>
      </c>
      <c r="N141" s="7">
        <f>+Données!K141</f>
        <v>2936.85</v>
      </c>
      <c r="O141" s="7">
        <f>(Données!L141/Données!Y141)*1</f>
        <v>218992.12000000002</v>
      </c>
      <c r="P141" s="320">
        <f t="shared" si="7"/>
        <v>3405625.5400000005</v>
      </c>
      <c r="Q141" s="160">
        <f>+Données!X141</f>
        <v>61</v>
      </c>
      <c r="R141" s="320">
        <f t="shared" si="8"/>
        <v>55829.926885245906</v>
      </c>
    </row>
    <row r="142" spans="1:18" x14ac:dyDescent="0.25">
      <c r="A142" s="6">
        <f>Données!A142</f>
        <v>5640</v>
      </c>
      <c r="B142" s="26" t="str">
        <f>Données!B142</f>
        <v>Lussy-sur-Morges</v>
      </c>
      <c r="C142" s="7">
        <f>Données!C142+Données!D142</f>
        <v>3483774.1900000004</v>
      </c>
      <c r="D142" s="7">
        <f>+Données!G142+Données!H142+Données!S142</f>
        <v>73623.03</v>
      </c>
      <c r="E142" s="7">
        <f>+Données!E142</f>
        <v>0</v>
      </c>
      <c r="F142" s="7">
        <f>+Données!I142</f>
        <v>83927.5</v>
      </c>
      <c r="G142" s="7">
        <f>+Données!J142</f>
        <v>27925.02</v>
      </c>
      <c r="H142" s="7">
        <f>Données!U142</f>
        <v>-3269.91</v>
      </c>
      <c r="I142" s="144">
        <f>Données!V142</f>
        <v>0</v>
      </c>
      <c r="J142" s="144">
        <f>Données!W142</f>
        <v>-6192.41</v>
      </c>
      <c r="K142" s="7">
        <f>+Données!Q142</f>
        <v>0</v>
      </c>
      <c r="L142" s="320">
        <f t="shared" si="6"/>
        <v>3659787.42</v>
      </c>
      <c r="M142" s="7">
        <f>+Données!F142</f>
        <v>0</v>
      </c>
      <c r="N142" s="7">
        <f>+Données!K142</f>
        <v>10925.25</v>
      </c>
      <c r="O142" s="7">
        <f>(Données!L142/Données!Y142)*1</f>
        <v>222430.4</v>
      </c>
      <c r="P142" s="320">
        <f t="shared" si="7"/>
        <v>3893143.07</v>
      </c>
      <c r="Q142" s="160">
        <f>+Données!X142</f>
        <v>61.5</v>
      </c>
      <c r="R142" s="320">
        <f t="shared" si="8"/>
        <v>63303.13934959349</v>
      </c>
    </row>
    <row r="143" spans="1:18" x14ac:dyDescent="0.25">
      <c r="A143" s="6">
        <f>Données!A143</f>
        <v>5642</v>
      </c>
      <c r="B143" s="26" t="str">
        <f>Données!B143</f>
        <v>Morges</v>
      </c>
      <c r="C143" s="7">
        <f>Données!C143+Données!D143</f>
        <v>48067783.980000004</v>
      </c>
      <c r="D143" s="7">
        <f>+Données!G143+Données!H143+Données!S143</f>
        <v>16429710.850000001</v>
      </c>
      <c r="E143" s="7">
        <f>+Données!E143</f>
        <v>0</v>
      </c>
      <c r="F143" s="7">
        <f>+Données!I143</f>
        <v>784003.89</v>
      </c>
      <c r="G143" s="7">
        <f>+Données!J143</f>
        <v>1851940.75</v>
      </c>
      <c r="H143" s="7">
        <f>Données!U143</f>
        <v>-623325.84</v>
      </c>
      <c r="I143" s="144">
        <f>Données!V143</f>
        <v>0</v>
      </c>
      <c r="J143" s="144">
        <f>Données!W143</f>
        <v>-120425.5</v>
      </c>
      <c r="K143" s="7">
        <f>+Données!Q143</f>
        <v>220850.25</v>
      </c>
      <c r="L143" s="320">
        <f t="shared" si="6"/>
        <v>66610538.379999995</v>
      </c>
      <c r="M143" s="7">
        <f>+Données!F143</f>
        <v>0</v>
      </c>
      <c r="N143" s="7">
        <f>+Données!K143</f>
        <v>558613.25</v>
      </c>
      <c r="O143" s="7">
        <f>(Données!L143/Données!Y143)*1</f>
        <v>3984145.55</v>
      </c>
      <c r="P143" s="320">
        <f t="shared" si="7"/>
        <v>71153297.179999992</v>
      </c>
      <c r="Q143" s="160">
        <f>+Données!X143</f>
        <v>67</v>
      </c>
      <c r="R143" s="320">
        <f t="shared" si="8"/>
        <v>1061989.5101492535</v>
      </c>
    </row>
    <row r="144" spans="1:18" x14ac:dyDescent="0.25">
      <c r="A144" s="6">
        <f>Données!A144</f>
        <v>5643</v>
      </c>
      <c r="B144" s="26" t="str">
        <f>Données!B144</f>
        <v>Préverenges</v>
      </c>
      <c r="C144" s="7">
        <f>Données!C144+Données!D144</f>
        <v>14088914.010000002</v>
      </c>
      <c r="D144" s="7">
        <f>+Données!G144+Données!H144+Données!S144</f>
        <v>688847.54999999993</v>
      </c>
      <c r="E144" s="7">
        <f>+Données!E144</f>
        <v>0</v>
      </c>
      <c r="F144" s="7">
        <f>+Données!I144</f>
        <v>379589.83</v>
      </c>
      <c r="G144" s="7">
        <f>+Données!J144</f>
        <v>303391.63</v>
      </c>
      <c r="H144" s="7">
        <f>Données!U144</f>
        <v>-162002.88</v>
      </c>
      <c r="I144" s="144">
        <f>Données!V144</f>
        <v>0</v>
      </c>
      <c r="J144" s="144">
        <f>Données!W144</f>
        <v>-32986.31</v>
      </c>
      <c r="K144" s="7">
        <f>+Données!Q144</f>
        <v>20632.07</v>
      </c>
      <c r="L144" s="320">
        <f t="shared" si="6"/>
        <v>15286385.900000002</v>
      </c>
      <c r="M144" s="7">
        <f>+Données!F144</f>
        <v>0</v>
      </c>
      <c r="N144" s="7">
        <f>+Données!K144</f>
        <v>84856.15</v>
      </c>
      <c r="O144" s="7">
        <f>(Données!L144/Données!Y144)*1</f>
        <v>1183178.55</v>
      </c>
      <c r="P144" s="320">
        <f t="shared" si="7"/>
        <v>16554420.600000003</v>
      </c>
      <c r="Q144" s="160">
        <f>+Données!X144</f>
        <v>65</v>
      </c>
      <c r="R144" s="320">
        <f t="shared" si="8"/>
        <v>254683.39384615389</v>
      </c>
    </row>
    <row r="145" spans="1:18" x14ac:dyDescent="0.25">
      <c r="A145" s="6">
        <f>Données!A145</f>
        <v>5645</v>
      </c>
      <c r="B145" s="26" t="str">
        <f>Données!B145</f>
        <v>Romanel-sur-Morges</v>
      </c>
      <c r="C145" s="7">
        <f>Données!C145+Données!D145</f>
        <v>1211751.71</v>
      </c>
      <c r="D145" s="7">
        <f>+Données!G145+Données!H145+Données!S145</f>
        <v>181445.12</v>
      </c>
      <c r="E145" s="7">
        <f>+Données!E145</f>
        <v>0</v>
      </c>
      <c r="F145" s="7">
        <f>+Données!I145</f>
        <v>0</v>
      </c>
      <c r="G145" s="7">
        <f>+Données!J145</f>
        <v>29681.03</v>
      </c>
      <c r="H145" s="7">
        <f>Données!U145</f>
        <v>-23955.19</v>
      </c>
      <c r="I145" s="144">
        <f>Données!V145</f>
        <v>0</v>
      </c>
      <c r="J145" s="144">
        <f>Données!W145</f>
        <v>-2830.48</v>
      </c>
      <c r="K145" s="7">
        <f>+Données!Q145</f>
        <v>981.23</v>
      </c>
      <c r="L145" s="320">
        <f t="shared" si="6"/>
        <v>1397073.4200000002</v>
      </c>
      <c r="M145" s="7">
        <f>+Données!F145</f>
        <v>0</v>
      </c>
      <c r="N145" s="7">
        <f>+Données!K145</f>
        <v>22293</v>
      </c>
      <c r="O145" s="7">
        <f>(Données!L145/Données!Y145)*1</f>
        <v>165921.60000000001</v>
      </c>
      <c r="P145" s="320">
        <f t="shared" si="7"/>
        <v>1585288.0200000003</v>
      </c>
      <c r="Q145" s="160">
        <f>+Données!X145</f>
        <v>56</v>
      </c>
      <c r="R145" s="320">
        <f t="shared" si="8"/>
        <v>28308.714642857147</v>
      </c>
    </row>
    <row r="146" spans="1:18" x14ac:dyDescent="0.25">
      <c r="A146" s="6">
        <f>Données!A146</f>
        <v>5646</v>
      </c>
      <c r="B146" s="26" t="str">
        <f>Données!B146</f>
        <v>Saint-Prex</v>
      </c>
      <c r="C146" s="7">
        <f>Données!C146+Données!D146</f>
        <v>17004029.120000001</v>
      </c>
      <c r="D146" s="7">
        <f>+Données!G146+Données!H146+Données!S146</f>
        <v>7714630.0499999998</v>
      </c>
      <c r="E146" s="7">
        <f>+Données!E146</f>
        <v>0</v>
      </c>
      <c r="F146" s="7">
        <f>+Données!I146</f>
        <v>616588.51</v>
      </c>
      <c r="G146" s="7">
        <f>+Données!J146</f>
        <v>616636.19999999995</v>
      </c>
      <c r="H146" s="7">
        <f>Données!U146</f>
        <v>-253692.95</v>
      </c>
      <c r="I146" s="144">
        <f>Données!V146</f>
        <v>0</v>
      </c>
      <c r="J146" s="144">
        <f>Données!W146</f>
        <v>-112171.63</v>
      </c>
      <c r="K146" s="7">
        <f>+Données!Q146</f>
        <v>18754.23</v>
      </c>
      <c r="L146" s="320">
        <f t="shared" si="6"/>
        <v>25604773.530000005</v>
      </c>
      <c r="M146" s="7">
        <f>+Données!F146</f>
        <v>0</v>
      </c>
      <c r="N146" s="7">
        <f>+Données!K146</f>
        <v>75821.05</v>
      </c>
      <c r="O146" s="7">
        <f>(Données!L146/Données!Y146)*1</f>
        <v>1801527.7916666667</v>
      </c>
      <c r="P146" s="320">
        <f t="shared" si="7"/>
        <v>27482122.371666674</v>
      </c>
      <c r="Q146" s="160">
        <f>+Données!X146</f>
        <v>59</v>
      </c>
      <c r="R146" s="320">
        <f t="shared" si="8"/>
        <v>465798.68426553684</v>
      </c>
    </row>
    <row r="147" spans="1:18" x14ac:dyDescent="0.25">
      <c r="A147" s="6">
        <f>Données!A147</f>
        <v>5648</v>
      </c>
      <c r="B147" s="26" t="str">
        <f>Données!B147</f>
        <v>Saint-Sulpice</v>
      </c>
      <c r="C147" s="7">
        <f>Données!C147+Données!D147</f>
        <v>20159262.469999999</v>
      </c>
      <c r="D147" s="7">
        <f>+Données!G147+Données!H147+Données!S147</f>
        <v>840096.1</v>
      </c>
      <c r="E147" s="7">
        <f>+Données!E147</f>
        <v>0</v>
      </c>
      <c r="F147" s="7">
        <f>+Données!I147</f>
        <v>200450.09</v>
      </c>
      <c r="G147" s="7">
        <f>+Données!J147</f>
        <v>522049</v>
      </c>
      <c r="H147" s="7">
        <f>Données!U147</f>
        <v>-313611.81</v>
      </c>
      <c r="I147" s="144">
        <f>Données!V147</f>
        <v>0</v>
      </c>
      <c r="J147" s="144">
        <f>Données!W147</f>
        <v>-86160.14</v>
      </c>
      <c r="K147" s="7">
        <f>+Données!Q147</f>
        <v>9006.44</v>
      </c>
      <c r="L147" s="320">
        <f t="shared" si="6"/>
        <v>21331092.150000002</v>
      </c>
      <c r="M147" s="7">
        <f>+Données!F147</f>
        <v>0</v>
      </c>
      <c r="N147" s="7">
        <f>+Données!K147</f>
        <v>197240.75</v>
      </c>
      <c r="O147" s="7">
        <f>(Données!L147/Données!Y147)*1</f>
        <v>1840118.8875</v>
      </c>
      <c r="P147" s="320">
        <f t="shared" si="7"/>
        <v>23368451.787500001</v>
      </c>
      <c r="Q147" s="160">
        <f>+Données!X147</f>
        <v>55</v>
      </c>
      <c r="R147" s="320">
        <f t="shared" si="8"/>
        <v>424880.94159090909</v>
      </c>
    </row>
    <row r="148" spans="1:18" x14ac:dyDescent="0.25">
      <c r="A148" s="6">
        <f>Données!A148</f>
        <v>5649</v>
      </c>
      <c r="B148" s="26" t="str">
        <f>Données!B148</f>
        <v>Tolochenaz</v>
      </c>
      <c r="C148" s="7">
        <f>Données!C148+Données!D148</f>
        <v>4824516.9399999995</v>
      </c>
      <c r="D148" s="7">
        <f>+Données!G148+Données!H148+Données!S148</f>
        <v>21693097.379999999</v>
      </c>
      <c r="E148" s="7">
        <f>+Données!E148</f>
        <v>0</v>
      </c>
      <c r="F148" s="7">
        <f>+Données!I148</f>
        <v>0</v>
      </c>
      <c r="G148" s="7">
        <f>+Données!J148</f>
        <v>510061.44</v>
      </c>
      <c r="H148" s="7">
        <f>Données!U148</f>
        <v>-70671.37</v>
      </c>
      <c r="I148" s="144">
        <f>Données!V148</f>
        <v>0</v>
      </c>
      <c r="J148" s="144">
        <f>Données!W148</f>
        <v>-3440.5</v>
      </c>
      <c r="K148" s="7">
        <f>+Données!Q148</f>
        <v>11111.34</v>
      </c>
      <c r="L148" s="320">
        <f t="shared" si="6"/>
        <v>26964675.23</v>
      </c>
      <c r="M148" s="7">
        <f>+Données!F148</f>
        <v>0</v>
      </c>
      <c r="N148" s="7">
        <f>+Données!K148</f>
        <v>78106.100000000006</v>
      </c>
      <c r="O148" s="7">
        <f>(Données!L148/Données!Y148)*1</f>
        <v>603710.65</v>
      </c>
      <c r="P148" s="320">
        <f t="shared" si="7"/>
        <v>27646491.98</v>
      </c>
      <c r="Q148" s="160">
        <f>+Données!X148</f>
        <v>64</v>
      </c>
      <c r="R148" s="320">
        <f t="shared" si="8"/>
        <v>431976.43718750001</v>
      </c>
    </row>
    <row r="149" spans="1:18" x14ac:dyDescent="0.25">
      <c r="A149" s="6">
        <f>Données!A149</f>
        <v>5650</v>
      </c>
      <c r="B149" s="26" t="str">
        <f>Données!B149</f>
        <v>Vaux-sur-Morges</v>
      </c>
      <c r="C149" s="7">
        <f>Données!C149+Données!D149</f>
        <v>6483947.9500000002</v>
      </c>
      <c r="D149" s="7">
        <f>+Données!G149+Données!H149+Données!S149</f>
        <v>2815.8100000000004</v>
      </c>
      <c r="E149" s="7">
        <f>+Données!E149</f>
        <v>0</v>
      </c>
      <c r="F149" s="7">
        <f>+Données!I149</f>
        <v>0</v>
      </c>
      <c r="G149" s="7">
        <f>+Données!J149</f>
        <v>-1496.06</v>
      </c>
      <c r="H149" s="7">
        <f>Données!U149</f>
        <v>-215.07</v>
      </c>
      <c r="I149" s="144">
        <f>Données!V149</f>
        <v>0</v>
      </c>
      <c r="J149" s="144">
        <f>Données!W149</f>
        <v>-4868.8500000000004</v>
      </c>
      <c r="K149" s="7">
        <f>+Données!Q149</f>
        <v>0</v>
      </c>
      <c r="L149" s="320">
        <f t="shared" si="6"/>
        <v>6480183.7800000003</v>
      </c>
      <c r="M149" s="7">
        <f>+Données!F149</f>
        <v>0</v>
      </c>
      <c r="N149" s="7">
        <f>+Données!K149</f>
        <v>0</v>
      </c>
      <c r="O149" s="7">
        <f>(Données!L149/Données!Y149)*1</f>
        <v>46451.199999999997</v>
      </c>
      <c r="P149" s="320">
        <f t="shared" si="7"/>
        <v>6526634.9800000004</v>
      </c>
      <c r="Q149" s="160">
        <f>+Données!X149</f>
        <v>56</v>
      </c>
      <c r="R149" s="320">
        <f t="shared" si="8"/>
        <v>116547.05321428573</v>
      </c>
    </row>
    <row r="150" spans="1:18" x14ac:dyDescent="0.25">
      <c r="A150" s="6">
        <f>Données!A150</f>
        <v>5651</v>
      </c>
      <c r="B150" s="26" t="str">
        <f>Données!B150</f>
        <v>Villars-Sainte-Croix</v>
      </c>
      <c r="C150" s="7">
        <f>Données!C150+Données!D150</f>
        <v>2282220.02</v>
      </c>
      <c r="D150" s="7">
        <f>+Données!G150+Données!H150+Données!S150</f>
        <v>1108472.04</v>
      </c>
      <c r="E150" s="7">
        <f>+Données!E150</f>
        <v>0</v>
      </c>
      <c r="F150" s="7">
        <f>+Données!I150</f>
        <v>0</v>
      </c>
      <c r="G150" s="7">
        <f>+Données!J150</f>
        <v>20193.48</v>
      </c>
      <c r="H150" s="7">
        <f>Données!U150</f>
        <v>-60795.19</v>
      </c>
      <c r="I150" s="144">
        <f>Données!V150</f>
        <v>0</v>
      </c>
      <c r="J150" s="144">
        <f>Données!W150</f>
        <v>-1279.4000000000001</v>
      </c>
      <c r="K150" s="7">
        <f>+Données!Q150</f>
        <v>6600.52</v>
      </c>
      <c r="L150" s="320">
        <f t="shared" si="6"/>
        <v>3355411.47</v>
      </c>
      <c r="M150" s="7">
        <f>+Données!F150</f>
        <v>0</v>
      </c>
      <c r="N150" s="7">
        <f>+Données!K150</f>
        <v>44565.4</v>
      </c>
      <c r="O150" s="7">
        <f>(Données!L150/Données!Y150)*1</f>
        <v>392515.1</v>
      </c>
      <c r="P150" s="320">
        <f t="shared" si="7"/>
        <v>3792491.97</v>
      </c>
      <c r="Q150" s="160">
        <f>+Données!X150</f>
        <v>60.5</v>
      </c>
      <c r="R150" s="320">
        <f t="shared" si="8"/>
        <v>62685.817685950416</v>
      </c>
    </row>
    <row r="151" spans="1:18" x14ac:dyDescent="0.25">
      <c r="A151" s="6">
        <f>Données!A151</f>
        <v>5652</v>
      </c>
      <c r="B151" s="26" t="str">
        <f>Données!B151</f>
        <v>Villars-sous-Yens</v>
      </c>
      <c r="C151" s="7">
        <f>Données!C151+Données!D151</f>
        <v>1872795.5099999998</v>
      </c>
      <c r="D151" s="7">
        <f>+Données!G151+Données!H151+Données!S151</f>
        <v>42325.8</v>
      </c>
      <c r="E151" s="7">
        <f>+Données!E151</f>
        <v>0</v>
      </c>
      <c r="F151" s="7">
        <f>+Données!I151</f>
        <v>0</v>
      </c>
      <c r="G151" s="7">
        <f>+Données!J151</f>
        <v>7952.77</v>
      </c>
      <c r="H151" s="7">
        <f>Données!U151</f>
        <v>-21015.65</v>
      </c>
      <c r="I151" s="144">
        <f>Données!V151</f>
        <v>0</v>
      </c>
      <c r="J151" s="144">
        <f>Données!W151</f>
        <v>-1563.9</v>
      </c>
      <c r="K151" s="7">
        <f>+Données!Q151</f>
        <v>0</v>
      </c>
      <c r="L151" s="320">
        <f t="shared" si="6"/>
        <v>1900494.53</v>
      </c>
      <c r="M151" s="7">
        <f>+Données!F151</f>
        <v>0</v>
      </c>
      <c r="N151" s="7">
        <f>+Données!K151</f>
        <v>1419.15</v>
      </c>
      <c r="O151" s="7">
        <f>(Données!L151/Données!Y151)*1</f>
        <v>121056.58333333333</v>
      </c>
      <c r="P151" s="320">
        <f t="shared" si="7"/>
        <v>2022970.2633333332</v>
      </c>
      <c r="Q151" s="160">
        <f>+Données!X151</f>
        <v>74</v>
      </c>
      <c r="R151" s="320">
        <f t="shared" si="8"/>
        <v>27337.435990990991</v>
      </c>
    </row>
    <row r="152" spans="1:18" x14ac:dyDescent="0.25">
      <c r="A152" s="6">
        <f>Données!A152</f>
        <v>5653</v>
      </c>
      <c r="B152" s="26" t="str">
        <f>Données!B152</f>
        <v>Vufflens-le-Château</v>
      </c>
      <c r="C152" s="7">
        <f>Données!C152+Données!D152</f>
        <v>4233377.12</v>
      </c>
      <c r="D152" s="7">
        <f>+Données!G152+Données!H152+Données!S152</f>
        <v>6619.67</v>
      </c>
      <c r="E152" s="7">
        <f>+Données!E152</f>
        <v>0</v>
      </c>
      <c r="F152" s="7">
        <f>+Données!I152</f>
        <v>134403.9</v>
      </c>
      <c r="G152" s="7">
        <f>+Données!J152</f>
        <v>19540.990000000002</v>
      </c>
      <c r="H152" s="7">
        <f>Données!U152</f>
        <v>-6209.28</v>
      </c>
      <c r="I152" s="144">
        <f>Données!V152</f>
        <v>0</v>
      </c>
      <c r="J152" s="144">
        <f>Données!W152</f>
        <v>-53946.7</v>
      </c>
      <c r="K152" s="7">
        <f>+Données!Q152</f>
        <v>1076.05</v>
      </c>
      <c r="L152" s="320">
        <f t="shared" si="6"/>
        <v>4334861.75</v>
      </c>
      <c r="M152" s="7">
        <f>+Données!F152</f>
        <v>0</v>
      </c>
      <c r="N152" s="7">
        <f>+Données!K152</f>
        <v>3354.4</v>
      </c>
      <c r="O152" s="7">
        <f>(Données!L152/Données!Y152)*1</f>
        <v>273559.625</v>
      </c>
      <c r="P152" s="320">
        <f t="shared" si="7"/>
        <v>4611775.7750000004</v>
      </c>
      <c r="Q152" s="160">
        <f>+Données!X152</f>
        <v>60.5</v>
      </c>
      <c r="R152" s="320">
        <f t="shared" si="8"/>
        <v>76227.69876033059</v>
      </c>
    </row>
    <row r="153" spans="1:18" x14ac:dyDescent="0.25">
      <c r="A153" s="6">
        <f>Données!A153</f>
        <v>5654</v>
      </c>
      <c r="B153" s="26" t="str">
        <f>Données!B153</f>
        <v>Vullierens</v>
      </c>
      <c r="C153" s="7">
        <f>Données!C153+Données!D153</f>
        <v>1592682.8900000001</v>
      </c>
      <c r="D153" s="7">
        <f>+Données!G153+Données!H153+Données!S153</f>
        <v>25540.050000000003</v>
      </c>
      <c r="E153" s="7">
        <f>+Données!E153</f>
        <v>0</v>
      </c>
      <c r="F153" s="7">
        <f>+Données!I153</f>
        <v>0</v>
      </c>
      <c r="G153" s="7">
        <f>+Données!J153</f>
        <v>14851.54</v>
      </c>
      <c r="H153" s="7">
        <f>Données!U153</f>
        <v>-2452.8200000000002</v>
      </c>
      <c r="I153" s="144">
        <f>Données!V153</f>
        <v>0</v>
      </c>
      <c r="J153" s="144">
        <f>Données!W153</f>
        <v>-286.89999999999998</v>
      </c>
      <c r="K153" s="7">
        <f>+Données!Q153</f>
        <v>1714.61</v>
      </c>
      <c r="L153" s="320">
        <f t="shared" si="6"/>
        <v>1632049.3700000003</v>
      </c>
      <c r="M153" s="7">
        <f>+Données!F153</f>
        <v>0</v>
      </c>
      <c r="N153" s="7">
        <f>+Données!K153</f>
        <v>1902.5</v>
      </c>
      <c r="O153" s="7">
        <f>(Données!L153/Données!Y153)*1</f>
        <v>119734.1</v>
      </c>
      <c r="P153" s="320">
        <f t="shared" si="7"/>
        <v>1753685.9700000004</v>
      </c>
      <c r="Q153" s="160">
        <f>+Données!X153</f>
        <v>76</v>
      </c>
      <c r="R153" s="320">
        <f t="shared" si="8"/>
        <v>23074.815394736848</v>
      </c>
    </row>
    <row r="154" spans="1:18" x14ac:dyDescent="0.25">
      <c r="A154" s="6">
        <f>Données!A154</f>
        <v>5655</v>
      </c>
      <c r="B154" s="26" t="str">
        <f>Données!B154</f>
        <v>Yens</v>
      </c>
      <c r="C154" s="7">
        <f>Données!C154+Données!D154</f>
        <v>6362251.9699999997</v>
      </c>
      <c r="D154" s="7">
        <f>+Données!G154+Données!H154+Données!S154</f>
        <v>93253.73</v>
      </c>
      <c r="E154" s="7">
        <f>+Données!E154</f>
        <v>0</v>
      </c>
      <c r="F154" s="7">
        <f>+Données!I154</f>
        <v>81684.5</v>
      </c>
      <c r="G154" s="7">
        <f>+Données!J154</f>
        <v>49412.46</v>
      </c>
      <c r="H154" s="7">
        <f>Données!U154</f>
        <v>-40185.379999999997</v>
      </c>
      <c r="I154" s="144">
        <f>Données!V154</f>
        <v>0</v>
      </c>
      <c r="J154" s="144">
        <f>Données!W154</f>
        <v>-15995.6</v>
      </c>
      <c r="K154" s="7">
        <f>+Données!Q154</f>
        <v>10191.64</v>
      </c>
      <c r="L154" s="320">
        <f t="shared" si="6"/>
        <v>6540613.3200000003</v>
      </c>
      <c r="M154" s="7">
        <f>+Données!F154</f>
        <v>0</v>
      </c>
      <c r="N154" s="7">
        <f>+Données!K154</f>
        <v>226.95</v>
      </c>
      <c r="O154" s="7">
        <f>(Données!L154/Données!Y154)*1</f>
        <v>454328.75</v>
      </c>
      <c r="P154" s="320">
        <f t="shared" si="7"/>
        <v>6995169.0200000005</v>
      </c>
      <c r="Q154" s="160">
        <f>+Données!X154</f>
        <v>70</v>
      </c>
      <c r="R154" s="320">
        <f t="shared" si="8"/>
        <v>99930.986000000004</v>
      </c>
    </row>
    <row r="155" spans="1:18" x14ac:dyDescent="0.25">
      <c r="A155" s="6">
        <f>Données!A155</f>
        <v>5656</v>
      </c>
      <c r="B155" s="26" t="str">
        <f>Données!B155</f>
        <v>Hautemorges</v>
      </c>
      <c r="C155" s="7">
        <f>Données!C155+Données!D155</f>
        <v>10467514.050000001</v>
      </c>
      <c r="D155" s="7">
        <f>+Données!G155+Données!H155+Données!S155</f>
        <v>449900.27</v>
      </c>
      <c r="E155" s="7">
        <f>+Données!E155</f>
        <v>0</v>
      </c>
      <c r="F155" s="7">
        <f>+Données!I155</f>
        <v>220262.15</v>
      </c>
      <c r="G155" s="7">
        <f>+Données!J155</f>
        <v>263072.17</v>
      </c>
      <c r="H155" s="7">
        <f>Données!U155</f>
        <v>-90353.99</v>
      </c>
      <c r="I155" s="144">
        <f>Données!V155</f>
        <v>0</v>
      </c>
      <c r="J155" s="144">
        <f>Données!W155</f>
        <v>-10940.09</v>
      </c>
      <c r="K155" s="7">
        <f>+Données!Q155</f>
        <v>85170.59</v>
      </c>
      <c r="L155" s="320">
        <f t="shared" si="6"/>
        <v>11384625.15</v>
      </c>
      <c r="M155" s="7">
        <f>+Données!F155</f>
        <v>0</v>
      </c>
      <c r="N155" s="7">
        <f>+Données!K155</f>
        <v>29329.75</v>
      </c>
      <c r="O155" s="7">
        <f>(Données!L155/Données!Y155)*1</f>
        <v>930796.5</v>
      </c>
      <c r="P155" s="320">
        <f t="shared" si="7"/>
        <v>12344751.4</v>
      </c>
      <c r="Q155" s="160">
        <f>+Données!X155</f>
        <v>71</v>
      </c>
      <c r="R155" s="320">
        <f t="shared" si="8"/>
        <v>173869.73802816903</v>
      </c>
    </row>
    <row r="156" spans="1:18" x14ac:dyDescent="0.25">
      <c r="A156" s="6">
        <f>Données!A156</f>
        <v>5661</v>
      </c>
      <c r="B156" s="26" t="str">
        <f>Données!B156</f>
        <v>Boulens</v>
      </c>
      <c r="C156" s="7">
        <f>Données!C156+Données!D156</f>
        <v>665205.73</v>
      </c>
      <c r="D156" s="7">
        <f>+Données!G156+Données!H156+Données!S156</f>
        <v>-787.50000000000011</v>
      </c>
      <c r="E156" s="7">
        <f>+Données!E156</f>
        <v>0</v>
      </c>
      <c r="F156" s="7">
        <f>+Données!I156</f>
        <v>0</v>
      </c>
      <c r="G156" s="7">
        <f>+Données!J156</f>
        <v>2760.69</v>
      </c>
      <c r="H156" s="7">
        <f>Données!U156</f>
        <v>-11685.16</v>
      </c>
      <c r="I156" s="144">
        <f>Données!V156</f>
        <v>0</v>
      </c>
      <c r="J156" s="144">
        <f>Données!W156</f>
        <v>-13.15</v>
      </c>
      <c r="K156" s="7">
        <f>+Données!Q156</f>
        <v>0</v>
      </c>
      <c r="L156" s="320">
        <f t="shared" si="6"/>
        <v>655480.60999999987</v>
      </c>
      <c r="M156" s="7">
        <f>+Données!F156</f>
        <v>0</v>
      </c>
      <c r="N156" s="7">
        <f>+Données!K156</f>
        <v>555</v>
      </c>
      <c r="O156" s="7">
        <f>(Données!L156/Données!Y156)*1</f>
        <v>64029.4</v>
      </c>
      <c r="P156" s="320">
        <f t="shared" si="7"/>
        <v>720065.00999999989</v>
      </c>
      <c r="Q156" s="160">
        <f>+Données!X156</f>
        <v>71.5</v>
      </c>
      <c r="R156" s="320">
        <f t="shared" si="8"/>
        <v>10070.839300699299</v>
      </c>
    </row>
    <row r="157" spans="1:18" x14ac:dyDescent="0.25">
      <c r="A157" s="6">
        <f>Données!A157</f>
        <v>5663</v>
      </c>
      <c r="B157" s="26" t="str">
        <f>Données!B157</f>
        <v>Bussy-sur-Moudon</v>
      </c>
      <c r="C157" s="7">
        <f>Données!C157+Données!D157</f>
        <v>415839.83</v>
      </c>
      <c r="D157" s="7">
        <f>+Données!G157+Données!H157+Données!S157</f>
        <v>6056.0899999999992</v>
      </c>
      <c r="E157" s="7">
        <f>+Données!E157</f>
        <v>0</v>
      </c>
      <c r="F157" s="7">
        <f>+Données!I157</f>
        <v>0</v>
      </c>
      <c r="G157" s="7">
        <f>+Données!J157</f>
        <v>-610.38</v>
      </c>
      <c r="H157" s="7">
        <f>Données!U157</f>
        <v>-2287.7399999999998</v>
      </c>
      <c r="I157" s="144">
        <f>Données!V157</f>
        <v>0</v>
      </c>
      <c r="J157" s="144">
        <f>Données!W157</f>
        <v>0</v>
      </c>
      <c r="K157" s="7">
        <f>+Données!Q157</f>
        <v>0</v>
      </c>
      <c r="L157" s="320">
        <f t="shared" si="6"/>
        <v>418997.80000000005</v>
      </c>
      <c r="M157" s="7">
        <f>+Données!F157</f>
        <v>1470</v>
      </c>
      <c r="N157" s="7">
        <f>+Données!K157</f>
        <v>325.2</v>
      </c>
      <c r="O157" s="7">
        <f>(Données!L157/Données!Y157)*1</f>
        <v>38157.65</v>
      </c>
      <c r="P157" s="320">
        <f t="shared" si="7"/>
        <v>458950.65000000008</v>
      </c>
      <c r="Q157" s="160">
        <f>+Données!X157</f>
        <v>78.5</v>
      </c>
      <c r="R157" s="320">
        <f t="shared" si="8"/>
        <v>5846.5050955414026</v>
      </c>
    </row>
    <row r="158" spans="1:18" x14ac:dyDescent="0.25">
      <c r="A158" s="6">
        <f>Données!A158</f>
        <v>5665</v>
      </c>
      <c r="B158" s="26" t="str">
        <f>Données!B158</f>
        <v>Chavannes-sur-Moudon</v>
      </c>
      <c r="C158" s="7">
        <f>Données!C158+Données!D158</f>
        <v>421324.67</v>
      </c>
      <c r="D158" s="7">
        <f>+Données!G158+Données!H158+Données!S158</f>
        <v>2343.02</v>
      </c>
      <c r="E158" s="7">
        <f>+Données!E158</f>
        <v>0</v>
      </c>
      <c r="F158" s="7">
        <f>+Données!I158</f>
        <v>0</v>
      </c>
      <c r="G158" s="7">
        <f>+Données!J158</f>
        <v>10725.07</v>
      </c>
      <c r="H158" s="7">
        <f>Données!U158</f>
        <v>-6607.48</v>
      </c>
      <c r="I158" s="144">
        <f>Données!V158</f>
        <v>0</v>
      </c>
      <c r="J158" s="144">
        <f>Données!W158</f>
        <v>0</v>
      </c>
      <c r="K158" s="7">
        <f>+Données!Q158</f>
        <v>0</v>
      </c>
      <c r="L158" s="320">
        <f t="shared" si="6"/>
        <v>427785.28</v>
      </c>
      <c r="M158" s="7">
        <f>+Données!F158</f>
        <v>0</v>
      </c>
      <c r="N158" s="7">
        <f>+Données!K158</f>
        <v>54.5</v>
      </c>
      <c r="O158" s="7">
        <f>(Données!L158/Données!Y158)*1</f>
        <v>30870.799999999999</v>
      </c>
      <c r="P158" s="320">
        <f t="shared" si="7"/>
        <v>458710.58</v>
      </c>
      <c r="Q158" s="160">
        <f>+Données!X158</f>
        <v>70</v>
      </c>
      <c r="R158" s="320">
        <f t="shared" si="8"/>
        <v>6553.0082857142861</v>
      </c>
    </row>
    <row r="159" spans="1:18" x14ac:dyDescent="0.25">
      <c r="A159" s="6">
        <f>Données!A159</f>
        <v>5669</v>
      </c>
      <c r="B159" s="26" t="str">
        <f>Données!B159</f>
        <v>Curtilles</v>
      </c>
      <c r="C159" s="7">
        <f>Données!C159+Données!D159</f>
        <v>641832.44999999995</v>
      </c>
      <c r="D159" s="7">
        <f>+Données!G159+Données!H159+Données!S159</f>
        <v>13419.31</v>
      </c>
      <c r="E159" s="7">
        <f>+Données!E159</f>
        <v>0</v>
      </c>
      <c r="F159" s="7">
        <f>+Données!I159</f>
        <v>0</v>
      </c>
      <c r="G159" s="7">
        <f>+Données!J159</f>
        <v>-4523.49</v>
      </c>
      <c r="H159" s="7">
        <f>Données!U159</f>
        <v>-6201.35</v>
      </c>
      <c r="I159" s="144">
        <f>Données!V159</f>
        <v>0</v>
      </c>
      <c r="J159" s="144">
        <f>Données!W159</f>
        <v>-47.7</v>
      </c>
      <c r="K159" s="7">
        <f>+Données!Q159</f>
        <v>4718.57</v>
      </c>
      <c r="L159" s="320">
        <f t="shared" si="6"/>
        <v>649197.79</v>
      </c>
      <c r="M159" s="7">
        <f>+Données!F159</f>
        <v>0</v>
      </c>
      <c r="N159" s="7">
        <f>+Données!K159</f>
        <v>255.9</v>
      </c>
      <c r="O159" s="7">
        <f>(Données!L159/Données!Y159)*1</f>
        <v>50568</v>
      </c>
      <c r="P159" s="320">
        <f t="shared" si="7"/>
        <v>700021.69000000006</v>
      </c>
      <c r="Q159" s="160">
        <f>+Données!X159</f>
        <v>73</v>
      </c>
      <c r="R159" s="320">
        <f t="shared" si="8"/>
        <v>9589.3382191780838</v>
      </c>
    </row>
    <row r="160" spans="1:18" x14ac:dyDescent="0.25">
      <c r="A160" s="6">
        <f>Données!A160</f>
        <v>5671</v>
      </c>
      <c r="B160" s="26" t="str">
        <f>Données!B160</f>
        <v>Dompierre</v>
      </c>
      <c r="C160" s="7">
        <f>Données!C160+Données!D160</f>
        <v>434138.36</v>
      </c>
      <c r="D160" s="7">
        <f>+Données!G160+Données!H160+Données!S160</f>
        <v>-1068.5199999999998</v>
      </c>
      <c r="E160" s="7">
        <f>+Données!E160</f>
        <v>0</v>
      </c>
      <c r="F160" s="7">
        <f>+Données!I160</f>
        <v>0</v>
      </c>
      <c r="G160" s="7">
        <f>+Données!J160</f>
        <v>8703.07</v>
      </c>
      <c r="H160" s="7">
        <f>Données!U160</f>
        <v>-9746.84</v>
      </c>
      <c r="I160" s="144">
        <f>Données!V160</f>
        <v>0</v>
      </c>
      <c r="J160" s="144">
        <f>Données!W160</f>
        <v>0</v>
      </c>
      <c r="K160" s="7">
        <f>+Données!Q160</f>
        <v>1596.4</v>
      </c>
      <c r="L160" s="320">
        <f t="shared" si="6"/>
        <v>433622.47</v>
      </c>
      <c r="M160" s="7">
        <f>+Données!F160</f>
        <v>990</v>
      </c>
      <c r="N160" s="7">
        <f>+Données!K160</f>
        <v>267</v>
      </c>
      <c r="O160" s="7">
        <f>(Données!L160/Données!Y160)*1</f>
        <v>39136.699999999997</v>
      </c>
      <c r="P160" s="320">
        <f t="shared" si="7"/>
        <v>474016.17</v>
      </c>
      <c r="Q160" s="160">
        <f>+Données!X160</f>
        <v>78</v>
      </c>
      <c r="R160" s="320">
        <f t="shared" si="8"/>
        <v>6077.1303846153842</v>
      </c>
    </row>
    <row r="161" spans="1:18" x14ac:dyDescent="0.25">
      <c r="A161" s="6">
        <f>Données!A161</f>
        <v>5673</v>
      </c>
      <c r="B161" s="26" t="str">
        <f>Données!B161</f>
        <v>Hermenches</v>
      </c>
      <c r="C161" s="7">
        <f>Données!C161+Données!D161</f>
        <v>687729.26</v>
      </c>
      <c r="D161" s="7">
        <f>+Données!G161+Données!H161+Données!S161</f>
        <v>3383.78</v>
      </c>
      <c r="E161" s="7">
        <f>+Données!E161</f>
        <v>0</v>
      </c>
      <c r="F161" s="7">
        <f>+Données!I161</f>
        <v>0</v>
      </c>
      <c r="G161" s="7">
        <f>+Données!J161</f>
        <v>5784.85</v>
      </c>
      <c r="H161" s="7">
        <f>Données!U161</f>
        <v>-12987.47</v>
      </c>
      <c r="I161" s="144">
        <f>Données!V161</f>
        <v>0</v>
      </c>
      <c r="J161" s="144">
        <f>Données!W161</f>
        <v>-44.5</v>
      </c>
      <c r="K161" s="7">
        <f>+Données!Q161</f>
        <v>0</v>
      </c>
      <c r="L161" s="320">
        <f t="shared" si="6"/>
        <v>683865.92</v>
      </c>
      <c r="M161" s="7">
        <f>+Données!F161</f>
        <v>2260</v>
      </c>
      <c r="N161" s="7">
        <f>+Données!K161</f>
        <v>408</v>
      </c>
      <c r="O161" s="7">
        <f>(Données!L161/Données!Y161)*1</f>
        <v>50071.500000000007</v>
      </c>
      <c r="P161" s="320">
        <f t="shared" si="7"/>
        <v>736605.42</v>
      </c>
      <c r="Q161" s="160">
        <f>+Données!X161</f>
        <v>73.5</v>
      </c>
      <c r="R161" s="320">
        <f t="shared" si="8"/>
        <v>10021.842448979593</v>
      </c>
    </row>
    <row r="162" spans="1:18" x14ac:dyDescent="0.25">
      <c r="A162" s="6">
        <f>Données!A162</f>
        <v>5674</v>
      </c>
      <c r="B162" s="26" t="str">
        <f>Données!B162</f>
        <v>Lovatens</v>
      </c>
      <c r="C162" s="7">
        <f>Données!C162+Données!D162</f>
        <v>291425.65999999997</v>
      </c>
      <c r="D162" s="7">
        <f>+Données!G162+Données!H162+Données!S162</f>
        <v>443.61</v>
      </c>
      <c r="E162" s="7">
        <f>+Données!E162</f>
        <v>0</v>
      </c>
      <c r="F162" s="7">
        <f>+Données!I162</f>
        <v>0</v>
      </c>
      <c r="G162" s="7">
        <f>+Données!J162</f>
        <v>479.32</v>
      </c>
      <c r="H162" s="7">
        <f>Données!U162</f>
        <v>-1968.82</v>
      </c>
      <c r="I162" s="144">
        <f>Données!V162</f>
        <v>0</v>
      </c>
      <c r="J162" s="144">
        <f>Données!W162</f>
        <v>-145.1</v>
      </c>
      <c r="K162" s="7">
        <f>+Données!Q162</f>
        <v>983.85</v>
      </c>
      <c r="L162" s="320">
        <f t="shared" si="6"/>
        <v>291218.51999999996</v>
      </c>
      <c r="M162" s="7">
        <f>+Données!F162</f>
        <v>0</v>
      </c>
      <c r="N162" s="7">
        <f>+Données!K162</f>
        <v>64.099999999999994</v>
      </c>
      <c r="O162" s="7">
        <f>(Données!L162/Données!Y162)*1</f>
        <v>23019.785714285717</v>
      </c>
      <c r="P162" s="320">
        <f t="shared" si="7"/>
        <v>314302.40571428568</v>
      </c>
      <c r="Q162" s="160">
        <f>+Données!X162</f>
        <v>75</v>
      </c>
      <c r="R162" s="320">
        <f t="shared" si="8"/>
        <v>4190.698742857142</v>
      </c>
    </row>
    <row r="163" spans="1:18" x14ac:dyDescent="0.25">
      <c r="A163" s="6">
        <f>Données!A163</f>
        <v>5675</v>
      </c>
      <c r="B163" s="26" t="str">
        <f>Données!B163</f>
        <v>Lucens</v>
      </c>
      <c r="C163" s="7">
        <f>Données!C163+Données!D163</f>
        <v>5333168.5599999996</v>
      </c>
      <c r="D163" s="7">
        <f>+Données!G163+Données!H163+Données!S163</f>
        <v>354776.04000000004</v>
      </c>
      <c r="E163" s="7">
        <f>+Données!E163</f>
        <v>0</v>
      </c>
      <c r="F163" s="7">
        <f>+Données!I163</f>
        <v>0</v>
      </c>
      <c r="G163" s="7">
        <f>+Données!J163</f>
        <v>321167.15000000002</v>
      </c>
      <c r="H163" s="7">
        <f>Données!U163</f>
        <v>-147515.85</v>
      </c>
      <c r="I163" s="144">
        <f>Données!V163</f>
        <v>0</v>
      </c>
      <c r="J163" s="144">
        <f>Données!W163</f>
        <v>-4439.3</v>
      </c>
      <c r="K163" s="7">
        <f>+Données!Q163</f>
        <v>27495.8</v>
      </c>
      <c r="L163" s="320">
        <f t="shared" si="6"/>
        <v>5884652.4000000004</v>
      </c>
      <c r="M163" s="7">
        <f>+Données!F163</f>
        <v>0</v>
      </c>
      <c r="N163" s="7">
        <f>+Données!K163</f>
        <v>82770.850000000006</v>
      </c>
      <c r="O163" s="7">
        <f>(Données!L163/Données!Y163)*1</f>
        <v>719817.77272727271</v>
      </c>
      <c r="P163" s="320">
        <f t="shared" si="7"/>
        <v>6687241.0227272725</v>
      </c>
      <c r="Q163" s="160">
        <f>+Données!X163</f>
        <v>69.5</v>
      </c>
      <c r="R163" s="320">
        <f t="shared" si="8"/>
        <v>96219.295291039889</v>
      </c>
    </row>
    <row r="164" spans="1:18" x14ac:dyDescent="0.25">
      <c r="A164" s="6">
        <f>Données!A164</f>
        <v>5678</v>
      </c>
      <c r="B164" s="26" t="str">
        <f>Données!B164</f>
        <v>Moudon</v>
      </c>
      <c r="C164" s="7">
        <f>Données!C164+Données!D164</f>
        <v>8561433.1199999992</v>
      </c>
      <c r="D164" s="7">
        <f>+Données!G164+Données!H164+Données!S164</f>
        <v>805009.16999999993</v>
      </c>
      <c r="E164" s="7">
        <f>+Données!E164</f>
        <v>0</v>
      </c>
      <c r="F164" s="7">
        <f>+Données!I164</f>
        <v>0</v>
      </c>
      <c r="G164" s="7">
        <f>+Données!J164</f>
        <v>531327.39</v>
      </c>
      <c r="H164" s="7">
        <f>Données!U164</f>
        <v>-590882.02</v>
      </c>
      <c r="I164" s="144">
        <f>Données!V164</f>
        <v>0</v>
      </c>
      <c r="J164" s="144">
        <f>Données!W164</f>
        <v>-5506.68</v>
      </c>
      <c r="K164" s="7">
        <f>+Données!Q164</f>
        <v>89255</v>
      </c>
      <c r="L164" s="320">
        <f t="shared" si="6"/>
        <v>9390635.9800000004</v>
      </c>
      <c r="M164" s="7">
        <f>+Données!F164</f>
        <v>37340</v>
      </c>
      <c r="N164" s="7">
        <f>+Données!K164</f>
        <v>102426.75</v>
      </c>
      <c r="O164" s="7">
        <f>(Données!L164/Données!Y164)*1</f>
        <v>946375.75</v>
      </c>
      <c r="P164" s="320">
        <f t="shared" si="7"/>
        <v>10476778.48</v>
      </c>
      <c r="Q164" s="160">
        <f>+Données!X164</f>
        <v>72.5</v>
      </c>
      <c r="R164" s="320">
        <f t="shared" si="8"/>
        <v>144507.28937931036</v>
      </c>
    </row>
    <row r="165" spans="1:18" x14ac:dyDescent="0.25">
      <c r="A165" s="6">
        <f>Données!A165</f>
        <v>5680</v>
      </c>
      <c r="B165" s="26" t="str">
        <f>Données!B165</f>
        <v>Ogens</v>
      </c>
      <c r="C165" s="7">
        <f>Données!C165+Données!D165</f>
        <v>610901.15</v>
      </c>
      <c r="D165" s="7">
        <f>+Données!G165+Données!H165+Données!S165</f>
        <v>33232.730000000003</v>
      </c>
      <c r="E165" s="7">
        <f>+Données!E165</f>
        <v>0</v>
      </c>
      <c r="F165" s="7">
        <f>+Données!I165</f>
        <v>0</v>
      </c>
      <c r="G165" s="7">
        <f>+Données!J165</f>
        <v>1595.03</v>
      </c>
      <c r="H165" s="7">
        <f>Données!U165</f>
        <v>-4218</v>
      </c>
      <c r="I165" s="144">
        <f>Données!V165</f>
        <v>0</v>
      </c>
      <c r="J165" s="144">
        <f>Données!W165</f>
        <v>0.01</v>
      </c>
      <c r="K165" s="7">
        <f>+Données!Q165</f>
        <v>255.18</v>
      </c>
      <c r="L165" s="320">
        <f t="shared" si="6"/>
        <v>641766.10000000009</v>
      </c>
      <c r="M165" s="7">
        <f>+Données!F165</f>
        <v>0</v>
      </c>
      <c r="N165" s="7">
        <f>+Données!K165</f>
        <v>4302.95</v>
      </c>
      <c r="O165" s="7">
        <f>(Données!L165/Données!Y165)*1</f>
        <v>62869.866666666669</v>
      </c>
      <c r="P165" s="320">
        <f t="shared" si="7"/>
        <v>708938.91666666674</v>
      </c>
      <c r="Q165" s="160">
        <f>+Données!X165</f>
        <v>78</v>
      </c>
      <c r="R165" s="320">
        <f t="shared" si="8"/>
        <v>9088.9604700854707</v>
      </c>
    </row>
    <row r="166" spans="1:18" x14ac:dyDescent="0.25">
      <c r="A166" s="6">
        <f>Données!A166</f>
        <v>5683</v>
      </c>
      <c r="B166" s="26" t="str">
        <f>Données!B166</f>
        <v>Prévonloup</v>
      </c>
      <c r="C166" s="7">
        <f>Données!C166+Données!D166</f>
        <v>202323.76</v>
      </c>
      <c r="D166" s="7">
        <f>+Données!G166+Données!H166+Données!S166</f>
        <v>5542.76</v>
      </c>
      <c r="E166" s="7">
        <f>+Données!E166</f>
        <v>0</v>
      </c>
      <c r="F166" s="7">
        <f>+Données!I166</f>
        <v>0</v>
      </c>
      <c r="G166" s="7">
        <f>+Données!J166</f>
        <v>7917.69</v>
      </c>
      <c r="H166" s="7">
        <f>Données!U166</f>
        <v>-7232.93</v>
      </c>
      <c r="I166" s="144">
        <f>Données!V166</f>
        <v>0</v>
      </c>
      <c r="J166" s="144">
        <f>Données!W166</f>
        <v>0</v>
      </c>
      <c r="K166" s="7">
        <f>+Données!Q166</f>
        <v>330.95</v>
      </c>
      <c r="L166" s="320">
        <f t="shared" si="6"/>
        <v>208882.23000000004</v>
      </c>
      <c r="M166" s="7">
        <f>+Données!F166</f>
        <v>0</v>
      </c>
      <c r="N166" s="7">
        <f>+Données!K166</f>
        <v>2570.5</v>
      </c>
      <c r="O166" s="7">
        <f>(Données!L166/Données!Y166)*1</f>
        <v>34391.050000000003</v>
      </c>
      <c r="P166" s="320">
        <f t="shared" si="7"/>
        <v>245843.78000000003</v>
      </c>
      <c r="Q166" s="160">
        <f>+Données!X166</f>
        <v>72.5</v>
      </c>
      <c r="R166" s="320">
        <f t="shared" si="8"/>
        <v>3390.948689655173</v>
      </c>
    </row>
    <row r="167" spans="1:18" x14ac:dyDescent="0.25">
      <c r="A167" s="6">
        <f>Données!A167</f>
        <v>5684</v>
      </c>
      <c r="B167" s="26" t="str">
        <f>Données!B167</f>
        <v>Rossenges</v>
      </c>
      <c r="C167" s="7">
        <f>Données!C167+Données!D167</f>
        <v>630362.24</v>
      </c>
      <c r="D167" s="7">
        <f>+Données!G167+Données!H167+Données!S167</f>
        <v>2052.67</v>
      </c>
      <c r="E167" s="7">
        <f>+Données!E167</f>
        <v>0</v>
      </c>
      <c r="F167" s="7">
        <f>+Données!I167</f>
        <v>0</v>
      </c>
      <c r="G167" s="7">
        <f>+Données!J167</f>
        <v>10299.94</v>
      </c>
      <c r="H167" s="7">
        <f>Données!U167</f>
        <v>-24.06</v>
      </c>
      <c r="I167" s="144">
        <f>Données!V167</f>
        <v>0</v>
      </c>
      <c r="J167" s="144">
        <f>Données!W167</f>
        <v>0</v>
      </c>
      <c r="K167" s="7">
        <f>+Données!Q167</f>
        <v>0</v>
      </c>
      <c r="L167" s="320">
        <f t="shared" si="6"/>
        <v>642690.78999999992</v>
      </c>
      <c r="M167" s="7">
        <f>+Données!F167</f>
        <v>0</v>
      </c>
      <c r="N167" s="7">
        <f>+Données!K167</f>
        <v>0</v>
      </c>
      <c r="O167" s="7">
        <f>(Données!L167/Données!Y167)*1</f>
        <v>13640.625</v>
      </c>
      <c r="P167" s="320">
        <f t="shared" si="7"/>
        <v>656331.41499999992</v>
      </c>
      <c r="Q167" s="160">
        <f>+Données!X167</f>
        <v>65</v>
      </c>
      <c r="R167" s="320">
        <f t="shared" si="8"/>
        <v>10097.406384615384</v>
      </c>
    </row>
    <row r="168" spans="1:18" x14ac:dyDescent="0.25">
      <c r="A168" s="6">
        <f>Données!A168</f>
        <v>5688</v>
      </c>
      <c r="B168" s="26" t="str">
        <f>Données!B168</f>
        <v>Syens</v>
      </c>
      <c r="C168" s="7">
        <f>Données!C168+Données!D168</f>
        <v>309111.67</v>
      </c>
      <c r="D168" s="7">
        <f>+Données!G168+Données!H168+Données!S168</f>
        <v>-1626.61</v>
      </c>
      <c r="E168" s="7">
        <f>+Données!E168</f>
        <v>0</v>
      </c>
      <c r="F168" s="7">
        <f>+Données!I168</f>
        <v>0</v>
      </c>
      <c r="G168" s="7">
        <f>+Données!J168</f>
        <v>6988.15</v>
      </c>
      <c r="H168" s="7">
        <f>Données!U168</f>
        <v>-4834.29</v>
      </c>
      <c r="I168" s="144">
        <f>Données!V168</f>
        <v>0</v>
      </c>
      <c r="J168" s="144">
        <f>Données!W168</f>
        <v>-34.25</v>
      </c>
      <c r="K168" s="7">
        <f>+Données!Q168</f>
        <v>0</v>
      </c>
      <c r="L168" s="320">
        <f t="shared" si="6"/>
        <v>309604.67000000004</v>
      </c>
      <c r="M168" s="7">
        <f>+Données!F168</f>
        <v>0</v>
      </c>
      <c r="N168" s="7">
        <f>+Données!K168</f>
        <v>105</v>
      </c>
      <c r="O168" s="7">
        <f>(Données!L168/Données!Y168)*1</f>
        <v>25641</v>
      </c>
      <c r="P168" s="320">
        <f t="shared" si="7"/>
        <v>335350.67000000004</v>
      </c>
      <c r="Q168" s="160">
        <f>+Données!X168</f>
        <v>65</v>
      </c>
      <c r="R168" s="320">
        <f t="shared" si="8"/>
        <v>5159.2410769230773</v>
      </c>
    </row>
    <row r="169" spans="1:18" x14ac:dyDescent="0.25">
      <c r="A169" s="6">
        <f>Données!A169</f>
        <v>5690</v>
      </c>
      <c r="B169" s="26" t="str">
        <f>Données!B169</f>
        <v>Villars-le-Comte</v>
      </c>
      <c r="C169" s="7">
        <f>Données!C169+Données!D169</f>
        <v>255723.49000000002</v>
      </c>
      <c r="D169" s="7">
        <f>+Données!G169+Données!H169+Données!S169</f>
        <v>1277.95</v>
      </c>
      <c r="E169" s="7">
        <f>+Données!E169</f>
        <v>0</v>
      </c>
      <c r="F169" s="7">
        <f>+Données!I169</f>
        <v>0</v>
      </c>
      <c r="G169" s="7">
        <f>+Données!J169</f>
        <v>6972.1</v>
      </c>
      <c r="H169" s="7">
        <f>Données!U169</f>
        <v>-33.69</v>
      </c>
      <c r="I169" s="144">
        <f>Données!V169</f>
        <v>0</v>
      </c>
      <c r="J169" s="144">
        <f>Données!W169</f>
        <v>0</v>
      </c>
      <c r="K169" s="7">
        <f>+Données!Q169</f>
        <v>0</v>
      </c>
      <c r="L169" s="320">
        <f t="shared" si="6"/>
        <v>263939.85000000003</v>
      </c>
      <c r="M169" s="7">
        <f>+Données!F169</f>
        <v>850</v>
      </c>
      <c r="N169" s="7">
        <f>+Données!K169</f>
        <v>184.1</v>
      </c>
      <c r="O169" s="7">
        <f>(Données!L169/Données!Y169)*1</f>
        <v>23301.3</v>
      </c>
      <c r="P169" s="320">
        <f t="shared" si="7"/>
        <v>288275.25</v>
      </c>
      <c r="Q169" s="160">
        <f>+Données!X169</f>
        <v>68</v>
      </c>
      <c r="R169" s="320">
        <f t="shared" si="8"/>
        <v>4239.3419117647063</v>
      </c>
    </row>
    <row r="170" spans="1:18" x14ac:dyDescent="0.25">
      <c r="A170" s="6">
        <f>Données!A170</f>
        <v>5692</v>
      </c>
      <c r="B170" s="26" t="str">
        <f>Données!B170</f>
        <v>Vucherens</v>
      </c>
      <c r="C170" s="7">
        <f>Données!C170+Données!D170</f>
        <v>1314436.94</v>
      </c>
      <c r="D170" s="7">
        <f>+Données!G170+Données!H170+Données!S170</f>
        <v>15236.050000000001</v>
      </c>
      <c r="E170" s="7">
        <f>+Données!E170</f>
        <v>0</v>
      </c>
      <c r="F170" s="7">
        <f>+Données!I170</f>
        <v>0</v>
      </c>
      <c r="G170" s="7">
        <f>+Données!J170</f>
        <v>13874.41</v>
      </c>
      <c r="H170" s="7">
        <f>Données!U170</f>
        <v>-8063.58</v>
      </c>
      <c r="I170" s="144">
        <f>Données!V170</f>
        <v>0</v>
      </c>
      <c r="J170" s="144">
        <f>Données!W170</f>
        <v>0</v>
      </c>
      <c r="K170" s="7">
        <f>+Données!Q170</f>
        <v>6993.47</v>
      </c>
      <c r="L170" s="320">
        <f t="shared" si="6"/>
        <v>1342477.2899999998</v>
      </c>
      <c r="M170" s="7">
        <f>+Données!F170</f>
        <v>0</v>
      </c>
      <c r="N170" s="7">
        <f>+Données!K170</f>
        <v>4766.5</v>
      </c>
      <c r="O170" s="7">
        <f>(Données!L170/Données!Y170)*1</f>
        <v>116833</v>
      </c>
      <c r="P170" s="320">
        <f t="shared" si="7"/>
        <v>1464076.7899999998</v>
      </c>
      <c r="Q170" s="160">
        <f>+Données!X170</f>
        <v>75</v>
      </c>
      <c r="R170" s="320">
        <f t="shared" si="8"/>
        <v>19521.023866666663</v>
      </c>
    </row>
    <row r="171" spans="1:18" x14ac:dyDescent="0.25">
      <c r="A171" s="6">
        <f>Données!A171</f>
        <v>5693</v>
      </c>
      <c r="B171" s="26" t="str">
        <f>Données!B171</f>
        <v>Montanaire</v>
      </c>
      <c r="C171" s="7">
        <f>Données!C171+Données!D171</f>
        <v>4870501.45</v>
      </c>
      <c r="D171" s="7">
        <f>+Données!G171+Données!H171+Données!S171</f>
        <v>107185.15999999999</v>
      </c>
      <c r="E171" s="7">
        <f>+Données!E171</f>
        <v>0</v>
      </c>
      <c r="F171" s="7">
        <f>+Données!I171</f>
        <v>0</v>
      </c>
      <c r="G171" s="7">
        <f>+Données!J171</f>
        <v>76162.559999999998</v>
      </c>
      <c r="H171" s="7">
        <f>Données!U171</f>
        <v>-130106.78</v>
      </c>
      <c r="I171" s="144">
        <f>Données!V171</f>
        <v>0</v>
      </c>
      <c r="J171" s="144">
        <f>Données!W171</f>
        <v>-337.6</v>
      </c>
      <c r="K171" s="7">
        <f>+Données!Q171</f>
        <v>4958.42</v>
      </c>
      <c r="L171" s="320">
        <f t="shared" si="6"/>
        <v>4928363.21</v>
      </c>
      <c r="M171" s="7">
        <f>+Données!F171</f>
        <v>0</v>
      </c>
      <c r="N171" s="7">
        <f>+Données!K171</f>
        <v>13973.8</v>
      </c>
      <c r="O171" s="7">
        <f>(Données!L171/Données!Y171)*1</f>
        <v>462741.05</v>
      </c>
      <c r="P171" s="320">
        <f t="shared" si="7"/>
        <v>5405078.0599999996</v>
      </c>
      <c r="Q171" s="160">
        <f>+Données!X171</f>
        <v>70</v>
      </c>
      <c r="R171" s="320">
        <f t="shared" si="8"/>
        <v>77215.400857142857</v>
      </c>
    </row>
    <row r="172" spans="1:18" x14ac:dyDescent="0.25">
      <c r="A172" s="6">
        <f>Données!A172</f>
        <v>5701</v>
      </c>
      <c r="B172" s="26" t="str">
        <f>Données!B172</f>
        <v>Arnex-sur-Nyon</v>
      </c>
      <c r="C172" s="7">
        <f>Données!C172+Données!D172</f>
        <v>1042017.5499999999</v>
      </c>
      <c r="D172" s="7">
        <f>+Données!G172+Données!H172+Données!S172</f>
        <v>7257.57</v>
      </c>
      <c r="E172" s="7">
        <f>+Données!E172</f>
        <v>0</v>
      </c>
      <c r="F172" s="7">
        <f>+Données!I172</f>
        <v>372035.85</v>
      </c>
      <c r="G172" s="7">
        <f>+Données!J172</f>
        <v>26005.42</v>
      </c>
      <c r="H172" s="7">
        <f>Données!U172</f>
        <v>-11.77</v>
      </c>
      <c r="I172" s="144">
        <f>Données!V172</f>
        <v>0</v>
      </c>
      <c r="J172" s="144">
        <f>Données!W172</f>
        <v>-2165.15</v>
      </c>
      <c r="K172" s="7">
        <f>+Données!Q172</f>
        <v>0</v>
      </c>
      <c r="L172" s="320">
        <f t="shared" si="6"/>
        <v>1445139.4699999997</v>
      </c>
      <c r="M172" s="7">
        <f>+Données!F172</f>
        <v>0</v>
      </c>
      <c r="N172" s="7">
        <f>+Données!K172</f>
        <v>3411.75</v>
      </c>
      <c r="O172" s="7">
        <f>(Données!L172/Données!Y172)*1</f>
        <v>83354.600000000006</v>
      </c>
      <c r="P172" s="320">
        <f t="shared" si="7"/>
        <v>1531905.8199999998</v>
      </c>
      <c r="Q172" s="160">
        <f>+Données!X172</f>
        <v>68</v>
      </c>
      <c r="R172" s="320">
        <f t="shared" si="8"/>
        <v>22528.026764705879</v>
      </c>
    </row>
    <row r="173" spans="1:18" x14ac:dyDescent="0.25">
      <c r="A173" s="6">
        <f>Données!A173</f>
        <v>5702</v>
      </c>
      <c r="B173" s="26" t="str">
        <f>Données!B173</f>
        <v>Arzier-Le Muids</v>
      </c>
      <c r="C173" s="7">
        <f>Données!C173+Données!D173</f>
        <v>10738453.890000001</v>
      </c>
      <c r="D173" s="7">
        <f>+Données!G173+Données!H173+Données!S173</f>
        <v>81228.88</v>
      </c>
      <c r="E173" s="7">
        <f>+Données!E173</f>
        <v>0</v>
      </c>
      <c r="F173" s="7">
        <f>+Données!I173</f>
        <v>435712.35</v>
      </c>
      <c r="G173" s="7">
        <f>+Données!J173</f>
        <v>-19918.169999999998</v>
      </c>
      <c r="H173" s="7">
        <f>Données!U173</f>
        <v>-58357.94</v>
      </c>
      <c r="I173" s="144">
        <f>Données!V173</f>
        <v>0</v>
      </c>
      <c r="J173" s="144">
        <f>Données!W173</f>
        <v>-32126.2</v>
      </c>
      <c r="K173" s="7">
        <f>+Données!Q173</f>
        <v>26656.29</v>
      </c>
      <c r="L173" s="320">
        <f t="shared" si="6"/>
        <v>11171649.100000001</v>
      </c>
      <c r="M173" s="7">
        <f>+Données!F173</f>
        <v>0</v>
      </c>
      <c r="N173" s="7">
        <f>+Données!K173</f>
        <v>21049.55</v>
      </c>
      <c r="O173" s="7">
        <f>(Données!L173/Données!Y173)*1</f>
        <v>911608.16666666663</v>
      </c>
      <c r="P173" s="320">
        <f t="shared" si="7"/>
        <v>12104306.816666668</v>
      </c>
      <c r="Q173" s="160">
        <f>+Données!X173</f>
        <v>64</v>
      </c>
      <c r="R173" s="320">
        <f t="shared" si="8"/>
        <v>189129.79401041669</v>
      </c>
    </row>
    <row r="174" spans="1:18" x14ac:dyDescent="0.25">
      <c r="A174" s="6">
        <f>Données!A174</f>
        <v>5703</v>
      </c>
      <c r="B174" s="26" t="str">
        <f>Données!B174</f>
        <v>Bassins</v>
      </c>
      <c r="C174" s="7">
        <f>Données!C174+Données!D174</f>
        <v>4796054.6899999995</v>
      </c>
      <c r="D174" s="7">
        <f>+Données!G174+Données!H174+Données!S174</f>
        <v>32728.39</v>
      </c>
      <c r="E174" s="7">
        <f>+Données!E174</f>
        <v>0</v>
      </c>
      <c r="F174" s="7">
        <f>+Données!I174</f>
        <v>0</v>
      </c>
      <c r="G174" s="7">
        <f>+Données!J174</f>
        <v>-89564.75</v>
      </c>
      <c r="H174" s="7">
        <f>Données!U174</f>
        <v>-34058.879999999997</v>
      </c>
      <c r="I174" s="144">
        <f>Données!V174</f>
        <v>0</v>
      </c>
      <c r="J174" s="144">
        <f>Données!W174</f>
        <v>-2108.19</v>
      </c>
      <c r="K174" s="7">
        <f>+Données!Q174</f>
        <v>0</v>
      </c>
      <c r="L174" s="320">
        <f t="shared" si="6"/>
        <v>4703051.2599999988</v>
      </c>
      <c r="M174" s="7">
        <f>+Données!F174</f>
        <v>0</v>
      </c>
      <c r="N174" s="7">
        <f>+Données!K174</f>
        <v>4291.75</v>
      </c>
      <c r="O174" s="7">
        <f>(Données!L174/Données!Y174)*1</f>
        <v>359294.17857142858</v>
      </c>
      <c r="P174" s="320">
        <f t="shared" si="7"/>
        <v>5066637.188571427</v>
      </c>
      <c r="Q174" s="160">
        <f>+Données!X174</f>
        <v>72.5</v>
      </c>
      <c r="R174" s="320">
        <f t="shared" si="8"/>
        <v>69884.65087684727</v>
      </c>
    </row>
    <row r="175" spans="1:18" x14ac:dyDescent="0.25">
      <c r="A175" s="6">
        <f>Données!A175</f>
        <v>5704</v>
      </c>
      <c r="B175" s="26" t="str">
        <f>Données!B175</f>
        <v>Begnins</v>
      </c>
      <c r="C175" s="7">
        <f>Données!C175+Données!D175</f>
        <v>8464516.5199999996</v>
      </c>
      <c r="D175" s="7">
        <f>+Données!G175+Données!H175+Données!S175</f>
        <v>107973.65000000001</v>
      </c>
      <c r="E175" s="7">
        <f>+Données!E175</f>
        <v>0</v>
      </c>
      <c r="F175" s="7">
        <f>+Données!I175</f>
        <v>322864.90000000002</v>
      </c>
      <c r="G175" s="7">
        <f>+Données!J175</f>
        <v>116899.97</v>
      </c>
      <c r="H175" s="7">
        <f>Données!U175</f>
        <v>-13825.91</v>
      </c>
      <c r="I175" s="144">
        <f>Données!V175</f>
        <v>0</v>
      </c>
      <c r="J175" s="144">
        <f>Données!W175</f>
        <v>-133859.53</v>
      </c>
      <c r="K175" s="7">
        <f>+Données!Q175</f>
        <v>8290.31</v>
      </c>
      <c r="L175" s="320">
        <f t="shared" si="6"/>
        <v>8872859.910000002</v>
      </c>
      <c r="M175" s="7">
        <f>+Données!F175</f>
        <v>0</v>
      </c>
      <c r="N175" s="7">
        <f>+Données!K175</f>
        <v>22991.55</v>
      </c>
      <c r="O175" s="7">
        <f>(Données!L175/Données!Y175)*1</f>
        <v>586876.8666666667</v>
      </c>
      <c r="P175" s="320">
        <f t="shared" si="7"/>
        <v>9482728.3266666699</v>
      </c>
      <c r="Q175" s="160">
        <f>+Données!X175</f>
        <v>62.5</v>
      </c>
      <c r="R175" s="320">
        <f t="shared" si="8"/>
        <v>151723.65322666671</v>
      </c>
    </row>
    <row r="176" spans="1:18" x14ac:dyDescent="0.25">
      <c r="A176" s="6">
        <f>Données!A176</f>
        <v>5705</v>
      </c>
      <c r="B176" s="26" t="str">
        <f>Données!B176</f>
        <v>Bogis-Bossey</v>
      </c>
      <c r="C176" s="7">
        <f>Données!C176+Données!D176</f>
        <v>4005640.63</v>
      </c>
      <c r="D176" s="7">
        <f>+Données!G176+Données!H176+Données!S176</f>
        <v>78608.52</v>
      </c>
      <c r="E176" s="7">
        <f>+Données!E176</f>
        <v>0</v>
      </c>
      <c r="F176" s="7">
        <f>+Données!I176</f>
        <v>0</v>
      </c>
      <c r="G176" s="7">
        <f>+Données!J176</f>
        <v>-27121.08</v>
      </c>
      <c r="H176" s="7">
        <f>Données!U176</f>
        <v>-36575.89</v>
      </c>
      <c r="I176" s="144">
        <f>Données!V176</f>
        <v>0</v>
      </c>
      <c r="J176" s="144">
        <f>Données!W176</f>
        <v>-7443.9</v>
      </c>
      <c r="K176" s="7">
        <f>+Données!Q176</f>
        <v>2983.89</v>
      </c>
      <c r="L176" s="320">
        <f t="shared" si="6"/>
        <v>4016092.17</v>
      </c>
      <c r="M176" s="7">
        <f>+Données!F176</f>
        <v>0</v>
      </c>
      <c r="N176" s="7">
        <f>+Données!K176</f>
        <v>5685.75</v>
      </c>
      <c r="O176" s="7">
        <f>(Données!L176/Données!Y176)*1</f>
        <v>253195.9</v>
      </c>
      <c r="P176" s="320">
        <f t="shared" si="7"/>
        <v>4274973.82</v>
      </c>
      <c r="Q176" s="160">
        <f>+Données!X176</f>
        <v>71</v>
      </c>
      <c r="R176" s="320">
        <f t="shared" si="8"/>
        <v>60210.898873239443</v>
      </c>
    </row>
    <row r="177" spans="1:18" x14ac:dyDescent="0.25">
      <c r="A177" s="6">
        <f>Données!A177</f>
        <v>5706</v>
      </c>
      <c r="B177" s="26" t="str">
        <f>Données!B177</f>
        <v>Borex</v>
      </c>
      <c r="C177" s="7">
        <f>Données!C177+Données!D177</f>
        <v>3604355.75</v>
      </c>
      <c r="D177" s="7">
        <f>+Données!G177+Données!H177+Données!S177</f>
        <v>18754.88</v>
      </c>
      <c r="E177" s="7">
        <f>+Données!E177</f>
        <v>0</v>
      </c>
      <c r="F177" s="7">
        <f>+Données!I177</f>
        <v>48123.1</v>
      </c>
      <c r="G177" s="7">
        <f>+Données!J177</f>
        <v>24601.72</v>
      </c>
      <c r="H177" s="7">
        <f>Données!U177</f>
        <v>-26471.85</v>
      </c>
      <c r="I177" s="144">
        <f>Données!V177</f>
        <v>0</v>
      </c>
      <c r="J177" s="144">
        <f>Données!W177</f>
        <v>-40928.550000000003</v>
      </c>
      <c r="K177" s="7">
        <f>+Données!Q177</f>
        <v>150.63</v>
      </c>
      <c r="L177" s="320">
        <f t="shared" si="6"/>
        <v>3628585.68</v>
      </c>
      <c r="M177" s="7">
        <f>+Données!F177</f>
        <v>0</v>
      </c>
      <c r="N177" s="7">
        <f>+Données!K177</f>
        <v>10749.05</v>
      </c>
      <c r="O177" s="7">
        <f>(Données!L177/Données!Y177)*1</f>
        <v>303071.39999999997</v>
      </c>
      <c r="P177" s="320">
        <f t="shared" si="7"/>
        <v>3942406.13</v>
      </c>
      <c r="Q177" s="160">
        <f>+Données!X177</f>
        <v>57</v>
      </c>
      <c r="R177" s="320">
        <f t="shared" si="8"/>
        <v>69165.019824561401</v>
      </c>
    </row>
    <row r="178" spans="1:18" x14ac:dyDescent="0.25">
      <c r="A178" s="6">
        <f>Données!A178</f>
        <v>5707</v>
      </c>
      <c r="B178" s="26" t="str">
        <f>Données!B178</f>
        <v>Chavannes-de-Bogis</v>
      </c>
      <c r="C178" s="7">
        <f>Données!C178+Données!D178</f>
        <v>4390056.1500000004</v>
      </c>
      <c r="D178" s="7">
        <f>+Données!G178+Données!H178+Données!S178</f>
        <v>763827.14</v>
      </c>
      <c r="E178" s="7">
        <f>+Données!E178</f>
        <v>0</v>
      </c>
      <c r="F178" s="7">
        <f>+Données!I178</f>
        <v>34191</v>
      </c>
      <c r="G178" s="7">
        <f>+Données!J178</f>
        <v>50425.27</v>
      </c>
      <c r="H178" s="7">
        <f>Données!U178</f>
        <v>-8933.8700000000008</v>
      </c>
      <c r="I178" s="144">
        <f>Données!V178</f>
        <v>0</v>
      </c>
      <c r="J178" s="144">
        <f>Données!W178</f>
        <v>-6138.9</v>
      </c>
      <c r="K178" s="7">
        <f>+Données!Q178</f>
        <v>2859.79</v>
      </c>
      <c r="L178" s="320">
        <f t="shared" si="6"/>
        <v>5226286.5799999991</v>
      </c>
      <c r="M178" s="7">
        <f>+Données!F178</f>
        <v>0</v>
      </c>
      <c r="N178" s="7">
        <f>+Données!K178</f>
        <v>68910.05</v>
      </c>
      <c r="O178" s="7">
        <f>(Données!L178/Données!Y178)*1</f>
        <v>523782.53333333338</v>
      </c>
      <c r="P178" s="320">
        <f t="shared" si="7"/>
        <v>5818979.1633333322</v>
      </c>
      <c r="Q178" s="160">
        <f>+Données!X178</f>
        <v>58</v>
      </c>
      <c r="R178" s="320">
        <f t="shared" si="8"/>
        <v>100327.22695402298</v>
      </c>
    </row>
    <row r="179" spans="1:18" x14ac:dyDescent="0.25">
      <c r="A179" s="6">
        <f>Données!A179</f>
        <v>5708</v>
      </c>
      <c r="B179" s="26" t="str">
        <f>Données!B179</f>
        <v>Chavannes-des-Bois</v>
      </c>
      <c r="C179" s="7">
        <f>Données!C179+Données!D179</f>
        <v>4488041.79</v>
      </c>
      <c r="D179" s="7">
        <f>+Données!G179+Données!H179+Données!S179</f>
        <v>23395.88</v>
      </c>
      <c r="E179" s="7">
        <f>+Données!E179</f>
        <v>0</v>
      </c>
      <c r="F179" s="7">
        <f>+Données!I179</f>
        <v>0</v>
      </c>
      <c r="G179" s="7">
        <f>+Données!J179</f>
        <v>-19663.560000000001</v>
      </c>
      <c r="H179" s="7">
        <f>Données!U179</f>
        <v>-5027.4399999999996</v>
      </c>
      <c r="I179" s="144">
        <f>Données!V179</f>
        <v>0</v>
      </c>
      <c r="J179" s="144">
        <f>Données!W179</f>
        <v>-22351.4</v>
      </c>
      <c r="K179" s="7">
        <f>+Données!Q179</f>
        <v>99.67</v>
      </c>
      <c r="L179" s="320">
        <f t="shared" si="6"/>
        <v>4464494.9399999995</v>
      </c>
      <c r="M179" s="7">
        <f>+Données!F179</f>
        <v>0</v>
      </c>
      <c r="N179" s="7">
        <f>+Données!K179</f>
        <v>13731.8</v>
      </c>
      <c r="O179" s="7">
        <f>(Données!L179/Données!Y179)*1</f>
        <v>307413.7</v>
      </c>
      <c r="P179" s="320">
        <f t="shared" si="7"/>
        <v>4785640.4399999995</v>
      </c>
      <c r="Q179" s="160">
        <f>+Données!X179</f>
        <v>68</v>
      </c>
      <c r="R179" s="320">
        <f t="shared" si="8"/>
        <v>70377.065294117638</v>
      </c>
    </row>
    <row r="180" spans="1:18" x14ac:dyDescent="0.25">
      <c r="A180" s="6">
        <f>Données!A180</f>
        <v>5709</v>
      </c>
      <c r="B180" s="26" t="str">
        <f>Données!B180</f>
        <v>Chéserex</v>
      </c>
      <c r="C180" s="7">
        <f>Données!C180+Données!D180</f>
        <v>5335950.63</v>
      </c>
      <c r="D180" s="7">
        <f>+Données!G180+Données!H180+Données!S180</f>
        <v>76410.210000000006</v>
      </c>
      <c r="E180" s="7">
        <f>+Données!E180</f>
        <v>0</v>
      </c>
      <c r="F180" s="7">
        <f>+Données!I180</f>
        <v>663903.44999999995</v>
      </c>
      <c r="G180" s="7">
        <f>+Données!J180</f>
        <v>54700.59</v>
      </c>
      <c r="H180" s="7">
        <f>Données!U180</f>
        <v>-9059.2099999999991</v>
      </c>
      <c r="I180" s="144">
        <f>Données!V180</f>
        <v>0</v>
      </c>
      <c r="J180" s="144">
        <f>Données!W180</f>
        <v>-16178.96</v>
      </c>
      <c r="K180" s="7">
        <f>+Données!Q180</f>
        <v>59.51</v>
      </c>
      <c r="L180" s="320">
        <f t="shared" si="6"/>
        <v>6105786.2199999997</v>
      </c>
      <c r="M180" s="7">
        <f>+Données!F180</f>
        <v>0</v>
      </c>
      <c r="N180" s="7">
        <f>+Données!K180</f>
        <v>12548.85</v>
      </c>
      <c r="O180" s="7">
        <f>(Données!L180/Données!Y180)*1</f>
        <v>424788.2</v>
      </c>
      <c r="P180" s="320">
        <f t="shared" si="7"/>
        <v>6543123.2699999996</v>
      </c>
      <c r="Q180" s="160">
        <f>+Données!X180</f>
        <v>59</v>
      </c>
      <c r="R180" s="320">
        <f t="shared" si="8"/>
        <v>110900.39440677965</v>
      </c>
    </row>
    <row r="181" spans="1:18" x14ac:dyDescent="0.25">
      <c r="A181" s="6">
        <f>Données!A181</f>
        <v>5710</v>
      </c>
      <c r="B181" s="26" t="str">
        <f>Données!B181</f>
        <v>Coinsins</v>
      </c>
      <c r="C181" s="7">
        <f>Données!C181+Données!D181</f>
        <v>1230894.45</v>
      </c>
      <c r="D181" s="7">
        <f>+Données!G181+Données!H181+Données!S181</f>
        <v>-7144.6799999999994</v>
      </c>
      <c r="E181" s="7">
        <f>+Données!E181</f>
        <v>0</v>
      </c>
      <c r="F181" s="7">
        <f>+Données!I181</f>
        <v>-110710.39999999999</v>
      </c>
      <c r="G181" s="7">
        <f>+Données!J181</f>
        <v>24594.880000000001</v>
      </c>
      <c r="H181" s="7">
        <f>Données!U181</f>
        <v>-4287.26</v>
      </c>
      <c r="I181" s="144">
        <f>Données!V181</f>
        <v>0</v>
      </c>
      <c r="J181" s="144">
        <f>Données!W181</f>
        <v>-11766.8</v>
      </c>
      <c r="K181" s="7">
        <f>+Données!Q181</f>
        <v>1139.17</v>
      </c>
      <c r="L181" s="320">
        <f t="shared" si="6"/>
        <v>1122719.3599999999</v>
      </c>
      <c r="M181" s="7">
        <f>+Données!F181</f>
        <v>0</v>
      </c>
      <c r="N181" s="7">
        <f>+Données!K181</f>
        <v>3874.8</v>
      </c>
      <c r="O181" s="7">
        <f>(Données!L181/Données!Y181)*1</f>
        <v>132917.29999999999</v>
      </c>
      <c r="P181" s="320">
        <f t="shared" si="7"/>
        <v>1259511.46</v>
      </c>
      <c r="Q181" s="160">
        <f>+Données!X181</f>
        <v>49</v>
      </c>
      <c r="R181" s="320">
        <f t="shared" si="8"/>
        <v>25704.31551020408</v>
      </c>
    </row>
    <row r="182" spans="1:18" x14ac:dyDescent="0.25">
      <c r="A182" s="6">
        <f>Données!A182</f>
        <v>5711</v>
      </c>
      <c r="B182" s="26" t="str">
        <f>Données!B182</f>
        <v>Commugny</v>
      </c>
      <c r="C182" s="7">
        <f>Données!C182+Données!D182</f>
        <v>15509213.470000001</v>
      </c>
      <c r="D182" s="7">
        <f>+Données!G182+Données!H182+Données!S182</f>
        <v>73365.26999999999</v>
      </c>
      <c r="E182" s="7">
        <f>+Données!E182</f>
        <v>0</v>
      </c>
      <c r="F182" s="7">
        <f>+Données!I182</f>
        <v>219099.95</v>
      </c>
      <c r="G182" s="7">
        <f>+Données!J182</f>
        <v>44589.07</v>
      </c>
      <c r="H182" s="7">
        <f>Données!U182</f>
        <v>-53761.69</v>
      </c>
      <c r="I182" s="144">
        <f>Données!V182</f>
        <v>0</v>
      </c>
      <c r="J182" s="144">
        <f>Données!W182</f>
        <v>-76106.69</v>
      </c>
      <c r="K182" s="7">
        <f>+Données!Q182</f>
        <v>43782.75</v>
      </c>
      <c r="L182" s="320">
        <f t="shared" si="6"/>
        <v>15760182.130000001</v>
      </c>
      <c r="M182" s="7">
        <f>+Données!F182</f>
        <v>0</v>
      </c>
      <c r="N182" s="7">
        <f>+Données!K182</f>
        <v>1017.35</v>
      </c>
      <c r="O182" s="7">
        <f>(Données!L182/Données!Y182)*1</f>
        <v>1038699.8076923076</v>
      </c>
      <c r="P182" s="320">
        <f t="shared" si="7"/>
        <v>16799899.287692308</v>
      </c>
      <c r="Q182" s="160">
        <f>+Données!X182</f>
        <v>57</v>
      </c>
      <c r="R182" s="320">
        <f t="shared" si="8"/>
        <v>294735.07522267208</v>
      </c>
    </row>
    <row r="183" spans="1:18" x14ac:dyDescent="0.25">
      <c r="A183" s="6">
        <f>Données!A183</f>
        <v>5712</v>
      </c>
      <c r="B183" s="26" t="str">
        <f>Données!B183</f>
        <v>Coppet</v>
      </c>
      <c r="C183" s="7">
        <f>Données!C183+Données!D183</f>
        <v>23967526.990000002</v>
      </c>
      <c r="D183" s="7">
        <f>+Données!G183+Données!H183+Données!S183</f>
        <v>165357.57</v>
      </c>
      <c r="E183" s="7">
        <f>+Données!E183</f>
        <v>0</v>
      </c>
      <c r="F183" s="7">
        <f>+Données!I183</f>
        <v>831200.96</v>
      </c>
      <c r="G183" s="7">
        <f>+Données!J183</f>
        <v>-32723.3</v>
      </c>
      <c r="H183" s="7">
        <f>Données!U183</f>
        <v>-56597.18</v>
      </c>
      <c r="I183" s="144">
        <f>Données!V183</f>
        <v>0</v>
      </c>
      <c r="J183" s="144">
        <f>Données!W183</f>
        <v>-132337.70000000001</v>
      </c>
      <c r="K183" s="7">
        <f>+Données!Q183</f>
        <v>12625.97</v>
      </c>
      <c r="L183" s="320">
        <f t="shared" si="6"/>
        <v>24755053.310000002</v>
      </c>
      <c r="M183" s="7">
        <f>+Données!F183</f>
        <v>0</v>
      </c>
      <c r="N183" s="7">
        <f>+Données!K183</f>
        <v>49562.55</v>
      </c>
      <c r="O183" s="7">
        <f>(Données!L183/Données!Y183)*1</f>
        <v>1289818.5333333334</v>
      </c>
      <c r="P183" s="320">
        <f t="shared" si="7"/>
        <v>26094434.393333338</v>
      </c>
      <c r="Q183" s="160">
        <f>+Données!X183</f>
        <v>57</v>
      </c>
      <c r="R183" s="320">
        <f t="shared" si="8"/>
        <v>457797.09461988311</v>
      </c>
    </row>
    <row r="184" spans="1:18" x14ac:dyDescent="0.25">
      <c r="A184" s="6">
        <f>Données!A184</f>
        <v>5713</v>
      </c>
      <c r="B184" s="26" t="str">
        <f>Données!B184</f>
        <v>Crans</v>
      </c>
      <c r="C184" s="7">
        <f>Données!C184+Données!D184</f>
        <v>14836889.219999999</v>
      </c>
      <c r="D184" s="7">
        <f>+Données!G184+Données!H184+Données!S184</f>
        <v>154355.57999999999</v>
      </c>
      <c r="E184" s="7">
        <f>+Données!E184</f>
        <v>0</v>
      </c>
      <c r="F184" s="7">
        <f>+Données!I184</f>
        <v>677850.7</v>
      </c>
      <c r="G184" s="7">
        <f>+Données!J184</f>
        <v>276420.26</v>
      </c>
      <c r="H184" s="7">
        <f>Données!U184</f>
        <v>-25378.34</v>
      </c>
      <c r="I184" s="144">
        <f>Données!V184</f>
        <v>0</v>
      </c>
      <c r="J184" s="144">
        <f>Données!W184</f>
        <v>-103598.68</v>
      </c>
      <c r="K184" s="7">
        <f>+Données!Q184</f>
        <v>14515.66</v>
      </c>
      <c r="L184" s="320">
        <f t="shared" si="6"/>
        <v>15831054.399999999</v>
      </c>
      <c r="M184" s="7">
        <f>+Données!F184</f>
        <v>0</v>
      </c>
      <c r="N184" s="7">
        <f>+Données!K184</f>
        <v>26586.6</v>
      </c>
      <c r="O184" s="7">
        <f>(Données!L184/Données!Y184)*1</f>
        <v>970717.45</v>
      </c>
      <c r="P184" s="320">
        <f t="shared" si="7"/>
        <v>16828358.449999999</v>
      </c>
      <c r="Q184" s="160">
        <f>+Données!X184</f>
        <v>59</v>
      </c>
      <c r="R184" s="320">
        <f t="shared" si="8"/>
        <v>285226.41440677963</v>
      </c>
    </row>
    <row r="185" spans="1:18" x14ac:dyDescent="0.25">
      <c r="A185" s="6">
        <f>Données!A185</f>
        <v>5714</v>
      </c>
      <c r="B185" s="26" t="str">
        <f>Données!B185</f>
        <v>Crassier</v>
      </c>
      <c r="C185" s="7">
        <f>Données!C185+Données!D185</f>
        <v>3853887.8499999996</v>
      </c>
      <c r="D185" s="7">
        <f>+Données!G185+Données!H185+Données!S185</f>
        <v>38460.29</v>
      </c>
      <c r="E185" s="7">
        <f>+Données!E185</f>
        <v>0</v>
      </c>
      <c r="F185" s="7">
        <f>+Données!I185</f>
        <v>199581.05</v>
      </c>
      <c r="G185" s="7">
        <f>+Données!J185</f>
        <v>41039.58</v>
      </c>
      <c r="H185" s="7">
        <f>Données!U185</f>
        <v>-4216.1099999999997</v>
      </c>
      <c r="I185" s="144">
        <f>Données!V185</f>
        <v>0</v>
      </c>
      <c r="J185" s="144">
        <f>Données!W185</f>
        <v>-3856.6</v>
      </c>
      <c r="K185" s="7">
        <f>+Données!Q185</f>
        <v>0</v>
      </c>
      <c r="L185" s="320">
        <f t="shared" si="6"/>
        <v>4124896.0599999996</v>
      </c>
      <c r="M185" s="7">
        <f>+Données!F185</f>
        <v>0</v>
      </c>
      <c r="N185" s="7">
        <f>+Données!K185</f>
        <v>9331.5499999999993</v>
      </c>
      <c r="O185" s="7">
        <f>(Données!L185/Données!Y185)*1</f>
        <v>322417.59999999998</v>
      </c>
      <c r="P185" s="320">
        <f t="shared" si="7"/>
        <v>4456645.209999999</v>
      </c>
      <c r="Q185" s="160">
        <f>+Données!X185</f>
        <v>66.5</v>
      </c>
      <c r="R185" s="320">
        <f t="shared" si="8"/>
        <v>67017.221203007502</v>
      </c>
    </row>
    <row r="186" spans="1:18" x14ac:dyDescent="0.25">
      <c r="A186" s="6">
        <f>Données!A186</f>
        <v>5715</v>
      </c>
      <c r="B186" s="26" t="str">
        <f>Données!B186</f>
        <v>Duillier</v>
      </c>
      <c r="C186" s="7">
        <f>Données!C186+Données!D186</f>
        <v>3425639.4099999997</v>
      </c>
      <c r="D186" s="7">
        <f>+Données!G186+Données!H186+Données!S186</f>
        <v>87290.23</v>
      </c>
      <c r="E186" s="7">
        <f>+Données!E186</f>
        <v>0</v>
      </c>
      <c r="F186" s="7">
        <f>+Données!I186</f>
        <v>0</v>
      </c>
      <c r="G186" s="7">
        <f>+Données!J186</f>
        <v>45887.34</v>
      </c>
      <c r="H186" s="7">
        <f>Données!U186</f>
        <v>-2768.03</v>
      </c>
      <c r="I186" s="144">
        <f>Données!V186</f>
        <v>0</v>
      </c>
      <c r="J186" s="144">
        <f>Données!W186</f>
        <v>-8974.7999999999993</v>
      </c>
      <c r="K186" s="7">
        <f>+Données!Q186</f>
        <v>252.09</v>
      </c>
      <c r="L186" s="320">
        <f t="shared" si="6"/>
        <v>3547326.2399999998</v>
      </c>
      <c r="M186" s="7">
        <f>+Données!F186</f>
        <v>0</v>
      </c>
      <c r="N186" s="7">
        <f>+Données!K186</f>
        <v>9200</v>
      </c>
      <c r="O186" s="7">
        <f>(Données!L186/Données!Y186)*1</f>
        <v>304436.59999999998</v>
      </c>
      <c r="P186" s="320">
        <f t="shared" si="7"/>
        <v>3860962.84</v>
      </c>
      <c r="Q186" s="160">
        <f>+Données!X186</f>
        <v>66</v>
      </c>
      <c r="R186" s="320">
        <f t="shared" si="8"/>
        <v>58499.436969696966</v>
      </c>
    </row>
    <row r="187" spans="1:18" x14ac:dyDescent="0.25">
      <c r="A187" s="6">
        <f>Données!A187</f>
        <v>5716</v>
      </c>
      <c r="B187" s="26" t="str">
        <f>Données!B187</f>
        <v>Eysins</v>
      </c>
      <c r="C187" s="7">
        <f>Données!C187+Données!D187</f>
        <v>5695061.8300000001</v>
      </c>
      <c r="D187" s="7">
        <f>+Données!G187+Données!H187+Données!S187</f>
        <v>16413919.779999999</v>
      </c>
      <c r="E187" s="7">
        <f>+Données!E187</f>
        <v>0</v>
      </c>
      <c r="F187" s="7">
        <f>+Données!I187</f>
        <v>0</v>
      </c>
      <c r="G187" s="7">
        <f>+Données!J187</f>
        <v>250388.29</v>
      </c>
      <c r="H187" s="7">
        <f>Données!U187</f>
        <v>-29142.71</v>
      </c>
      <c r="I187" s="144">
        <f>Données!V187</f>
        <v>0</v>
      </c>
      <c r="J187" s="144">
        <f>Données!W187</f>
        <v>-3488.2</v>
      </c>
      <c r="K187" s="7">
        <f>+Données!Q187</f>
        <v>30890.46</v>
      </c>
      <c r="L187" s="320">
        <f t="shared" si="6"/>
        <v>22357629.449999999</v>
      </c>
      <c r="M187" s="7">
        <f>+Données!F187</f>
        <v>0</v>
      </c>
      <c r="N187" s="7">
        <f>+Données!K187</f>
        <v>-123.5</v>
      </c>
      <c r="O187" s="7">
        <f>(Données!L187/Données!Y187)*1</f>
        <v>722232.6</v>
      </c>
      <c r="P187" s="320">
        <f t="shared" si="7"/>
        <v>23079738.550000001</v>
      </c>
      <c r="Q187" s="160">
        <f>+Données!X187</f>
        <v>59.5</v>
      </c>
      <c r="R187" s="320">
        <f t="shared" si="8"/>
        <v>387894.76554621849</v>
      </c>
    </row>
    <row r="188" spans="1:18" x14ac:dyDescent="0.25">
      <c r="A188" s="6">
        <f>Données!A188</f>
        <v>5717</v>
      </c>
      <c r="B188" s="26" t="str">
        <f>Données!B188</f>
        <v>Founex</v>
      </c>
      <c r="C188" s="7">
        <f>Données!C188+Données!D188</f>
        <v>19465109.100000001</v>
      </c>
      <c r="D188" s="7">
        <f>+Données!G188+Données!H188+Données!S188</f>
        <v>149334.60999999999</v>
      </c>
      <c r="E188" s="7">
        <f>+Données!E188</f>
        <v>0</v>
      </c>
      <c r="F188" s="7">
        <f>+Données!I188</f>
        <v>1395207.12</v>
      </c>
      <c r="G188" s="7">
        <f>+Données!J188</f>
        <v>50213.55</v>
      </c>
      <c r="H188" s="7">
        <f>Données!U188</f>
        <v>-118760.11</v>
      </c>
      <c r="I188" s="144">
        <f>Données!V188</f>
        <v>0</v>
      </c>
      <c r="J188" s="144">
        <f>Données!W188</f>
        <v>-322557.3</v>
      </c>
      <c r="K188" s="7">
        <f>+Données!Q188</f>
        <v>50575.76</v>
      </c>
      <c r="L188" s="320">
        <f t="shared" si="6"/>
        <v>20669122.730000004</v>
      </c>
      <c r="M188" s="7">
        <f>+Données!F188</f>
        <v>0</v>
      </c>
      <c r="N188" s="7">
        <f>+Données!K188</f>
        <v>67511</v>
      </c>
      <c r="O188" s="7">
        <f>(Données!L188/Données!Y188)*1</f>
        <v>1465209.9</v>
      </c>
      <c r="P188" s="320">
        <f t="shared" si="7"/>
        <v>22201843.630000003</v>
      </c>
      <c r="Q188" s="160">
        <f>+Données!X188</f>
        <v>57</v>
      </c>
      <c r="R188" s="320">
        <f t="shared" si="8"/>
        <v>389506.02859649126</v>
      </c>
    </row>
    <row r="189" spans="1:18" x14ac:dyDescent="0.25">
      <c r="A189" s="6">
        <f>Données!A189</f>
        <v>5718</v>
      </c>
      <c r="B189" s="26" t="str">
        <f>Données!B189</f>
        <v>Genolier</v>
      </c>
      <c r="C189" s="7">
        <f>Données!C189+Données!D189</f>
        <v>11274324.140000001</v>
      </c>
      <c r="D189" s="7">
        <f>+Données!G189+Données!H189+Données!S189</f>
        <v>-89126.76999999999</v>
      </c>
      <c r="E189" s="7">
        <f>+Données!E189</f>
        <v>0</v>
      </c>
      <c r="F189" s="7">
        <f>+Données!I189</f>
        <v>517980.7</v>
      </c>
      <c r="G189" s="7">
        <f>+Données!J189</f>
        <v>75113.38</v>
      </c>
      <c r="H189" s="7">
        <f>Données!U189</f>
        <v>-86866.94</v>
      </c>
      <c r="I189" s="144">
        <f>Données!V189</f>
        <v>0</v>
      </c>
      <c r="J189" s="144">
        <f>Données!W189</f>
        <v>-39714.74</v>
      </c>
      <c r="K189" s="7">
        <f>+Données!Q189</f>
        <v>6127.43</v>
      </c>
      <c r="L189" s="320">
        <f t="shared" si="6"/>
        <v>11657837.200000001</v>
      </c>
      <c r="M189" s="7">
        <f>+Données!F189</f>
        <v>0</v>
      </c>
      <c r="N189" s="7">
        <f>+Données!K189</f>
        <v>49948.800000000003</v>
      </c>
      <c r="O189" s="7">
        <f>(Données!L189/Données!Y189)*1</f>
        <v>752106.55</v>
      </c>
      <c r="P189" s="320">
        <f t="shared" si="7"/>
        <v>12459892.550000003</v>
      </c>
      <c r="Q189" s="160">
        <f>+Données!X189</f>
        <v>52</v>
      </c>
      <c r="R189" s="320">
        <f t="shared" si="8"/>
        <v>239613.31826923083</v>
      </c>
    </row>
    <row r="190" spans="1:18" x14ac:dyDescent="0.25">
      <c r="A190" s="6">
        <f>Données!A190</f>
        <v>5719</v>
      </c>
      <c r="B190" s="26" t="str">
        <f>Données!B190</f>
        <v>Gingins</v>
      </c>
      <c r="C190" s="7">
        <f>Données!C190+Données!D190</f>
        <v>9518711.0800000001</v>
      </c>
      <c r="D190" s="7">
        <f>+Données!G190+Données!H190+Données!S190</f>
        <v>94269.42</v>
      </c>
      <c r="E190" s="7">
        <f>+Données!E190</f>
        <v>0</v>
      </c>
      <c r="F190" s="7">
        <f>+Données!I190</f>
        <v>303500.69</v>
      </c>
      <c r="G190" s="7">
        <f>+Données!J190</f>
        <v>22565.78</v>
      </c>
      <c r="H190" s="7">
        <f>Données!U190</f>
        <v>-7421.03</v>
      </c>
      <c r="I190" s="144">
        <f>Données!V190</f>
        <v>0</v>
      </c>
      <c r="J190" s="144">
        <f>Données!W190</f>
        <v>-14421.32</v>
      </c>
      <c r="K190" s="7">
        <f>+Données!Q190</f>
        <v>3485.76</v>
      </c>
      <c r="L190" s="320">
        <f t="shared" si="6"/>
        <v>9920690.379999999</v>
      </c>
      <c r="M190" s="7">
        <f>+Données!F190</f>
        <v>0</v>
      </c>
      <c r="N190" s="7">
        <f>+Données!K190</f>
        <v>16041.8</v>
      </c>
      <c r="O190" s="7">
        <f>(Données!L190/Données!Y190)*1</f>
        <v>459689.16666666669</v>
      </c>
      <c r="P190" s="320">
        <f t="shared" si="7"/>
        <v>10396421.346666666</v>
      </c>
      <c r="Q190" s="160">
        <f>+Données!X190</f>
        <v>60</v>
      </c>
      <c r="R190" s="320">
        <f t="shared" si="8"/>
        <v>173273.6891111111</v>
      </c>
    </row>
    <row r="191" spans="1:18" x14ac:dyDescent="0.25">
      <c r="A191" s="6">
        <f>Données!A191</f>
        <v>5720</v>
      </c>
      <c r="B191" s="26" t="str">
        <f>Données!B191</f>
        <v>Givrins</v>
      </c>
      <c r="C191" s="7">
        <f>Données!C191+Données!D191</f>
        <v>4262941.07</v>
      </c>
      <c r="D191" s="7">
        <f>+Données!G191+Données!H191+Données!S191</f>
        <v>88187.28</v>
      </c>
      <c r="E191" s="7">
        <f>+Données!E191</f>
        <v>0</v>
      </c>
      <c r="F191" s="7">
        <f>+Données!I191</f>
        <v>491109.07</v>
      </c>
      <c r="G191" s="7">
        <f>+Données!J191</f>
        <v>25906.3</v>
      </c>
      <c r="H191" s="7">
        <f>Données!U191</f>
        <v>-16647.46</v>
      </c>
      <c r="I191" s="144">
        <f>Données!V191</f>
        <v>0</v>
      </c>
      <c r="J191" s="144">
        <f>Données!W191</f>
        <v>-11817.57</v>
      </c>
      <c r="K191" s="7">
        <f>+Données!Q191</f>
        <v>1397.71</v>
      </c>
      <c r="L191" s="320">
        <f t="shared" si="6"/>
        <v>4841076.4000000004</v>
      </c>
      <c r="M191" s="7">
        <f>+Données!F191</f>
        <v>0</v>
      </c>
      <c r="N191" s="7">
        <f>+Données!K191</f>
        <v>0</v>
      </c>
      <c r="O191" s="7">
        <f>(Données!L191/Données!Y191)*1</f>
        <v>341385.61111111107</v>
      </c>
      <c r="P191" s="320">
        <f t="shared" si="7"/>
        <v>5182462.0111111114</v>
      </c>
      <c r="Q191" s="160">
        <f>+Données!X191</f>
        <v>67</v>
      </c>
      <c r="R191" s="320">
        <f t="shared" si="8"/>
        <v>77350.1792703151</v>
      </c>
    </row>
    <row r="192" spans="1:18" x14ac:dyDescent="0.25">
      <c r="A192" s="6">
        <f>Données!A192</f>
        <v>5721</v>
      </c>
      <c r="B192" s="26" t="str">
        <f>Données!B192</f>
        <v>Gland</v>
      </c>
      <c r="C192" s="7">
        <f>Données!C192+Données!D192</f>
        <v>33131382.859999999</v>
      </c>
      <c r="D192" s="7">
        <f>+Données!G192+Données!H192+Données!S192</f>
        <v>6210136.04</v>
      </c>
      <c r="E192" s="7">
        <f>+Données!E192</f>
        <v>0</v>
      </c>
      <c r="F192" s="7">
        <f>+Données!I192</f>
        <v>709037</v>
      </c>
      <c r="G192" s="7">
        <f>+Données!J192</f>
        <v>917434.62</v>
      </c>
      <c r="H192" s="7">
        <f>Données!U192</f>
        <v>-232994.58</v>
      </c>
      <c r="I192" s="144">
        <f>Données!V192</f>
        <v>0</v>
      </c>
      <c r="J192" s="144">
        <f>Données!W192</f>
        <v>-47497.17</v>
      </c>
      <c r="K192" s="7">
        <f>+Données!Q192</f>
        <v>66229.039999999994</v>
      </c>
      <c r="L192" s="320">
        <f t="shared" si="6"/>
        <v>40753727.809999995</v>
      </c>
      <c r="M192" s="7">
        <f>+Données!F192</f>
        <v>0</v>
      </c>
      <c r="N192" s="7">
        <f>+Données!K192</f>
        <v>391496.3</v>
      </c>
      <c r="O192" s="7">
        <f>(Données!L192/Données!Y192)*1</f>
        <v>3255697.55</v>
      </c>
      <c r="P192" s="320">
        <f t="shared" si="7"/>
        <v>44400921.659999989</v>
      </c>
      <c r="Q192" s="160">
        <f>+Données!X192</f>
        <v>61</v>
      </c>
      <c r="R192" s="320">
        <f t="shared" si="8"/>
        <v>727883.96163934411</v>
      </c>
    </row>
    <row r="193" spans="1:18" x14ac:dyDescent="0.25">
      <c r="A193" s="6">
        <f>Données!A193</f>
        <v>5722</v>
      </c>
      <c r="B193" s="26" t="str">
        <f>Données!B193</f>
        <v>Grens</v>
      </c>
      <c r="C193" s="7">
        <f>Données!C193+Données!D193</f>
        <v>1200959.51</v>
      </c>
      <c r="D193" s="7">
        <f>+Données!G193+Données!H193+Données!S193</f>
        <v>677071.09</v>
      </c>
      <c r="E193" s="7">
        <f>+Données!E193</f>
        <v>0</v>
      </c>
      <c r="F193" s="7">
        <f>+Données!I193</f>
        <v>0</v>
      </c>
      <c r="G193" s="7">
        <f>+Données!J193</f>
        <v>34159.620000000003</v>
      </c>
      <c r="H193" s="7">
        <f>Données!U193</f>
        <v>-6806.95</v>
      </c>
      <c r="I193" s="144">
        <f>Données!V193</f>
        <v>0</v>
      </c>
      <c r="J193" s="144">
        <f>Données!W193</f>
        <v>-2959.75</v>
      </c>
      <c r="K193" s="7">
        <f>+Données!Q193</f>
        <v>9291.06</v>
      </c>
      <c r="L193" s="320">
        <f t="shared" si="6"/>
        <v>1911714.5800000003</v>
      </c>
      <c r="M193" s="7">
        <f>+Données!F193</f>
        <v>0</v>
      </c>
      <c r="N193" s="7">
        <f>+Données!K193</f>
        <v>26422.1</v>
      </c>
      <c r="O193" s="7">
        <f>(Données!L193/Données!Y193)*1</f>
        <v>150942.85</v>
      </c>
      <c r="P193" s="320">
        <f t="shared" si="7"/>
        <v>2089079.5300000005</v>
      </c>
      <c r="Q193" s="160">
        <f>+Données!X193</f>
        <v>62</v>
      </c>
      <c r="R193" s="320">
        <f t="shared" si="8"/>
        <v>33694.831129032267</v>
      </c>
    </row>
    <row r="194" spans="1:18" x14ac:dyDescent="0.25">
      <c r="A194" s="6">
        <f>Données!A194</f>
        <v>5723</v>
      </c>
      <c r="B194" s="26" t="str">
        <f>Données!B194</f>
        <v>Mies</v>
      </c>
      <c r="C194" s="7">
        <f>Données!C194+Données!D194</f>
        <v>11987281.25</v>
      </c>
      <c r="D194" s="7">
        <f>+Données!G194+Données!H194+Données!S194</f>
        <v>247432.35</v>
      </c>
      <c r="E194" s="7">
        <f>+Données!E194</f>
        <v>0</v>
      </c>
      <c r="F194" s="7">
        <f>+Données!I194</f>
        <v>1129001.7</v>
      </c>
      <c r="G194" s="7">
        <f>+Données!J194</f>
        <v>30995.63</v>
      </c>
      <c r="H194" s="7">
        <f>Données!U194</f>
        <v>-20609.12</v>
      </c>
      <c r="I194" s="144">
        <f>Données!V194</f>
        <v>0</v>
      </c>
      <c r="J194" s="144">
        <f>Données!W194</f>
        <v>-46544.78</v>
      </c>
      <c r="K194" s="7">
        <f>+Données!Q194</f>
        <v>582.70000000000005</v>
      </c>
      <c r="L194" s="320">
        <f t="shared" si="6"/>
        <v>13328139.73</v>
      </c>
      <c r="M194" s="7">
        <f>+Données!F194</f>
        <v>0</v>
      </c>
      <c r="N194" s="7">
        <f>+Données!K194</f>
        <v>86133.35</v>
      </c>
      <c r="O194" s="7">
        <f>(Données!L194/Données!Y194)*1</f>
        <v>1036881.45</v>
      </c>
      <c r="P194" s="320">
        <f t="shared" si="7"/>
        <v>14451154.529999999</v>
      </c>
      <c r="Q194" s="160">
        <f>+Données!X194</f>
        <v>53</v>
      </c>
      <c r="R194" s="320">
        <f t="shared" si="8"/>
        <v>272663.2930188679</v>
      </c>
    </row>
    <row r="195" spans="1:18" x14ac:dyDescent="0.25">
      <c r="A195" s="6">
        <f>Données!A195</f>
        <v>5724</v>
      </c>
      <c r="B195" s="26" t="str">
        <f>Données!B195</f>
        <v>Nyon</v>
      </c>
      <c r="C195" s="7">
        <f>Données!C195+Données!D195</f>
        <v>76235830.480000004</v>
      </c>
      <c r="D195" s="7">
        <f>+Données!G195+Données!H195+Données!S195</f>
        <v>13080429.120000001</v>
      </c>
      <c r="E195" s="7">
        <f>+Données!E195</f>
        <v>0</v>
      </c>
      <c r="F195" s="7">
        <f>+Données!I195</f>
        <v>1171841.25</v>
      </c>
      <c r="G195" s="7">
        <f>+Données!J195</f>
        <v>3385610.47</v>
      </c>
      <c r="H195" s="7">
        <f>Données!U195</f>
        <v>-620562.87</v>
      </c>
      <c r="I195" s="144">
        <f>Données!V195</f>
        <v>0</v>
      </c>
      <c r="J195" s="144">
        <f>Données!W195</f>
        <v>-648286.54</v>
      </c>
      <c r="K195" s="7">
        <f>+Données!Q195</f>
        <v>112518.51</v>
      </c>
      <c r="L195" s="320">
        <f t="shared" si="6"/>
        <v>92717380.420000002</v>
      </c>
      <c r="M195" s="7">
        <f>+Données!F195</f>
        <v>0</v>
      </c>
      <c r="N195" s="7">
        <f>+Données!K195</f>
        <v>1070922.2</v>
      </c>
      <c r="O195" s="7">
        <f>(Données!L195/Données!Y195)*1</f>
        <v>6247965.3666666672</v>
      </c>
      <c r="P195" s="320">
        <f t="shared" si="7"/>
        <v>100036267.98666668</v>
      </c>
      <c r="Q195" s="160">
        <f>+Données!X195</f>
        <v>61</v>
      </c>
      <c r="R195" s="320">
        <f t="shared" si="8"/>
        <v>1639938.8194535521</v>
      </c>
    </row>
    <row r="196" spans="1:18" x14ac:dyDescent="0.25">
      <c r="A196" s="6">
        <f>Données!A196</f>
        <v>5725</v>
      </c>
      <c r="B196" s="26" t="str">
        <f>Données!B196</f>
        <v>Prangins</v>
      </c>
      <c r="C196" s="7">
        <f>Données!C196+Données!D196</f>
        <v>14418004.770000001</v>
      </c>
      <c r="D196" s="7">
        <f>+Données!G196+Données!H196+Données!S196</f>
        <v>3953043.44</v>
      </c>
      <c r="E196" s="7">
        <f>+Données!E196</f>
        <v>0</v>
      </c>
      <c r="F196" s="7">
        <f>+Données!I196</f>
        <v>362653.88</v>
      </c>
      <c r="G196" s="7">
        <f>+Données!J196</f>
        <v>233998.61</v>
      </c>
      <c r="H196" s="7">
        <f>Données!U196</f>
        <v>-44730.91</v>
      </c>
      <c r="I196" s="144">
        <f>Données!V196</f>
        <v>0</v>
      </c>
      <c r="J196" s="144">
        <f>Données!W196</f>
        <v>-33266.44</v>
      </c>
      <c r="K196" s="7">
        <f>+Données!Q196</f>
        <v>17757.62</v>
      </c>
      <c r="L196" s="320">
        <f t="shared" si="6"/>
        <v>18907460.969999999</v>
      </c>
      <c r="M196" s="7">
        <f>+Données!F196</f>
        <v>0</v>
      </c>
      <c r="N196" s="7">
        <f>+Données!K196</f>
        <v>45997</v>
      </c>
      <c r="O196" s="7">
        <f>(Données!L196/Données!Y196)*1</f>
        <v>1283358.1785714286</v>
      </c>
      <c r="P196" s="320">
        <f t="shared" si="7"/>
        <v>20236816.148571428</v>
      </c>
      <c r="Q196" s="160">
        <f>+Données!X196</f>
        <v>55</v>
      </c>
      <c r="R196" s="320">
        <f t="shared" si="8"/>
        <v>367942.11179220775</v>
      </c>
    </row>
    <row r="197" spans="1:18" x14ac:dyDescent="0.25">
      <c r="A197" s="6">
        <f>Données!A197</f>
        <v>5726</v>
      </c>
      <c r="B197" s="26" t="str">
        <f>Données!B197</f>
        <v>La Rippe</v>
      </c>
      <c r="C197" s="7">
        <f>Données!C197+Données!D197</f>
        <v>4393952.37</v>
      </c>
      <c r="D197" s="7">
        <f>+Données!G197+Données!H197+Données!S197</f>
        <v>33638.82</v>
      </c>
      <c r="E197" s="7">
        <f>+Données!E197</f>
        <v>0</v>
      </c>
      <c r="F197" s="7">
        <f>+Données!I197</f>
        <v>0</v>
      </c>
      <c r="G197" s="7">
        <f>+Données!J197</f>
        <v>-30887.43</v>
      </c>
      <c r="H197" s="7">
        <f>Données!U197</f>
        <v>-26380.2</v>
      </c>
      <c r="I197" s="144">
        <f>Données!V197</f>
        <v>0</v>
      </c>
      <c r="J197" s="144">
        <f>Données!W197</f>
        <v>-11623.4</v>
      </c>
      <c r="K197" s="7">
        <f>+Données!Q197</f>
        <v>3060.02</v>
      </c>
      <c r="L197" s="320">
        <f t="shared" si="6"/>
        <v>4361760.18</v>
      </c>
      <c r="M197" s="7">
        <f>+Données!F197</f>
        <v>0</v>
      </c>
      <c r="N197" s="7">
        <f>+Données!K197</f>
        <v>5351.95</v>
      </c>
      <c r="O197" s="7">
        <f>(Données!L197/Données!Y197)*1</f>
        <v>292382.05</v>
      </c>
      <c r="P197" s="320">
        <f t="shared" si="7"/>
        <v>4659494.18</v>
      </c>
      <c r="Q197" s="160">
        <f>+Données!X197</f>
        <v>63.5</v>
      </c>
      <c r="R197" s="320">
        <f t="shared" si="8"/>
        <v>73377.861102362207</v>
      </c>
    </row>
    <row r="198" spans="1:18" x14ac:dyDescent="0.25">
      <c r="A198" s="6">
        <f>Données!A198</f>
        <v>5727</v>
      </c>
      <c r="B198" s="26" t="str">
        <f>Données!B198</f>
        <v>Saint-Cergue</v>
      </c>
      <c r="C198" s="7">
        <f>Données!C198+Données!D198</f>
        <v>6539031.0800000001</v>
      </c>
      <c r="D198" s="7">
        <f>+Données!G198+Données!H198+Données!S198</f>
        <v>123734.28</v>
      </c>
      <c r="E198" s="7">
        <f>+Données!E198</f>
        <v>0</v>
      </c>
      <c r="F198" s="7">
        <f>+Données!I198</f>
        <v>156752.35</v>
      </c>
      <c r="G198" s="7">
        <f>+Données!J198</f>
        <v>81225.48</v>
      </c>
      <c r="H198" s="7">
        <f>Données!U198</f>
        <v>-164447.54999999999</v>
      </c>
      <c r="I198" s="144">
        <f>Données!V198</f>
        <v>0</v>
      </c>
      <c r="J198" s="144">
        <f>Données!W198</f>
        <v>-6546.04</v>
      </c>
      <c r="K198" s="7">
        <f>+Données!Q198</f>
        <v>48244.54</v>
      </c>
      <c r="L198" s="320">
        <f t="shared" si="6"/>
        <v>6777994.1400000006</v>
      </c>
      <c r="M198" s="7">
        <f>+Données!F198</f>
        <v>0</v>
      </c>
      <c r="N198" s="7">
        <f>+Données!K198</f>
        <v>-464.25</v>
      </c>
      <c r="O198" s="7">
        <f>(Données!L198/Données!Y198)*1</f>
        <v>599464.3666666667</v>
      </c>
      <c r="P198" s="320">
        <f t="shared" si="7"/>
        <v>7376994.2566666678</v>
      </c>
      <c r="Q198" s="160">
        <f>+Données!X198</f>
        <v>66</v>
      </c>
      <c r="R198" s="320">
        <f t="shared" si="8"/>
        <v>111772.64025252526</v>
      </c>
    </row>
    <row r="199" spans="1:18" x14ac:dyDescent="0.25">
      <c r="A199" s="6">
        <f>Données!A199</f>
        <v>5728</v>
      </c>
      <c r="B199" s="26" t="str">
        <f>Données!B199</f>
        <v>Signy-Avenex</v>
      </c>
      <c r="C199" s="7">
        <f>Données!C199+Données!D199</f>
        <v>1652176.8599999999</v>
      </c>
      <c r="D199" s="7">
        <f>+Données!G199+Données!H199+Données!S199</f>
        <v>573925.77</v>
      </c>
      <c r="E199" s="7">
        <f>+Données!E199</f>
        <v>0</v>
      </c>
      <c r="F199" s="7">
        <f>+Données!I199</f>
        <v>-31747.15</v>
      </c>
      <c r="G199" s="7">
        <f>+Données!J199</f>
        <v>73869.52</v>
      </c>
      <c r="H199" s="7">
        <f>Données!U199</f>
        <v>-2930.89</v>
      </c>
      <c r="I199" s="144">
        <f>Données!V199</f>
        <v>0</v>
      </c>
      <c r="J199" s="144">
        <f>Données!W199</f>
        <v>-620.9</v>
      </c>
      <c r="K199" s="7">
        <f>+Données!Q199</f>
        <v>8486.19</v>
      </c>
      <c r="L199" s="320">
        <f t="shared" ref="L199:L262" si="9">SUM(C199:K199)</f>
        <v>2273159.4</v>
      </c>
      <c r="M199" s="7">
        <f>+Données!F199</f>
        <v>0</v>
      </c>
      <c r="N199" s="7">
        <f>+Données!K199</f>
        <v>60337.95</v>
      </c>
      <c r="O199" s="7">
        <f>(Données!L199/Données!Y199)*1</f>
        <v>244808.6</v>
      </c>
      <c r="P199" s="320">
        <f t="shared" ref="P199:P262" si="10">SUM(L199:O199)</f>
        <v>2578305.9500000002</v>
      </c>
      <c r="Q199" s="160">
        <f>+Données!X199</f>
        <v>58</v>
      </c>
      <c r="R199" s="320">
        <f t="shared" ref="R199:R262" si="11">P199/Q199</f>
        <v>44453.550862068965</v>
      </c>
    </row>
    <row r="200" spans="1:18" x14ac:dyDescent="0.25">
      <c r="A200" s="6">
        <f>Données!A200</f>
        <v>5729</v>
      </c>
      <c r="B200" s="26" t="str">
        <f>Données!B200</f>
        <v>Tannay</v>
      </c>
      <c r="C200" s="7">
        <f>Données!C200+Données!D200</f>
        <v>10330921.58</v>
      </c>
      <c r="D200" s="7">
        <f>+Données!G200+Données!H200+Données!S200</f>
        <v>204809.83</v>
      </c>
      <c r="E200" s="7">
        <f>+Données!E200</f>
        <v>0</v>
      </c>
      <c r="F200" s="7">
        <f>+Données!I200</f>
        <v>319599.34999999998</v>
      </c>
      <c r="G200" s="7">
        <f>+Données!J200</f>
        <v>23443.78</v>
      </c>
      <c r="H200" s="7">
        <f>Données!U200</f>
        <v>-17293.68</v>
      </c>
      <c r="I200" s="144">
        <f>Données!V200</f>
        <v>0</v>
      </c>
      <c r="J200" s="144">
        <f>Données!W200</f>
        <v>-50618.71</v>
      </c>
      <c r="K200" s="7">
        <f>+Données!Q200</f>
        <v>0</v>
      </c>
      <c r="L200" s="320">
        <f t="shared" si="9"/>
        <v>10810862.149999999</v>
      </c>
      <c r="M200" s="7">
        <f>+Données!F200</f>
        <v>0</v>
      </c>
      <c r="N200" s="7">
        <f>+Données!K200</f>
        <v>-2820.65</v>
      </c>
      <c r="O200" s="7">
        <f>(Données!L200/Données!Y200)*1</f>
        <v>668272</v>
      </c>
      <c r="P200" s="320">
        <f t="shared" si="10"/>
        <v>11476313.499999998</v>
      </c>
      <c r="Q200" s="160">
        <f>+Données!X200</f>
        <v>60.5</v>
      </c>
      <c r="R200" s="320">
        <f t="shared" si="11"/>
        <v>189691.13223140492</v>
      </c>
    </row>
    <row r="201" spans="1:18" x14ac:dyDescent="0.25">
      <c r="A201" s="6">
        <f>Données!A201</f>
        <v>5730</v>
      </c>
      <c r="B201" s="26" t="str">
        <f>Données!B201</f>
        <v>Trélex</v>
      </c>
      <c r="C201" s="7">
        <f>Données!C201+Données!D201</f>
        <v>9060158.1699999999</v>
      </c>
      <c r="D201" s="7">
        <f>+Données!G201+Données!H201+Données!S201</f>
        <v>54513.68</v>
      </c>
      <c r="E201" s="7">
        <f>+Données!E201</f>
        <v>0</v>
      </c>
      <c r="F201" s="7">
        <f>+Données!I201</f>
        <v>33147.35</v>
      </c>
      <c r="G201" s="7">
        <f>+Données!J201</f>
        <v>-29522.95</v>
      </c>
      <c r="H201" s="7">
        <f>Données!U201</f>
        <v>-105018.94</v>
      </c>
      <c r="I201" s="144">
        <f>Données!V201</f>
        <v>0</v>
      </c>
      <c r="J201" s="144">
        <f>Données!W201</f>
        <v>-68619.23</v>
      </c>
      <c r="K201" s="7">
        <f>+Données!Q201</f>
        <v>468.13</v>
      </c>
      <c r="L201" s="320">
        <f t="shared" si="9"/>
        <v>8945126.2100000009</v>
      </c>
      <c r="M201" s="7">
        <f>+Données!F201</f>
        <v>0</v>
      </c>
      <c r="N201" s="7">
        <f>+Données!K201</f>
        <v>11986.35</v>
      </c>
      <c r="O201" s="7">
        <f>(Données!L201/Données!Y201)*1</f>
        <v>492098.27777777775</v>
      </c>
      <c r="P201" s="320">
        <f t="shared" si="10"/>
        <v>9449210.8377777785</v>
      </c>
      <c r="Q201" s="160">
        <f>+Données!X201</f>
        <v>55.5</v>
      </c>
      <c r="R201" s="320">
        <f t="shared" si="11"/>
        <v>170256.05113113116</v>
      </c>
    </row>
    <row r="202" spans="1:18" x14ac:dyDescent="0.25">
      <c r="A202" s="6">
        <f>Données!A202</f>
        <v>5731</v>
      </c>
      <c r="B202" s="26" t="str">
        <f>Données!B202</f>
        <v>Le Vaud</v>
      </c>
      <c r="C202" s="7">
        <f>Données!C202+Données!D202</f>
        <v>4983448.47</v>
      </c>
      <c r="D202" s="7">
        <f>+Données!G202+Données!H202+Données!S202</f>
        <v>33402.29</v>
      </c>
      <c r="E202" s="7">
        <f>+Données!E202</f>
        <v>0</v>
      </c>
      <c r="F202" s="7">
        <f>+Données!I202</f>
        <v>0</v>
      </c>
      <c r="G202" s="7">
        <f>+Données!J202</f>
        <v>26114.86</v>
      </c>
      <c r="H202" s="7">
        <f>Données!U202</f>
        <v>-26310.7</v>
      </c>
      <c r="I202" s="144">
        <f>Données!V202</f>
        <v>0</v>
      </c>
      <c r="J202" s="144">
        <f>Données!W202</f>
        <v>-9785.5499999999993</v>
      </c>
      <c r="K202" s="7">
        <f>+Données!Q202</f>
        <v>1504</v>
      </c>
      <c r="L202" s="320">
        <f t="shared" si="9"/>
        <v>5008373.37</v>
      </c>
      <c r="M202" s="7">
        <f>+Données!F202</f>
        <v>0</v>
      </c>
      <c r="N202" s="7">
        <f>+Données!K202</f>
        <v>5392.5</v>
      </c>
      <c r="O202" s="7">
        <f>(Données!L202/Données!Y202)*1</f>
        <v>317565.43333333335</v>
      </c>
      <c r="P202" s="320">
        <f t="shared" si="10"/>
        <v>5331331.3033333337</v>
      </c>
      <c r="Q202" s="160">
        <f>+Données!X202</f>
        <v>71</v>
      </c>
      <c r="R202" s="320">
        <f t="shared" si="11"/>
        <v>75089.173286384976</v>
      </c>
    </row>
    <row r="203" spans="1:18" x14ac:dyDescent="0.25">
      <c r="A203" s="6">
        <f>Données!A203</f>
        <v>5732</v>
      </c>
      <c r="B203" s="26" t="str">
        <f>Données!B203</f>
        <v>Vich</v>
      </c>
      <c r="C203" s="7">
        <f>Données!C203+Données!D203</f>
        <v>4454532.05</v>
      </c>
      <c r="D203" s="7">
        <f>+Données!G203+Données!H203+Données!S203</f>
        <v>169083.68</v>
      </c>
      <c r="E203" s="7">
        <f>+Données!E203</f>
        <v>0</v>
      </c>
      <c r="F203" s="7">
        <f>+Données!I203</f>
        <v>143917.35</v>
      </c>
      <c r="G203" s="7">
        <f>+Données!J203</f>
        <v>100208.98</v>
      </c>
      <c r="H203" s="7">
        <f>Données!U203</f>
        <v>-2691.49</v>
      </c>
      <c r="I203" s="144">
        <f>Données!V203</f>
        <v>0</v>
      </c>
      <c r="J203" s="144">
        <f>Données!W203</f>
        <v>-6606.4</v>
      </c>
      <c r="K203" s="7">
        <f>+Données!Q203</f>
        <v>1713.67</v>
      </c>
      <c r="L203" s="320">
        <f t="shared" si="9"/>
        <v>4860157.8399999989</v>
      </c>
      <c r="M203" s="7">
        <f>+Données!F203</f>
        <v>0</v>
      </c>
      <c r="N203" s="7">
        <f>+Données!K203</f>
        <v>26159.25</v>
      </c>
      <c r="O203" s="7">
        <f>(Données!L203/Données!Y203)*1</f>
        <v>401240.65</v>
      </c>
      <c r="P203" s="320">
        <f t="shared" si="10"/>
        <v>5287557.7399999993</v>
      </c>
      <c r="Q203" s="160">
        <f>+Données!X203</f>
        <v>63</v>
      </c>
      <c r="R203" s="320">
        <f t="shared" si="11"/>
        <v>83929.487936507925</v>
      </c>
    </row>
    <row r="204" spans="1:18" x14ac:dyDescent="0.25">
      <c r="A204" s="6">
        <f>Données!A204</f>
        <v>5741</v>
      </c>
      <c r="B204" s="26" t="str">
        <f>Données!B204</f>
        <v>L'Abergement</v>
      </c>
      <c r="C204" s="7">
        <f>Données!C204+Données!D204</f>
        <v>584511.92999999993</v>
      </c>
      <c r="D204" s="7">
        <f>+Données!G204+Données!H204+Données!S204</f>
        <v>-3433.7500000000005</v>
      </c>
      <c r="E204" s="7">
        <f>+Données!E204</f>
        <v>0</v>
      </c>
      <c r="F204" s="7">
        <f>+Données!I204</f>
        <v>0</v>
      </c>
      <c r="G204" s="7">
        <f>+Données!J204</f>
        <v>-1377.66</v>
      </c>
      <c r="H204" s="7">
        <f>Données!U204</f>
        <v>-329.47</v>
      </c>
      <c r="I204" s="144">
        <f>Données!V204</f>
        <v>0</v>
      </c>
      <c r="J204" s="144">
        <f>Données!W204</f>
        <v>0</v>
      </c>
      <c r="K204" s="7">
        <f>+Données!Q204</f>
        <v>20297.96</v>
      </c>
      <c r="L204" s="320">
        <f t="shared" si="9"/>
        <v>599669.00999999989</v>
      </c>
      <c r="M204" s="7">
        <f>+Données!F204</f>
        <v>1550</v>
      </c>
      <c r="N204" s="7">
        <f>+Données!K204</f>
        <v>0</v>
      </c>
      <c r="O204" s="7">
        <f>(Données!L204/Données!Y204)*1</f>
        <v>45269.625000000007</v>
      </c>
      <c r="P204" s="320">
        <f t="shared" si="10"/>
        <v>646488.63499999989</v>
      </c>
      <c r="Q204" s="160">
        <f>+Données!X204</f>
        <v>80</v>
      </c>
      <c r="R204" s="320">
        <f t="shared" si="11"/>
        <v>8081.107937499999</v>
      </c>
    </row>
    <row r="205" spans="1:18" x14ac:dyDescent="0.25">
      <c r="A205" s="6">
        <f>Données!A205</f>
        <v>5742</v>
      </c>
      <c r="B205" s="26" t="str">
        <f>Données!B205</f>
        <v>Agiez</v>
      </c>
      <c r="C205" s="7">
        <f>Données!C205+Données!D205</f>
        <v>659765.37</v>
      </c>
      <c r="D205" s="7">
        <f>+Données!G205+Données!H205+Données!S205</f>
        <v>1413.23</v>
      </c>
      <c r="E205" s="7">
        <f>+Données!E205</f>
        <v>0</v>
      </c>
      <c r="F205" s="7">
        <f>+Données!I205</f>
        <v>0</v>
      </c>
      <c r="G205" s="7">
        <f>+Données!J205</f>
        <v>6380</v>
      </c>
      <c r="H205" s="7">
        <f>Données!U205</f>
        <v>-6745.4</v>
      </c>
      <c r="I205" s="144">
        <f>Données!V205</f>
        <v>0</v>
      </c>
      <c r="J205" s="144">
        <f>Données!W205</f>
        <v>0</v>
      </c>
      <c r="K205" s="7">
        <f>+Données!Q205</f>
        <v>6902.44</v>
      </c>
      <c r="L205" s="320">
        <f t="shared" si="9"/>
        <v>667715.6399999999</v>
      </c>
      <c r="M205" s="7">
        <f>+Données!F205</f>
        <v>0</v>
      </c>
      <c r="N205" s="7">
        <f>+Données!K205</f>
        <v>1672.3</v>
      </c>
      <c r="O205" s="7">
        <f>(Données!L205/Données!Y205)*1</f>
        <v>60486.7</v>
      </c>
      <c r="P205" s="320">
        <f t="shared" si="10"/>
        <v>729874.6399999999</v>
      </c>
      <c r="Q205" s="160">
        <f>+Données!X205</f>
        <v>76</v>
      </c>
      <c r="R205" s="320">
        <f t="shared" si="11"/>
        <v>9603.6136842105243</v>
      </c>
    </row>
    <row r="206" spans="1:18" x14ac:dyDescent="0.25">
      <c r="A206" s="6">
        <f>Données!A206</f>
        <v>5743</v>
      </c>
      <c r="B206" s="26" t="str">
        <f>Données!B206</f>
        <v>Arnex-sur-Orbe</v>
      </c>
      <c r="C206" s="7">
        <f>Données!C206+Données!D206</f>
        <v>1271480.5900000001</v>
      </c>
      <c r="D206" s="7">
        <f>+Données!G206+Données!H206+Données!S206</f>
        <v>16970.62</v>
      </c>
      <c r="E206" s="7">
        <f>+Données!E206</f>
        <v>0</v>
      </c>
      <c r="F206" s="7">
        <f>+Données!I206</f>
        <v>0</v>
      </c>
      <c r="G206" s="7">
        <f>+Données!J206</f>
        <v>10919.29</v>
      </c>
      <c r="H206" s="7">
        <f>Données!U206</f>
        <v>-15106.62</v>
      </c>
      <c r="I206" s="144">
        <f>Données!V206</f>
        <v>0</v>
      </c>
      <c r="J206" s="144">
        <f>Données!W206</f>
        <v>-330.45</v>
      </c>
      <c r="K206" s="7">
        <f>+Données!Q206</f>
        <v>5990.31</v>
      </c>
      <c r="L206" s="320">
        <f t="shared" si="9"/>
        <v>1289923.7400000002</v>
      </c>
      <c r="M206" s="7">
        <f>+Données!F206</f>
        <v>0</v>
      </c>
      <c r="N206" s="7">
        <f>+Données!K206</f>
        <v>0</v>
      </c>
      <c r="O206" s="7">
        <f>(Données!L206/Données!Y206)*1</f>
        <v>102878.62499999999</v>
      </c>
      <c r="P206" s="320">
        <f t="shared" si="10"/>
        <v>1392802.3650000002</v>
      </c>
      <c r="Q206" s="160">
        <f>+Données!X206</f>
        <v>71</v>
      </c>
      <c r="R206" s="320">
        <f t="shared" si="11"/>
        <v>19616.934718309862</v>
      </c>
    </row>
    <row r="207" spans="1:18" x14ac:dyDescent="0.25">
      <c r="A207" s="6">
        <f>Données!A207</f>
        <v>5744</v>
      </c>
      <c r="B207" s="26" t="str">
        <f>Données!B207</f>
        <v>Ballaigues</v>
      </c>
      <c r="C207" s="7">
        <f>Données!C207+Données!D207</f>
        <v>1707809.3800000001</v>
      </c>
      <c r="D207" s="7">
        <f>+Données!G207+Données!H207+Données!S207</f>
        <v>3278839.73</v>
      </c>
      <c r="E207" s="7">
        <f>+Données!E207</f>
        <v>0</v>
      </c>
      <c r="F207" s="7">
        <f>+Données!I207</f>
        <v>0</v>
      </c>
      <c r="G207" s="7">
        <f>+Données!J207</f>
        <v>114585.76</v>
      </c>
      <c r="H207" s="7">
        <f>Données!U207</f>
        <v>-34368.97</v>
      </c>
      <c r="I207" s="144">
        <f>Données!V207</f>
        <v>0</v>
      </c>
      <c r="J207" s="144">
        <f>Données!W207</f>
        <v>-1013.6</v>
      </c>
      <c r="K207" s="7">
        <f>+Données!Q207</f>
        <v>3443.3</v>
      </c>
      <c r="L207" s="320">
        <f t="shared" si="9"/>
        <v>5069295.6000000006</v>
      </c>
      <c r="M207" s="7">
        <f>+Données!F207</f>
        <v>0</v>
      </c>
      <c r="N207" s="7">
        <f>+Données!K207</f>
        <v>0</v>
      </c>
      <c r="O207" s="7">
        <f>(Données!L207/Données!Y207)*1</f>
        <v>201237.1</v>
      </c>
      <c r="P207" s="320">
        <f t="shared" si="10"/>
        <v>5270532.7</v>
      </c>
      <c r="Q207" s="160">
        <f>+Données!X207</f>
        <v>65</v>
      </c>
      <c r="R207" s="320">
        <f t="shared" si="11"/>
        <v>81085.11846153847</v>
      </c>
    </row>
    <row r="208" spans="1:18" x14ac:dyDescent="0.25">
      <c r="A208" s="6">
        <f>Données!A208</f>
        <v>5745</v>
      </c>
      <c r="B208" s="26" t="str">
        <f>Données!B208</f>
        <v>Baulmes</v>
      </c>
      <c r="C208" s="7">
        <f>Données!C208+Données!D208</f>
        <v>2062388.6</v>
      </c>
      <c r="D208" s="7">
        <f>+Données!G208+Données!H208+Données!S208</f>
        <v>57018.9</v>
      </c>
      <c r="E208" s="7">
        <f>+Données!E208</f>
        <v>0</v>
      </c>
      <c r="F208" s="7">
        <f>+Données!I208</f>
        <v>0</v>
      </c>
      <c r="G208" s="7">
        <f>+Données!J208</f>
        <v>3018.82</v>
      </c>
      <c r="H208" s="7">
        <f>Données!U208</f>
        <v>-42261.5</v>
      </c>
      <c r="I208" s="144">
        <f>Données!V208</f>
        <v>0</v>
      </c>
      <c r="J208" s="144">
        <f>Données!W208</f>
        <v>0</v>
      </c>
      <c r="K208" s="7">
        <f>+Données!Q208</f>
        <v>17659.25</v>
      </c>
      <c r="L208" s="320">
        <f t="shared" si="9"/>
        <v>2097824.0699999998</v>
      </c>
      <c r="M208" s="7">
        <f>+Données!F208</f>
        <v>0</v>
      </c>
      <c r="N208" s="7">
        <f>+Données!K208</f>
        <v>0</v>
      </c>
      <c r="O208" s="7">
        <f>(Données!L208/Données!Y208)*1</f>
        <v>164149.65</v>
      </c>
      <c r="P208" s="320">
        <f t="shared" si="10"/>
        <v>2261973.7199999997</v>
      </c>
      <c r="Q208" s="160">
        <f>+Données!X208</f>
        <v>76.5</v>
      </c>
      <c r="R208" s="320">
        <f t="shared" si="11"/>
        <v>29568.283921568625</v>
      </c>
    </row>
    <row r="209" spans="1:18" x14ac:dyDescent="0.25">
      <c r="A209" s="6">
        <f>Données!A209</f>
        <v>5746</v>
      </c>
      <c r="B209" s="26" t="str">
        <f>Données!B209</f>
        <v>Bavois</v>
      </c>
      <c r="C209" s="7">
        <f>Données!C209+Données!D209</f>
        <v>2370952.5099999998</v>
      </c>
      <c r="D209" s="7">
        <f>+Données!G209+Données!H209+Données!S209</f>
        <v>50533.57</v>
      </c>
      <c r="E209" s="7">
        <f>+Données!E209</f>
        <v>0</v>
      </c>
      <c r="F209" s="7">
        <f>+Données!I209</f>
        <v>0</v>
      </c>
      <c r="G209" s="7">
        <f>+Données!J209</f>
        <v>29360.47</v>
      </c>
      <c r="H209" s="7">
        <f>Données!U209</f>
        <v>-5210.66</v>
      </c>
      <c r="I209" s="144">
        <f>Données!V209</f>
        <v>0</v>
      </c>
      <c r="J209" s="144">
        <f>Données!W209</f>
        <v>-849.55</v>
      </c>
      <c r="K209" s="7">
        <f>+Données!Q209</f>
        <v>0</v>
      </c>
      <c r="L209" s="320">
        <f t="shared" si="9"/>
        <v>2444786.34</v>
      </c>
      <c r="M209" s="7">
        <f>+Données!F209</f>
        <v>0</v>
      </c>
      <c r="N209" s="7">
        <f>+Données!K209</f>
        <v>20256.3</v>
      </c>
      <c r="O209" s="7">
        <f>(Données!L209/Données!Y209)*1</f>
        <v>208318.29166666669</v>
      </c>
      <c r="P209" s="320">
        <f t="shared" si="10"/>
        <v>2673360.9316666662</v>
      </c>
      <c r="Q209" s="160">
        <f>+Données!X209</f>
        <v>72</v>
      </c>
      <c r="R209" s="320">
        <f t="shared" si="11"/>
        <v>37130.012939814806</v>
      </c>
    </row>
    <row r="210" spans="1:18" x14ac:dyDescent="0.25">
      <c r="A210" s="6">
        <f>Données!A210</f>
        <v>5747</v>
      </c>
      <c r="B210" s="26" t="str">
        <f>Données!B210</f>
        <v>Bofflens</v>
      </c>
      <c r="C210" s="7">
        <f>Données!C210+Données!D210</f>
        <v>384739.27999999997</v>
      </c>
      <c r="D210" s="7">
        <f>+Données!G210+Données!H210+Données!S210</f>
        <v>98858.36</v>
      </c>
      <c r="E210" s="7">
        <f>+Données!E210</f>
        <v>0</v>
      </c>
      <c r="F210" s="7">
        <f>+Données!I210</f>
        <v>0</v>
      </c>
      <c r="G210" s="7">
        <f>+Données!J210</f>
        <v>-822.87</v>
      </c>
      <c r="H210" s="7">
        <f>Données!U210</f>
        <v>-465.32</v>
      </c>
      <c r="I210" s="144">
        <f>Données!V210</f>
        <v>0</v>
      </c>
      <c r="J210" s="144">
        <f>Données!W210</f>
        <v>-11.7</v>
      </c>
      <c r="K210" s="7">
        <f>+Données!Q210</f>
        <v>0</v>
      </c>
      <c r="L210" s="320">
        <f t="shared" si="9"/>
        <v>482297.74999999994</v>
      </c>
      <c r="M210" s="7">
        <f>+Données!F210</f>
        <v>0</v>
      </c>
      <c r="N210" s="7">
        <f>+Données!K210</f>
        <v>0</v>
      </c>
      <c r="O210" s="7">
        <f>(Données!L210/Données!Y210)*1</f>
        <v>35978.300000000003</v>
      </c>
      <c r="P210" s="320">
        <f t="shared" si="10"/>
        <v>518276.04999999993</v>
      </c>
      <c r="Q210" s="160">
        <f>+Données!X210</f>
        <v>69</v>
      </c>
      <c r="R210" s="320">
        <f t="shared" si="11"/>
        <v>7511.2471014492739</v>
      </c>
    </row>
    <row r="211" spans="1:18" x14ac:dyDescent="0.25">
      <c r="A211" s="6">
        <f>Données!A211</f>
        <v>5748</v>
      </c>
      <c r="B211" s="26" t="str">
        <f>Données!B211</f>
        <v>Bretonnières</v>
      </c>
      <c r="C211" s="7">
        <f>Données!C211+Données!D211</f>
        <v>439150.9</v>
      </c>
      <c r="D211" s="7">
        <f>+Données!G211+Données!H211+Données!S211</f>
        <v>1238.1299999999999</v>
      </c>
      <c r="E211" s="7">
        <f>+Données!E211</f>
        <v>0</v>
      </c>
      <c r="F211" s="7">
        <f>+Données!I211</f>
        <v>0</v>
      </c>
      <c r="G211" s="7">
        <f>+Données!J211</f>
        <v>1848.5</v>
      </c>
      <c r="H211" s="7">
        <f>Données!U211</f>
        <v>-287.47000000000003</v>
      </c>
      <c r="I211" s="144">
        <f>Données!V211</f>
        <v>0</v>
      </c>
      <c r="J211" s="144">
        <f>Données!W211</f>
        <v>0</v>
      </c>
      <c r="K211" s="7">
        <f>+Données!Q211</f>
        <v>0</v>
      </c>
      <c r="L211" s="320">
        <f t="shared" si="9"/>
        <v>441950.06000000006</v>
      </c>
      <c r="M211" s="7">
        <f>+Données!F211</f>
        <v>2030</v>
      </c>
      <c r="N211" s="7">
        <f>+Données!K211</f>
        <v>0</v>
      </c>
      <c r="O211" s="7">
        <f>(Données!L211/Données!Y211)*1</f>
        <v>41277.750000000007</v>
      </c>
      <c r="P211" s="320">
        <f t="shared" si="10"/>
        <v>485257.81000000006</v>
      </c>
      <c r="Q211" s="160">
        <f>+Données!X211</f>
        <v>70.5</v>
      </c>
      <c r="R211" s="320">
        <f t="shared" si="11"/>
        <v>6883.0895035460999</v>
      </c>
    </row>
    <row r="212" spans="1:18" x14ac:dyDescent="0.25">
      <c r="A212" s="6">
        <f>Données!A212</f>
        <v>5749</v>
      </c>
      <c r="B212" s="26" t="str">
        <f>Données!B212</f>
        <v>Chavornay</v>
      </c>
      <c r="C212" s="7">
        <f>Données!C212+Données!D212</f>
        <v>9570262.9100000001</v>
      </c>
      <c r="D212" s="7">
        <f>+Données!G212+Données!H212+Données!S212</f>
        <v>349190.61</v>
      </c>
      <c r="E212" s="7">
        <f>+Données!E212</f>
        <v>0</v>
      </c>
      <c r="F212" s="7">
        <f>+Données!I212</f>
        <v>0</v>
      </c>
      <c r="G212" s="7">
        <f>+Données!J212</f>
        <v>287525.40999999997</v>
      </c>
      <c r="H212" s="7">
        <f>Données!U212</f>
        <v>-286353.61</v>
      </c>
      <c r="I212" s="144">
        <f>Données!V212</f>
        <v>0</v>
      </c>
      <c r="J212" s="144">
        <f>Données!W212</f>
        <v>-1123.07</v>
      </c>
      <c r="K212" s="7">
        <f>+Données!Q212</f>
        <v>59902.16</v>
      </c>
      <c r="L212" s="320">
        <f t="shared" si="9"/>
        <v>9979404.4100000001</v>
      </c>
      <c r="M212" s="7">
        <f>+Données!F212</f>
        <v>0</v>
      </c>
      <c r="N212" s="7">
        <f>+Données!K212</f>
        <v>92824.45</v>
      </c>
      <c r="O212" s="7">
        <f>(Données!L212/Données!Y212)*1</f>
        <v>920782.9</v>
      </c>
      <c r="P212" s="320">
        <f t="shared" si="10"/>
        <v>10993011.76</v>
      </c>
      <c r="Q212" s="160">
        <f>+Données!X212</f>
        <v>70.5</v>
      </c>
      <c r="R212" s="320">
        <f t="shared" si="11"/>
        <v>155929.24482269504</v>
      </c>
    </row>
    <row r="213" spans="1:18" x14ac:dyDescent="0.25">
      <c r="A213" s="6">
        <f>Données!A213</f>
        <v>5750</v>
      </c>
      <c r="B213" s="26" t="str">
        <f>Données!B213</f>
        <v>Les Clées</v>
      </c>
      <c r="C213" s="7">
        <f>Données!C213+Données!D213</f>
        <v>472004.75</v>
      </c>
      <c r="D213" s="7">
        <f>+Données!G213+Données!H213+Données!S213</f>
        <v>313.71999999999997</v>
      </c>
      <c r="E213" s="7">
        <f>+Données!E213</f>
        <v>0</v>
      </c>
      <c r="F213" s="7">
        <f>+Données!I213</f>
        <v>0</v>
      </c>
      <c r="G213" s="7">
        <f>+Données!J213</f>
        <v>70.900000000000006</v>
      </c>
      <c r="H213" s="7">
        <f>Données!U213</f>
        <v>-23215.57</v>
      </c>
      <c r="I213" s="144">
        <f>Données!V213</f>
        <v>0</v>
      </c>
      <c r="J213" s="144">
        <f>Données!W213</f>
        <v>-471.25</v>
      </c>
      <c r="K213" s="7">
        <f>+Données!Q213</f>
        <v>18010.71</v>
      </c>
      <c r="L213" s="320">
        <f t="shared" si="9"/>
        <v>466713.26</v>
      </c>
      <c r="M213" s="7">
        <f>+Données!F213</f>
        <v>1120</v>
      </c>
      <c r="N213" s="7">
        <f>+Données!K213</f>
        <v>4.4000000000000004</v>
      </c>
      <c r="O213" s="7">
        <f>(Données!L213/Données!Y213)*1</f>
        <v>24411</v>
      </c>
      <c r="P213" s="320">
        <f t="shared" si="10"/>
        <v>492248.66000000003</v>
      </c>
      <c r="Q213" s="160">
        <f>+Données!X213</f>
        <v>80</v>
      </c>
      <c r="R213" s="320">
        <f t="shared" si="11"/>
        <v>6153.1082500000002</v>
      </c>
    </row>
    <row r="214" spans="1:18" x14ac:dyDescent="0.25">
      <c r="A214" s="6">
        <f>Données!A214</f>
        <v>5752</v>
      </c>
      <c r="B214" s="26" t="str">
        <f>Données!B214</f>
        <v>Croy</v>
      </c>
      <c r="C214" s="7">
        <f>Données!C214+Données!D214</f>
        <v>704259.2699999999</v>
      </c>
      <c r="D214" s="7">
        <f>+Données!G214+Données!H214+Données!S214</f>
        <v>2933.15</v>
      </c>
      <c r="E214" s="7">
        <f>+Données!E214</f>
        <v>0</v>
      </c>
      <c r="F214" s="7">
        <f>+Données!I214</f>
        <v>0</v>
      </c>
      <c r="G214" s="7">
        <f>+Données!J214</f>
        <v>8943.2099999999991</v>
      </c>
      <c r="H214" s="7">
        <f>Données!U214</f>
        <v>-2366.36</v>
      </c>
      <c r="I214" s="144">
        <f>Données!V214</f>
        <v>0</v>
      </c>
      <c r="J214" s="144">
        <f>Données!W214</f>
        <v>-27.65</v>
      </c>
      <c r="K214" s="7">
        <f>+Données!Q214</f>
        <v>2411.79</v>
      </c>
      <c r="L214" s="320">
        <f t="shared" si="9"/>
        <v>716153.40999999992</v>
      </c>
      <c r="M214" s="7">
        <f>+Données!F214</f>
        <v>0</v>
      </c>
      <c r="N214" s="7">
        <f>+Données!K214</f>
        <v>1379.4</v>
      </c>
      <c r="O214" s="7">
        <f>(Données!L214/Données!Y214)*1</f>
        <v>64270.142857142862</v>
      </c>
      <c r="P214" s="320">
        <f t="shared" si="10"/>
        <v>781802.95285714278</v>
      </c>
      <c r="Q214" s="160">
        <f>+Données!X214</f>
        <v>74</v>
      </c>
      <c r="R214" s="320">
        <f t="shared" si="11"/>
        <v>10564.904768339768</v>
      </c>
    </row>
    <row r="215" spans="1:18" x14ac:dyDescent="0.25">
      <c r="A215" s="6">
        <f>Données!A215</f>
        <v>5754</v>
      </c>
      <c r="B215" s="26" t="str">
        <f>Données!B215</f>
        <v>Juriens</v>
      </c>
      <c r="C215" s="7">
        <f>Données!C215+Données!D215</f>
        <v>658559.41</v>
      </c>
      <c r="D215" s="7">
        <f>+Données!G215+Données!H215+Données!S215</f>
        <v>2840.5000000000005</v>
      </c>
      <c r="E215" s="7">
        <f>+Données!E215</f>
        <v>0</v>
      </c>
      <c r="F215" s="7">
        <f>+Données!I215</f>
        <v>0</v>
      </c>
      <c r="G215" s="7">
        <f>+Données!J215</f>
        <v>5426.57</v>
      </c>
      <c r="H215" s="7">
        <f>Données!U215</f>
        <v>-10737.48</v>
      </c>
      <c r="I215" s="144">
        <f>Données!V215</f>
        <v>0</v>
      </c>
      <c r="J215" s="144">
        <f>Données!W215</f>
        <v>-21.6</v>
      </c>
      <c r="K215" s="7">
        <f>+Données!Q215</f>
        <v>140.09</v>
      </c>
      <c r="L215" s="320">
        <f t="shared" si="9"/>
        <v>656207.49</v>
      </c>
      <c r="M215" s="7">
        <f>+Données!F215</f>
        <v>0</v>
      </c>
      <c r="N215" s="7">
        <f>+Données!K215</f>
        <v>2096.5</v>
      </c>
      <c r="O215" s="7">
        <f>(Données!L215/Données!Y215)*1</f>
        <v>49461.8</v>
      </c>
      <c r="P215" s="320">
        <f t="shared" si="10"/>
        <v>707765.79</v>
      </c>
      <c r="Q215" s="160">
        <f>+Données!X215</f>
        <v>79</v>
      </c>
      <c r="R215" s="320">
        <f t="shared" si="11"/>
        <v>8959.0606329113925</v>
      </c>
    </row>
    <row r="216" spans="1:18" x14ac:dyDescent="0.25">
      <c r="A216" s="6">
        <f>Données!A216</f>
        <v>5755</v>
      </c>
      <c r="B216" s="26" t="str">
        <f>Données!B216</f>
        <v>Lignerolle</v>
      </c>
      <c r="C216" s="7">
        <f>Données!C216+Données!D216</f>
        <v>738591.72</v>
      </c>
      <c r="D216" s="7">
        <f>+Données!G216+Données!H216+Données!S216</f>
        <v>11147.390000000001</v>
      </c>
      <c r="E216" s="7">
        <f>+Données!E216</f>
        <v>0</v>
      </c>
      <c r="F216" s="7">
        <f>+Données!I216</f>
        <v>0</v>
      </c>
      <c r="G216" s="7">
        <f>+Données!J216</f>
        <v>19283.939999999999</v>
      </c>
      <c r="H216" s="7">
        <f>Données!U216</f>
        <v>-33869.65</v>
      </c>
      <c r="I216" s="144">
        <f>Données!V216</f>
        <v>0</v>
      </c>
      <c r="J216" s="144">
        <f>Données!W216</f>
        <v>0</v>
      </c>
      <c r="K216" s="7">
        <f>+Données!Q216</f>
        <v>0</v>
      </c>
      <c r="L216" s="320">
        <f t="shared" si="9"/>
        <v>735153.39999999991</v>
      </c>
      <c r="M216" s="7">
        <f>+Données!F216</f>
        <v>2350</v>
      </c>
      <c r="N216" s="7">
        <f>+Données!K216</f>
        <v>4088.1</v>
      </c>
      <c r="O216" s="7">
        <f>(Données!L216/Données!Y216)*1</f>
        <v>73804.357142857145</v>
      </c>
      <c r="P216" s="320">
        <f t="shared" si="10"/>
        <v>815395.85714285704</v>
      </c>
      <c r="Q216" s="160">
        <f>+Données!X216</f>
        <v>78.5</v>
      </c>
      <c r="R216" s="320">
        <f t="shared" si="11"/>
        <v>10387.208371246586</v>
      </c>
    </row>
    <row r="217" spans="1:18" x14ac:dyDescent="0.25">
      <c r="A217" s="6">
        <f>Données!A217</f>
        <v>5756</v>
      </c>
      <c r="B217" s="26" t="str">
        <f>Données!B217</f>
        <v>Montcherand</v>
      </c>
      <c r="C217" s="7">
        <f>Données!C217+Données!D217</f>
        <v>1473710.64</v>
      </c>
      <c r="D217" s="7">
        <f>+Données!G217+Données!H217+Données!S217</f>
        <v>-2841.87</v>
      </c>
      <c r="E217" s="7">
        <f>+Données!E217</f>
        <v>0</v>
      </c>
      <c r="F217" s="7">
        <f>+Données!I217</f>
        <v>0</v>
      </c>
      <c r="G217" s="7">
        <f>+Données!J217</f>
        <v>3868.75</v>
      </c>
      <c r="H217" s="7">
        <f>Données!U217</f>
        <v>-10693.65</v>
      </c>
      <c r="I217" s="144">
        <f>Données!V217</f>
        <v>0</v>
      </c>
      <c r="J217" s="144">
        <f>Données!W217</f>
        <v>-2628.7</v>
      </c>
      <c r="K217" s="7">
        <f>+Données!Q217</f>
        <v>0</v>
      </c>
      <c r="L217" s="320">
        <f t="shared" si="9"/>
        <v>1461415.17</v>
      </c>
      <c r="M217" s="7">
        <f>+Données!F217</f>
        <v>0</v>
      </c>
      <c r="N217" s="7">
        <f>+Données!K217</f>
        <v>212.4</v>
      </c>
      <c r="O217" s="7">
        <f>(Données!L217/Données!Y217)*1</f>
        <v>89302.2</v>
      </c>
      <c r="P217" s="320">
        <f t="shared" si="10"/>
        <v>1550929.7699999998</v>
      </c>
      <c r="Q217" s="160">
        <f>+Données!X217</f>
        <v>72</v>
      </c>
      <c r="R217" s="320">
        <f t="shared" si="11"/>
        <v>21540.691249999996</v>
      </c>
    </row>
    <row r="218" spans="1:18" x14ac:dyDescent="0.25">
      <c r="A218" s="6">
        <f>Données!A218</f>
        <v>5757</v>
      </c>
      <c r="B218" s="26" t="str">
        <f>Données!B218</f>
        <v>Orbe</v>
      </c>
      <c r="C218" s="7">
        <f>Données!C218+Données!D218</f>
        <v>15042469.359999999</v>
      </c>
      <c r="D218" s="7">
        <f>+Données!G218+Données!H218+Données!S218</f>
        <v>2202109.69</v>
      </c>
      <c r="E218" s="7">
        <f>+Données!E218</f>
        <v>0</v>
      </c>
      <c r="F218" s="7">
        <f>+Données!I218</f>
        <v>0</v>
      </c>
      <c r="G218" s="7">
        <f>+Données!J218</f>
        <v>588455.31999999995</v>
      </c>
      <c r="H218" s="7">
        <f>Données!U218</f>
        <v>-246923.51</v>
      </c>
      <c r="I218" s="144">
        <f>Données!V218</f>
        <v>0</v>
      </c>
      <c r="J218" s="144">
        <f>Données!W218</f>
        <v>-1890.3</v>
      </c>
      <c r="K218" s="7">
        <f>+Données!Q218</f>
        <v>53153.03</v>
      </c>
      <c r="L218" s="320">
        <f t="shared" si="9"/>
        <v>17637373.59</v>
      </c>
      <c r="M218" s="7">
        <f>+Données!F218</f>
        <v>0</v>
      </c>
      <c r="N218" s="7">
        <f>+Données!K218</f>
        <v>185686.35</v>
      </c>
      <c r="O218" s="7">
        <f>(Données!L218/Données!Y218)*1</f>
        <v>1546393.95</v>
      </c>
      <c r="P218" s="320">
        <f t="shared" si="10"/>
        <v>19369453.890000001</v>
      </c>
      <c r="Q218" s="160">
        <f>+Données!X218</f>
        <v>75.5</v>
      </c>
      <c r="R218" s="320">
        <f t="shared" si="11"/>
        <v>256549.05814569537</v>
      </c>
    </row>
    <row r="219" spans="1:18" x14ac:dyDescent="0.25">
      <c r="A219" s="6">
        <f>Données!A219</f>
        <v>5758</v>
      </c>
      <c r="B219" s="26" t="str">
        <f>Données!B219</f>
        <v>La Praz</v>
      </c>
      <c r="C219" s="7">
        <f>Données!C219+Données!D219</f>
        <v>409948.96</v>
      </c>
      <c r="D219" s="7">
        <f>+Données!G219+Données!H219+Données!S219</f>
        <v>6965.58</v>
      </c>
      <c r="E219" s="7">
        <f>+Données!E219</f>
        <v>0</v>
      </c>
      <c r="F219" s="7">
        <f>+Données!I219</f>
        <v>0</v>
      </c>
      <c r="G219" s="7">
        <f>+Données!J219</f>
        <v>32965.269999999997</v>
      </c>
      <c r="H219" s="7">
        <f>Données!U219</f>
        <v>-3404.55</v>
      </c>
      <c r="I219" s="144">
        <f>Données!V219</f>
        <v>0</v>
      </c>
      <c r="J219" s="144">
        <f>Données!W219</f>
        <v>-79.7</v>
      </c>
      <c r="K219" s="7">
        <f>+Données!Q219</f>
        <v>8404.0300000000007</v>
      </c>
      <c r="L219" s="320">
        <f t="shared" si="9"/>
        <v>454799.59000000008</v>
      </c>
      <c r="M219" s="7">
        <f>+Données!F219</f>
        <v>0</v>
      </c>
      <c r="N219" s="7">
        <f>+Données!K219</f>
        <v>0</v>
      </c>
      <c r="O219" s="7">
        <f>(Données!L219/Données!Y219)*1</f>
        <v>34825.199999999997</v>
      </c>
      <c r="P219" s="320">
        <f t="shared" si="10"/>
        <v>489624.7900000001</v>
      </c>
      <c r="Q219" s="160">
        <f>+Données!X219</f>
        <v>83</v>
      </c>
      <c r="R219" s="320">
        <f t="shared" si="11"/>
        <v>5899.0938554216882</v>
      </c>
    </row>
    <row r="220" spans="1:18" x14ac:dyDescent="0.25">
      <c r="A220" s="6">
        <f>Données!A220</f>
        <v>5759</v>
      </c>
      <c r="B220" s="26" t="str">
        <f>Données!B220</f>
        <v>Premier</v>
      </c>
      <c r="C220" s="7">
        <f>Données!C220+Données!D220</f>
        <v>373950.68999999994</v>
      </c>
      <c r="D220" s="7">
        <f>+Données!G220+Données!H220+Données!S220</f>
        <v>3901.55</v>
      </c>
      <c r="E220" s="7">
        <f>+Données!E220</f>
        <v>0</v>
      </c>
      <c r="F220" s="7">
        <f>+Données!I220</f>
        <v>0</v>
      </c>
      <c r="G220" s="7">
        <f>+Données!J220</f>
        <v>1506.32</v>
      </c>
      <c r="H220" s="7">
        <f>Données!U220</f>
        <v>-1421.88</v>
      </c>
      <c r="I220" s="144">
        <f>Données!V220</f>
        <v>0</v>
      </c>
      <c r="J220" s="144">
        <f>Données!W220</f>
        <v>-643.15</v>
      </c>
      <c r="K220" s="7">
        <f>+Données!Q220</f>
        <v>316.04000000000002</v>
      </c>
      <c r="L220" s="320">
        <f t="shared" si="9"/>
        <v>377609.56999999989</v>
      </c>
      <c r="M220" s="7">
        <f>+Données!F220</f>
        <v>0</v>
      </c>
      <c r="N220" s="7">
        <f>+Données!K220</f>
        <v>289.45</v>
      </c>
      <c r="O220" s="7">
        <f>(Données!L220/Données!Y220)*1</f>
        <v>33890.699999999997</v>
      </c>
      <c r="P220" s="320">
        <f t="shared" si="10"/>
        <v>411789.71999999991</v>
      </c>
      <c r="Q220" s="160">
        <f>+Données!X220</f>
        <v>79.5</v>
      </c>
      <c r="R220" s="320">
        <f t="shared" si="11"/>
        <v>5179.7449056603764</v>
      </c>
    </row>
    <row r="221" spans="1:18" x14ac:dyDescent="0.25">
      <c r="A221" s="6">
        <f>Données!A221</f>
        <v>5760</v>
      </c>
      <c r="B221" s="26" t="str">
        <f>Données!B221</f>
        <v>Rances</v>
      </c>
      <c r="C221" s="7">
        <f>Données!C221+Données!D221</f>
        <v>953747.04999999993</v>
      </c>
      <c r="D221" s="7">
        <f>+Données!G221+Données!H221+Données!S221</f>
        <v>24498.739999999998</v>
      </c>
      <c r="E221" s="7">
        <f>+Données!E221</f>
        <v>0</v>
      </c>
      <c r="F221" s="7">
        <f>+Données!I221</f>
        <v>0</v>
      </c>
      <c r="G221" s="7">
        <f>+Données!J221</f>
        <v>3765.66</v>
      </c>
      <c r="H221" s="7">
        <f>Données!U221</f>
        <v>-6416.27</v>
      </c>
      <c r="I221" s="144">
        <f>Données!V221</f>
        <v>0</v>
      </c>
      <c r="J221" s="144">
        <f>Données!W221</f>
        <v>-1895.85</v>
      </c>
      <c r="K221" s="7">
        <f>+Données!Q221</f>
        <v>0</v>
      </c>
      <c r="L221" s="320">
        <f t="shared" si="9"/>
        <v>973699.33</v>
      </c>
      <c r="M221" s="7">
        <f>+Données!F221</f>
        <v>0</v>
      </c>
      <c r="N221" s="7">
        <f>+Données!K221</f>
        <v>0</v>
      </c>
      <c r="O221" s="7">
        <f>(Données!L221/Données!Y221)*1</f>
        <v>86845.8</v>
      </c>
      <c r="P221" s="320">
        <f t="shared" si="10"/>
        <v>1060545.1299999999</v>
      </c>
      <c r="Q221" s="160">
        <f>+Données!X221</f>
        <v>76.5</v>
      </c>
      <c r="R221" s="320">
        <f t="shared" si="11"/>
        <v>13863.335032679737</v>
      </c>
    </row>
    <row r="222" spans="1:18" x14ac:dyDescent="0.25">
      <c r="A222" s="6">
        <f>Données!A222</f>
        <v>5761</v>
      </c>
      <c r="B222" s="26" t="str">
        <f>Données!B222</f>
        <v>Romainmôtier-Envy</v>
      </c>
      <c r="C222" s="7">
        <f>Données!C222+Données!D222</f>
        <v>983535.10000000009</v>
      </c>
      <c r="D222" s="7">
        <f>+Données!G222+Données!H222+Données!S222</f>
        <v>51152.28</v>
      </c>
      <c r="E222" s="7">
        <f>+Données!E222</f>
        <v>0</v>
      </c>
      <c r="F222" s="7">
        <f>+Données!I222</f>
        <v>0</v>
      </c>
      <c r="G222" s="7">
        <f>+Données!J222</f>
        <v>17441.169999999998</v>
      </c>
      <c r="H222" s="7">
        <f>Données!U222</f>
        <v>-10718.36</v>
      </c>
      <c r="I222" s="144">
        <f>Données!V222</f>
        <v>0</v>
      </c>
      <c r="J222" s="144">
        <f>Données!W222</f>
        <v>-85.45</v>
      </c>
      <c r="K222" s="7">
        <f>+Données!Q222</f>
        <v>5067.54</v>
      </c>
      <c r="L222" s="320">
        <f t="shared" si="9"/>
        <v>1046392.2800000001</v>
      </c>
      <c r="M222" s="7">
        <f>+Données!F222</f>
        <v>0</v>
      </c>
      <c r="N222" s="7">
        <f>+Données!K222</f>
        <v>5328.6</v>
      </c>
      <c r="O222" s="7">
        <f>(Données!L222/Données!Y222)*1</f>
        <v>91682.681818181809</v>
      </c>
      <c r="P222" s="320">
        <f t="shared" si="10"/>
        <v>1143403.561818182</v>
      </c>
      <c r="Q222" s="160">
        <f>+Données!X222</f>
        <v>81</v>
      </c>
      <c r="R222" s="320">
        <f t="shared" si="11"/>
        <v>14116.093355780025</v>
      </c>
    </row>
    <row r="223" spans="1:18" x14ac:dyDescent="0.25">
      <c r="A223" s="6">
        <f>Données!A223</f>
        <v>5762</v>
      </c>
      <c r="B223" s="26" t="str">
        <f>Données!B223</f>
        <v>Sergey</v>
      </c>
      <c r="C223" s="7">
        <f>Données!C223+Données!D223</f>
        <v>236840.98</v>
      </c>
      <c r="D223" s="7">
        <f>+Données!G223+Données!H223+Données!S223</f>
        <v>7959.5</v>
      </c>
      <c r="E223" s="7">
        <f>+Données!E223</f>
        <v>0</v>
      </c>
      <c r="F223" s="7">
        <f>+Données!I223</f>
        <v>0</v>
      </c>
      <c r="G223" s="7">
        <f>+Données!J223</f>
        <v>829.97</v>
      </c>
      <c r="H223" s="7">
        <f>Données!U223</f>
        <v>-782.88</v>
      </c>
      <c r="I223" s="144">
        <f>Données!V223</f>
        <v>0</v>
      </c>
      <c r="J223" s="144">
        <f>Données!W223</f>
        <v>0</v>
      </c>
      <c r="K223" s="7">
        <f>+Données!Q223</f>
        <v>129.84</v>
      </c>
      <c r="L223" s="320">
        <f t="shared" si="9"/>
        <v>244977.41</v>
      </c>
      <c r="M223" s="7">
        <f>+Données!F223</f>
        <v>0</v>
      </c>
      <c r="N223" s="7">
        <f>+Données!K223</f>
        <v>52.5</v>
      </c>
      <c r="O223" s="7">
        <f>(Données!L223/Données!Y223)*1</f>
        <v>22298.65</v>
      </c>
      <c r="P223" s="320">
        <f t="shared" si="10"/>
        <v>267328.56</v>
      </c>
      <c r="Q223" s="160">
        <f>+Données!X223</f>
        <v>76</v>
      </c>
      <c r="R223" s="320">
        <f t="shared" si="11"/>
        <v>3517.4810526315791</v>
      </c>
    </row>
    <row r="224" spans="1:18" x14ac:dyDescent="0.25">
      <c r="A224" s="6">
        <f>Données!A224</f>
        <v>5763</v>
      </c>
      <c r="B224" s="26" t="str">
        <f>Données!B224</f>
        <v>Valeyres-sous-Rances</v>
      </c>
      <c r="C224" s="7">
        <f>Données!C224+Données!D224</f>
        <v>1413258.73</v>
      </c>
      <c r="D224" s="7">
        <f>+Données!G224+Données!H224+Données!S224</f>
        <v>52511.689999999995</v>
      </c>
      <c r="E224" s="7">
        <f>+Données!E224</f>
        <v>0</v>
      </c>
      <c r="F224" s="7">
        <f>+Données!I224</f>
        <v>0</v>
      </c>
      <c r="G224" s="7">
        <f>+Données!J224</f>
        <v>14880.67</v>
      </c>
      <c r="H224" s="7">
        <f>Données!U224</f>
        <v>-5588.79</v>
      </c>
      <c r="I224" s="144">
        <f>Données!V224</f>
        <v>0</v>
      </c>
      <c r="J224" s="144">
        <f>Données!W224</f>
        <v>-397.4</v>
      </c>
      <c r="K224" s="7">
        <f>+Données!Q224</f>
        <v>2934.32</v>
      </c>
      <c r="L224" s="320">
        <f t="shared" si="9"/>
        <v>1477599.22</v>
      </c>
      <c r="M224" s="7">
        <f>+Données!F224</f>
        <v>3410</v>
      </c>
      <c r="N224" s="7">
        <f>+Données!K224</f>
        <v>-11906.85</v>
      </c>
      <c r="O224" s="7">
        <f>(Données!L224/Données!Y224)*1</f>
        <v>95687.9</v>
      </c>
      <c r="P224" s="320">
        <f t="shared" si="10"/>
        <v>1564790.2699999998</v>
      </c>
      <c r="Q224" s="160">
        <f>+Données!X224</f>
        <v>71</v>
      </c>
      <c r="R224" s="320">
        <f t="shared" si="11"/>
        <v>22039.299577464786</v>
      </c>
    </row>
    <row r="225" spans="1:18" x14ac:dyDescent="0.25">
      <c r="A225" s="6">
        <f>Données!A225</f>
        <v>5764</v>
      </c>
      <c r="B225" s="26" t="str">
        <f>Données!B225</f>
        <v>Vallorbe</v>
      </c>
      <c r="C225" s="7">
        <f>Données!C225+Données!D225</f>
        <v>5463402.2000000002</v>
      </c>
      <c r="D225" s="7">
        <f>+Données!G225+Données!H225+Données!S225</f>
        <v>579943.1</v>
      </c>
      <c r="E225" s="7">
        <f>+Données!E225</f>
        <v>0</v>
      </c>
      <c r="F225" s="7">
        <f>+Données!I225</f>
        <v>0</v>
      </c>
      <c r="G225" s="7">
        <f>+Données!J225</f>
        <v>257912.95</v>
      </c>
      <c r="H225" s="7">
        <f>Données!U225</f>
        <v>-231182.02</v>
      </c>
      <c r="I225" s="144">
        <f>Données!V225</f>
        <v>0</v>
      </c>
      <c r="J225" s="144">
        <f>Données!W225</f>
        <v>-2274.7399999999998</v>
      </c>
      <c r="K225" s="7">
        <f>+Données!Q225</f>
        <v>82449.289999999994</v>
      </c>
      <c r="L225" s="320">
        <f t="shared" si="9"/>
        <v>6150250.7800000003</v>
      </c>
      <c r="M225" s="7">
        <f>+Données!F225</f>
        <v>0</v>
      </c>
      <c r="N225" s="7">
        <f>+Données!K225</f>
        <v>63835.15</v>
      </c>
      <c r="O225" s="7">
        <f>(Données!L225/Données!Y225)*1</f>
        <v>572574.69999999995</v>
      </c>
      <c r="P225" s="320">
        <f t="shared" si="10"/>
        <v>6786660.6300000008</v>
      </c>
      <c r="Q225" s="160">
        <f>+Données!X225</f>
        <v>71.5</v>
      </c>
      <c r="R225" s="320">
        <f t="shared" si="11"/>
        <v>94918.330489510496</v>
      </c>
    </row>
    <row r="226" spans="1:18" x14ac:dyDescent="0.25">
      <c r="A226" s="6">
        <f>Données!A226</f>
        <v>5765</v>
      </c>
      <c r="B226" s="26" t="str">
        <f>Données!B226</f>
        <v>Vaulion</v>
      </c>
      <c r="C226" s="7">
        <f>Données!C226+Données!D226</f>
        <v>703071.51</v>
      </c>
      <c r="D226" s="7">
        <f>+Données!G226+Données!H226+Données!S226</f>
        <v>21782.87</v>
      </c>
      <c r="E226" s="7">
        <f>+Données!E226</f>
        <v>0</v>
      </c>
      <c r="F226" s="7">
        <f>+Données!I226</f>
        <v>0</v>
      </c>
      <c r="G226" s="7">
        <f>+Données!J226</f>
        <v>26297.18</v>
      </c>
      <c r="H226" s="7">
        <f>Données!U226</f>
        <v>-2562.58</v>
      </c>
      <c r="I226" s="144">
        <f>Données!V226</f>
        <v>0</v>
      </c>
      <c r="J226" s="144">
        <f>Données!W226</f>
        <v>-76.290000000000006</v>
      </c>
      <c r="K226" s="7">
        <f>+Données!Q226</f>
        <v>4187.57</v>
      </c>
      <c r="L226" s="320">
        <f t="shared" si="9"/>
        <v>752700.26</v>
      </c>
      <c r="M226" s="7">
        <f>+Données!F226</f>
        <v>0</v>
      </c>
      <c r="N226" s="7">
        <f>+Données!K226</f>
        <v>0</v>
      </c>
      <c r="O226" s="7">
        <f>(Données!L226/Données!Y226)*1</f>
        <v>70709</v>
      </c>
      <c r="P226" s="320">
        <f t="shared" si="10"/>
        <v>823409.26</v>
      </c>
      <c r="Q226" s="160">
        <f>+Données!X226</f>
        <v>81</v>
      </c>
      <c r="R226" s="320">
        <f t="shared" si="11"/>
        <v>10165.546419753087</v>
      </c>
    </row>
    <row r="227" spans="1:18" x14ac:dyDescent="0.25">
      <c r="A227" s="6">
        <f>Données!A227</f>
        <v>5766</v>
      </c>
      <c r="B227" s="26" t="str">
        <f>Données!B227</f>
        <v>Vuiteboeuf</v>
      </c>
      <c r="C227" s="7">
        <f>Données!C227+Données!D227</f>
        <v>1004393.9</v>
      </c>
      <c r="D227" s="7">
        <f>+Données!G227+Données!H227+Données!S227</f>
        <v>48508.99</v>
      </c>
      <c r="E227" s="7">
        <f>+Données!E227</f>
        <v>0</v>
      </c>
      <c r="F227" s="7">
        <f>+Données!I227</f>
        <v>0</v>
      </c>
      <c r="G227" s="7">
        <f>+Données!J227</f>
        <v>18273.43</v>
      </c>
      <c r="H227" s="7">
        <f>Données!U227</f>
        <v>-14905.51</v>
      </c>
      <c r="I227" s="144">
        <f>Données!V227</f>
        <v>0</v>
      </c>
      <c r="J227" s="144">
        <f>Données!W227</f>
        <v>-131.75</v>
      </c>
      <c r="K227" s="7">
        <f>+Données!Q227</f>
        <v>0</v>
      </c>
      <c r="L227" s="320">
        <f t="shared" si="9"/>
        <v>1056139.06</v>
      </c>
      <c r="M227" s="7">
        <f>+Données!F227</f>
        <v>3650</v>
      </c>
      <c r="N227" s="7">
        <f>+Données!K227</f>
        <v>5400.75</v>
      </c>
      <c r="O227" s="7">
        <f>(Données!L227/Données!Y227)*1</f>
        <v>96235.28571428571</v>
      </c>
      <c r="P227" s="320">
        <f t="shared" si="10"/>
        <v>1161425.0957142857</v>
      </c>
      <c r="Q227" s="160">
        <f>+Données!X227</f>
        <v>75</v>
      </c>
      <c r="R227" s="320">
        <f t="shared" si="11"/>
        <v>15485.667942857142</v>
      </c>
    </row>
    <row r="228" spans="1:18" x14ac:dyDescent="0.25">
      <c r="A228" s="6">
        <f>Données!A228</f>
        <v>5785</v>
      </c>
      <c r="B228" s="26" t="str">
        <f>Données!B228</f>
        <v>Corcelles-le-Jorat</v>
      </c>
      <c r="C228" s="7">
        <f>Données!C228+Données!D228</f>
        <v>1086374.76</v>
      </c>
      <c r="D228" s="7">
        <f>+Données!G228+Données!H228+Données!S228</f>
        <v>7999.76</v>
      </c>
      <c r="E228" s="7">
        <f>+Données!E228</f>
        <v>0</v>
      </c>
      <c r="F228" s="7">
        <f>+Données!I228</f>
        <v>0</v>
      </c>
      <c r="G228" s="7">
        <f>+Données!J228</f>
        <v>29310.05</v>
      </c>
      <c r="H228" s="7">
        <f>Données!U228</f>
        <v>-75411.94</v>
      </c>
      <c r="I228" s="144">
        <f>Données!V228</f>
        <v>0</v>
      </c>
      <c r="J228" s="144">
        <f>Données!W228</f>
        <v>-410.6</v>
      </c>
      <c r="K228" s="7">
        <f>+Données!Q228</f>
        <v>323.88</v>
      </c>
      <c r="L228" s="320">
        <f t="shared" si="9"/>
        <v>1048185.9100000001</v>
      </c>
      <c r="M228" s="7">
        <f>+Données!F228</f>
        <v>0</v>
      </c>
      <c r="N228" s="7">
        <f>+Données!K228</f>
        <v>565.6</v>
      </c>
      <c r="O228" s="7">
        <f>(Données!L228/Données!Y228)*1</f>
        <v>90503.4</v>
      </c>
      <c r="P228" s="320">
        <f t="shared" si="10"/>
        <v>1139254.9100000001</v>
      </c>
      <c r="Q228" s="160">
        <f>+Données!X228</f>
        <v>75</v>
      </c>
      <c r="R228" s="320">
        <f t="shared" si="11"/>
        <v>15190.065466666669</v>
      </c>
    </row>
    <row r="229" spans="1:18" x14ac:dyDescent="0.25">
      <c r="A229" s="6">
        <f>Données!A229</f>
        <v>5790</v>
      </c>
      <c r="B229" s="26" t="str">
        <f>Données!B229</f>
        <v>Maracon</v>
      </c>
      <c r="C229" s="7">
        <f>Données!C229+Données!D229</f>
        <v>1118726.8199999998</v>
      </c>
      <c r="D229" s="7">
        <f>+Données!G229+Données!H229+Données!S229</f>
        <v>20167.010000000002</v>
      </c>
      <c r="E229" s="7">
        <f>+Données!E229</f>
        <v>0</v>
      </c>
      <c r="F229" s="7">
        <f>+Données!I229</f>
        <v>0</v>
      </c>
      <c r="G229" s="7">
        <f>+Données!J229</f>
        <v>-1576.79</v>
      </c>
      <c r="H229" s="7">
        <f>Données!U229</f>
        <v>-41986.35</v>
      </c>
      <c r="I229" s="144">
        <f>Données!V229</f>
        <v>0</v>
      </c>
      <c r="J229" s="144">
        <f>Données!W229</f>
        <v>-3044.45</v>
      </c>
      <c r="K229" s="7">
        <f>+Données!Q229</f>
        <v>19944.93</v>
      </c>
      <c r="L229" s="320">
        <f t="shared" si="9"/>
        <v>1112231.1699999997</v>
      </c>
      <c r="M229" s="7">
        <f>+Données!F229</f>
        <v>0</v>
      </c>
      <c r="N229" s="7">
        <f>+Données!K229</f>
        <v>2421.6</v>
      </c>
      <c r="O229" s="7">
        <f>(Données!L229/Données!Y229)*1</f>
        <v>99085.45</v>
      </c>
      <c r="P229" s="320">
        <f t="shared" si="10"/>
        <v>1213738.2199999997</v>
      </c>
      <c r="Q229" s="160">
        <f>+Données!X229</f>
        <v>74.5</v>
      </c>
      <c r="R229" s="320">
        <f t="shared" si="11"/>
        <v>16291.788187919459</v>
      </c>
    </row>
    <row r="230" spans="1:18" x14ac:dyDescent="0.25">
      <c r="A230" s="6">
        <f>Données!A230</f>
        <v>5792</v>
      </c>
      <c r="B230" s="26" t="str">
        <f>Données!B230</f>
        <v>Montpreveyres</v>
      </c>
      <c r="C230" s="7">
        <f>Données!C230+Données!D230</f>
        <v>1332006.47</v>
      </c>
      <c r="D230" s="7">
        <f>+Données!G230+Données!H230+Données!S230</f>
        <v>24428.52</v>
      </c>
      <c r="E230" s="7">
        <f>+Données!E230</f>
        <v>0</v>
      </c>
      <c r="F230" s="7">
        <f>+Données!I230</f>
        <v>0</v>
      </c>
      <c r="G230" s="7">
        <f>+Données!J230</f>
        <v>13860.35</v>
      </c>
      <c r="H230" s="7">
        <f>Données!U230</f>
        <v>-7538.8</v>
      </c>
      <c r="I230" s="144">
        <f>Données!V230</f>
        <v>0</v>
      </c>
      <c r="J230" s="144">
        <f>Données!W230</f>
        <v>-29.95</v>
      </c>
      <c r="K230" s="7">
        <f>+Données!Q230</f>
        <v>2727.67</v>
      </c>
      <c r="L230" s="320">
        <f t="shared" si="9"/>
        <v>1365454.26</v>
      </c>
      <c r="M230" s="7">
        <f>+Données!F230</f>
        <v>0</v>
      </c>
      <c r="N230" s="7">
        <f>+Données!K230</f>
        <v>1733.5</v>
      </c>
      <c r="O230" s="7">
        <f>(Données!L230/Données!Y230)*1</f>
        <v>123583.9</v>
      </c>
      <c r="P230" s="320">
        <f t="shared" si="10"/>
        <v>1490771.66</v>
      </c>
      <c r="Q230" s="160">
        <f>+Données!X230</f>
        <v>74.5</v>
      </c>
      <c r="R230" s="320">
        <f t="shared" si="11"/>
        <v>20010.357852348992</v>
      </c>
    </row>
    <row r="231" spans="1:18" x14ac:dyDescent="0.25">
      <c r="A231" s="6">
        <f>Données!A231</f>
        <v>5798</v>
      </c>
      <c r="B231" s="26" t="str">
        <f>Données!B231</f>
        <v>Ropraz</v>
      </c>
      <c r="C231" s="7">
        <f>Données!C231+Données!D231</f>
        <v>1036837.1399999999</v>
      </c>
      <c r="D231" s="7">
        <f>+Données!G231+Données!H231+Données!S231</f>
        <v>24759.519999999997</v>
      </c>
      <c r="E231" s="7">
        <f>+Données!E231</f>
        <v>0</v>
      </c>
      <c r="F231" s="7">
        <f>+Données!I231</f>
        <v>0</v>
      </c>
      <c r="G231" s="7">
        <f>+Données!J231</f>
        <v>47229.29</v>
      </c>
      <c r="H231" s="7">
        <f>Données!U231</f>
        <v>-11261.63</v>
      </c>
      <c r="I231" s="144">
        <f>Données!V231</f>
        <v>0</v>
      </c>
      <c r="J231" s="144">
        <f>Données!W231</f>
        <v>-133.15</v>
      </c>
      <c r="K231" s="7">
        <f>+Données!Q231</f>
        <v>4049.42</v>
      </c>
      <c r="L231" s="320">
        <f t="shared" si="9"/>
        <v>1101480.5900000001</v>
      </c>
      <c r="M231" s="7">
        <f>+Données!F231</f>
        <v>0</v>
      </c>
      <c r="N231" s="7">
        <f>+Données!K231</f>
        <v>8205.0499999999993</v>
      </c>
      <c r="O231" s="7">
        <f>(Données!L231/Données!Y231)*1</f>
        <v>102876.3</v>
      </c>
      <c r="P231" s="320">
        <f t="shared" si="10"/>
        <v>1212561.9400000002</v>
      </c>
      <c r="Q231" s="160">
        <f>+Données!X231</f>
        <v>77.5</v>
      </c>
      <c r="R231" s="320">
        <f t="shared" si="11"/>
        <v>15645.960516129035</v>
      </c>
    </row>
    <row r="232" spans="1:18" x14ac:dyDescent="0.25">
      <c r="A232" s="6">
        <f>Données!A232</f>
        <v>5799</v>
      </c>
      <c r="B232" s="26" t="str">
        <f>Données!B232</f>
        <v>Servion</v>
      </c>
      <c r="C232" s="7">
        <f>Données!C232+Données!D232</f>
        <v>4876320.3900000006</v>
      </c>
      <c r="D232" s="7">
        <f>+Données!G232+Données!H232+Données!S232</f>
        <v>164814.98000000001</v>
      </c>
      <c r="E232" s="7">
        <f>+Données!E232</f>
        <v>0</v>
      </c>
      <c r="F232" s="7">
        <f>+Données!I232</f>
        <v>0</v>
      </c>
      <c r="G232" s="7">
        <f>+Données!J232</f>
        <v>63833.04</v>
      </c>
      <c r="H232" s="7">
        <f>Données!U232</f>
        <v>-72112.81</v>
      </c>
      <c r="I232" s="144">
        <f>Données!V232</f>
        <v>0</v>
      </c>
      <c r="J232" s="144">
        <f>Données!W232</f>
        <v>-1111.2</v>
      </c>
      <c r="K232" s="7">
        <f>+Données!Q232</f>
        <v>11728.32</v>
      </c>
      <c r="L232" s="320">
        <f t="shared" si="9"/>
        <v>5043472.7200000016</v>
      </c>
      <c r="M232" s="7">
        <f>+Données!F232</f>
        <v>0</v>
      </c>
      <c r="N232" s="7">
        <f>+Données!K232</f>
        <v>13395.8</v>
      </c>
      <c r="O232" s="7">
        <f>(Données!L232/Données!Y232)*1</f>
        <v>454204.25</v>
      </c>
      <c r="P232" s="320">
        <f t="shared" si="10"/>
        <v>5511072.7700000014</v>
      </c>
      <c r="Q232" s="160">
        <f>+Données!X232</f>
        <v>69</v>
      </c>
      <c r="R232" s="320">
        <f t="shared" si="11"/>
        <v>79870.61985507248</v>
      </c>
    </row>
    <row r="233" spans="1:18" x14ac:dyDescent="0.25">
      <c r="A233" s="6">
        <f>Données!A233</f>
        <v>5803</v>
      </c>
      <c r="B233" s="26" t="str">
        <f>Données!B233</f>
        <v>Vulliens</v>
      </c>
      <c r="C233" s="7">
        <f>Données!C233+Données!D233</f>
        <v>1255830.1399999999</v>
      </c>
      <c r="D233" s="7">
        <f>+Données!G233+Données!H233+Données!S233</f>
        <v>12285.349999999999</v>
      </c>
      <c r="E233" s="7">
        <f>+Données!E233</f>
        <v>0</v>
      </c>
      <c r="F233" s="7">
        <f>+Données!I233</f>
        <v>0</v>
      </c>
      <c r="G233" s="7">
        <f>+Données!J233</f>
        <v>802.02</v>
      </c>
      <c r="H233" s="7">
        <f>Données!U233</f>
        <v>-16664.560000000001</v>
      </c>
      <c r="I233" s="144">
        <f>Données!V233</f>
        <v>0</v>
      </c>
      <c r="J233" s="144">
        <f>Données!W233</f>
        <v>-550.1</v>
      </c>
      <c r="K233" s="7">
        <f>+Données!Q233</f>
        <v>2508.1799999999998</v>
      </c>
      <c r="L233" s="320">
        <f t="shared" si="9"/>
        <v>1254211.0299999998</v>
      </c>
      <c r="M233" s="7">
        <f>+Données!F233</f>
        <v>0</v>
      </c>
      <c r="N233" s="7">
        <f>+Données!K233</f>
        <v>0</v>
      </c>
      <c r="O233" s="7">
        <f>(Données!L233/Données!Y233)*1</f>
        <v>114325</v>
      </c>
      <c r="P233" s="320">
        <f t="shared" si="10"/>
        <v>1368536.0299999998</v>
      </c>
      <c r="Q233" s="160">
        <f>+Données!X233</f>
        <v>74</v>
      </c>
      <c r="R233" s="320">
        <f t="shared" si="11"/>
        <v>18493.730135135131</v>
      </c>
    </row>
    <row r="234" spans="1:18" x14ac:dyDescent="0.25">
      <c r="A234" s="6">
        <f>Données!A234</f>
        <v>5804</v>
      </c>
      <c r="B234" s="26" t="str">
        <f>Données!B234</f>
        <v>Jorat-Menthue</v>
      </c>
      <c r="C234" s="7">
        <f>Données!C234+Données!D234</f>
        <v>3082112.05</v>
      </c>
      <c r="D234" s="7">
        <f>+Données!G234+Données!H234+Données!S234</f>
        <v>48480.25</v>
      </c>
      <c r="E234" s="7">
        <f>+Données!E234</f>
        <v>0</v>
      </c>
      <c r="F234" s="7">
        <f>+Données!I234</f>
        <v>0</v>
      </c>
      <c r="G234" s="7">
        <f>+Données!J234</f>
        <v>44402.87</v>
      </c>
      <c r="H234" s="7">
        <f>Données!U234</f>
        <v>-76835.06</v>
      </c>
      <c r="I234" s="144">
        <f>Données!V234</f>
        <v>0</v>
      </c>
      <c r="J234" s="144">
        <f>Données!W234</f>
        <v>-859.8</v>
      </c>
      <c r="K234" s="7">
        <f>+Données!Q234</f>
        <v>6766.09</v>
      </c>
      <c r="L234" s="320">
        <f t="shared" si="9"/>
        <v>3104066.4</v>
      </c>
      <c r="M234" s="7">
        <f>+Données!F234</f>
        <v>0</v>
      </c>
      <c r="N234" s="7">
        <f>+Données!K234</f>
        <v>3540.4</v>
      </c>
      <c r="O234" s="7">
        <f>(Données!L234/Données!Y234)*1</f>
        <v>287661.45</v>
      </c>
      <c r="P234" s="320">
        <f t="shared" si="10"/>
        <v>3395268.25</v>
      </c>
      <c r="Q234" s="160">
        <f>+Données!X234</f>
        <v>70.5</v>
      </c>
      <c r="R234" s="320">
        <f t="shared" si="11"/>
        <v>48159.833333333336</v>
      </c>
    </row>
    <row r="235" spans="1:18" x14ac:dyDescent="0.25">
      <c r="A235" s="6">
        <f>Données!A235</f>
        <v>5805</v>
      </c>
      <c r="B235" s="26" t="str">
        <f>Données!B235</f>
        <v>Oron</v>
      </c>
      <c r="C235" s="7">
        <f>Données!C235+Données!D235</f>
        <v>11105035.390000001</v>
      </c>
      <c r="D235" s="7">
        <f>+Données!G235+Données!H235+Données!S235</f>
        <v>657378.7300000001</v>
      </c>
      <c r="E235" s="7">
        <f>+Données!E235</f>
        <v>0</v>
      </c>
      <c r="F235" s="7">
        <f>+Données!I235</f>
        <v>40675.5</v>
      </c>
      <c r="G235" s="7">
        <f>+Données!J235</f>
        <v>172477.95</v>
      </c>
      <c r="H235" s="7">
        <f>Données!U235</f>
        <v>-151603.07</v>
      </c>
      <c r="I235" s="144">
        <f>Données!V235</f>
        <v>0</v>
      </c>
      <c r="J235" s="144">
        <f>Données!W235</f>
        <v>-18106.05</v>
      </c>
      <c r="K235" s="7">
        <f>+Données!Q235</f>
        <v>32200.39</v>
      </c>
      <c r="L235" s="320">
        <f t="shared" si="9"/>
        <v>11838058.84</v>
      </c>
      <c r="M235" s="7">
        <f>+Données!F235</f>
        <v>0</v>
      </c>
      <c r="N235" s="7">
        <f>+Données!K235</f>
        <v>91591.45</v>
      </c>
      <c r="O235" s="7">
        <f>(Données!L235/Données!Y235)*1</f>
        <v>1123162.6818181816</v>
      </c>
      <c r="P235" s="320">
        <f t="shared" si="10"/>
        <v>13052812.971818181</v>
      </c>
      <c r="Q235" s="160">
        <f>+Données!X235</f>
        <v>69</v>
      </c>
      <c r="R235" s="320">
        <f t="shared" si="11"/>
        <v>189171.20249011857</v>
      </c>
    </row>
    <row r="236" spans="1:18" x14ac:dyDescent="0.25">
      <c r="A236" s="6">
        <f>Données!A236</f>
        <v>5806</v>
      </c>
      <c r="B236" s="26" t="str">
        <f>Données!B236</f>
        <v>Jorat-Mézières</v>
      </c>
      <c r="C236" s="7">
        <f>Données!C236+Données!D236</f>
        <v>6369521.9700000007</v>
      </c>
      <c r="D236" s="7">
        <f>+Données!G236+Données!H236+Données!S236</f>
        <v>156424.04999999999</v>
      </c>
      <c r="E236" s="7">
        <f>+Données!E236</f>
        <v>0</v>
      </c>
      <c r="F236" s="7">
        <f>+Données!I236</f>
        <v>52354.65</v>
      </c>
      <c r="G236" s="7">
        <f>+Données!J236</f>
        <v>78975.990000000005</v>
      </c>
      <c r="H236" s="7">
        <f>Données!U236</f>
        <v>-74315.05</v>
      </c>
      <c r="I236" s="144">
        <f>Données!V236</f>
        <v>0</v>
      </c>
      <c r="J236" s="144">
        <f>Données!W236</f>
        <v>-4295.8999999999996</v>
      </c>
      <c r="K236" s="7">
        <f>+Données!Q236</f>
        <v>36031.78</v>
      </c>
      <c r="L236" s="320">
        <f t="shared" si="9"/>
        <v>6614697.4900000012</v>
      </c>
      <c r="M236" s="7">
        <f>+Données!F236</f>
        <v>0</v>
      </c>
      <c r="N236" s="7">
        <f>+Données!K236</f>
        <v>33842.550000000003</v>
      </c>
      <c r="O236" s="7">
        <f>(Données!L236/Données!Y236)*1</f>
        <v>591003.1</v>
      </c>
      <c r="P236" s="320">
        <f t="shared" si="10"/>
        <v>7239543.1400000006</v>
      </c>
      <c r="Q236" s="160">
        <f>+Données!X236</f>
        <v>71</v>
      </c>
      <c r="R236" s="320">
        <f t="shared" si="11"/>
        <v>101965.39633802818</v>
      </c>
    </row>
    <row r="237" spans="1:18" x14ac:dyDescent="0.25">
      <c r="A237" s="6">
        <f>Données!A237</f>
        <v>5812</v>
      </c>
      <c r="B237" s="26" t="str">
        <f>Données!B237</f>
        <v>Champtauroz</v>
      </c>
      <c r="C237" s="7">
        <f>Données!C237+Données!D237</f>
        <v>264709.86</v>
      </c>
      <c r="D237" s="7">
        <f>+Données!G237+Données!H237+Données!S237</f>
        <v>20674.8</v>
      </c>
      <c r="E237" s="7">
        <f>+Données!E237</f>
        <v>0</v>
      </c>
      <c r="F237" s="7">
        <f>+Données!I237</f>
        <v>0</v>
      </c>
      <c r="G237" s="7">
        <f>+Données!J237</f>
        <v>490.74</v>
      </c>
      <c r="H237" s="7">
        <f>Données!U237</f>
        <v>-6519.71</v>
      </c>
      <c r="I237" s="144">
        <f>Données!V237</f>
        <v>0</v>
      </c>
      <c r="J237" s="144">
        <f>Données!W237</f>
        <v>-31.25</v>
      </c>
      <c r="K237" s="7">
        <f>+Données!Q237</f>
        <v>296.37</v>
      </c>
      <c r="L237" s="320">
        <f t="shared" si="9"/>
        <v>279620.80999999994</v>
      </c>
      <c r="M237" s="7">
        <f>+Données!F237</f>
        <v>0</v>
      </c>
      <c r="N237" s="7">
        <f>+Données!K237</f>
        <v>894.75</v>
      </c>
      <c r="O237" s="7">
        <f>(Données!L237/Données!Y237)*1</f>
        <v>25076.75</v>
      </c>
      <c r="P237" s="320">
        <f t="shared" si="10"/>
        <v>305592.30999999994</v>
      </c>
      <c r="Q237" s="160">
        <f>+Données!X237</f>
        <v>77</v>
      </c>
      <c r="R237" s="320">
        <f t="shared" si="11"/>
        <v>3968.7312987012979</v>
      </c>
    </row>
    <row r="238" spans="1:18" x14ac:dyDescent="0.25">
      <c r="A238" s="6">
        <f>Données!A238</f>
        <v>5813</v>
      </c>
      <c r="B238" s="26" t="str">
        <f>Données!B238</f>
        <v>Chevroux</v>
      </c>
      <c r="C238" s="7">
        <f>Données!C238+Données!D238</f>
        <v>1188095.9099999999</v>
      </c>
      <c r="D238" s="7">
        <f>+Données!G238+Données!H238+Données!S238</f>
        <v>17074.18</v>
      </c>
      <c r="E238" s="7">
        <f>+Données!E238</f>
        <v>0</v>
      </c>
      <c r="F238" s="7">
        <f>+Données!I238</f>
        <v>0</v>
      </c>
      <c r="G238" s="7">
        <f>+Données!J238</f>
        <v>11992.65</v>
      </c>
      <c r="H238" s="7">
        <f>Données!U238</f>
        <v>-4976.6899999999996</v>
      </c>
      <c r="I238" s="144">
        <f>Données!V238</f>
        <v>0</v>
      </c>
      <c r="J238" s="144">
        <f>Données!W238</f>
        <v>0</v>
      </c>
      <c r="K238" s="7">
        <f>+Données!Q238</f>
        <v>166.37</v>
      </c>
      <c r="L238" s="320">
        <f t="shared" si="9"/>
        <v>1212352.42</v>
      </c>
      <c r="M238" s="7">
        <f>+Données!F238</f>
        <v>3390</v>
      </c>
      <c r="N238" s="7">
        <f>+Données!K238</f>
        <v>0</v>
      </c>
      <c r="O238" s="7">
        <f>(Données!L238/Données!Y238)*1</f>
        <v>105037.54166666667</v>
      </c>
      <c r="P238" s="320">
        <f t="shared" si="10"/>
        <v>1320779.9616666667</v>
      </c>
      <c r="Q238" s="160">
        <f>+Données!X238</f>
        <v>68.5</v>
      </c>
      <c r="R238" s="320">
        <f t="shared" si="11"/>
        <v>19281.459294403892</v>
      </c>
    </row>
    <row r="239" spans="1:18" x14ac:dyDescent="0.25">
      <c r="A239" s="6">
        <f>Données!A239</f>
        <v>5816</v>
      </c>
      <c r="B239" s="26" t="str">
        <f>Données!B239</f>
        <v>Corcelles-près-Payerne</v>
      </c>
      <c r="C239" s="7">
        <f>Données!C239+Données!D239</f>
        <v>3795504.36</v>
      </c>
      <c r="D239" s="7">
        <f>+Données!G239+Données!H239+Données!S239</f>
        <v>471366.02</v>
      </c>
      <c r="E239" s="7">
        <f>+Données!E239</f>
        <v>0</v>
      </c>
      <c r="F239" s="7">
        <f>+Données!I239</f>
        <v>0</v>
      </c>
      <c r="G239" s="7">
        <f>+Données!J239</f>
        <v>179334.22</v>
      </c>
      <c r="H239" s="7">
        <f>Données!U239</f>
        <v>-172014.32</v>
      </c>
      <c r="I239" s="144">
        <f>Données!V239</f>
        <v>0</v>
      </c>
      <c r="J239" s="144">
        <f>Données!W239</f>
        <v>0</v>
      </c>
      <c r="K239" s="7">
        <f>+Données!Q239</f>
        <v>96677.87</v>
      </c>
      <c r="L239" s="320">
        <f t="shared" si="9"/>
        <v>4370868.1499999994</v>
      </c>
      <c r="M239" s="7">
        <f>+Données!F239</f>
        <v>0</v>
      </c>
      <c r="N239" s="7">
        <f>+Données!K239</f>
        <v>-32593.1</v>
      </c>
      <c r="O239" s="7">
        <f>(Données!L239/Données!Y239)*1</f>
        <v>454296.71428571432</v>
      </c>
      <c r="P239" s="320">
        <f t="shared" si="10"/>
        <v>4792571.7642857144</v>
      </c>
      <c r="Q239" s="160">
        <f>+Données!X239</f>
        <v>65</v>
      </c>
      <c r="R239" s="320">
        <f t="shared" si="11"/>
        <v>73731.873296703299</v>
      </c>
    </row>
    <row r="240" spans="1:18" x14ac:dyDescent="0.25">
      <c r="A240" s="6">
        <f>Données!A240</f>
        <v>5817</v>
      </c>
      <c r="B240" s="26" t="str">
        <f>Données!B240</f>
        <v>Grandcour</v>
      </c>
      <c r="C240" s="7">
        <f>Données!C240+Données!D240</f>
        <v>1783478.57</v>
      </c>
      <c r="D240" s="7">
        <f>+Données!G240+Données!H240+Données!S240</f>
        <v>17166.830000000002</v>
      </c>
      <c r="E240" s="7">
        <f>+Données!E240</f>
        <v>0</v>
      </c>
      <c r="F240" s="7">
        <f>+Données!I240</f>
        <v>0</v>
      </c>
      <c r="G240" s="7">
        <f>+Données!J240</f>
        <v>30108.86</v>
      </c>
      <c r="H240" s="7">
        <f>Données!U240</f>
        <v>-31518</v>
      </c>
      <c r="I240" s="144">
        <f>Données!V240</f>
        <v>0</v>
      </c>
      <c r="J240" s="144">
        <f>Données!W240</f>
        <v>-105.45</v>
      </c>
      <c r="K240" s="7">
        <f>+Données!Q240</f>
        <v>1618.58</v>
      </c>
      <c r="L240" s="320">
        <f t="shared" si="9"/>
        <v>1800749.3900000004</v>
      </c>
      <c r="M240" s="7">
        <f>+Données!F240</f>
        <v>6450</v>
      </c>
      <c r="N240" s="7">
        <f>+Données!K240</f>
        <v>9063.15</v>
      </c>
      <c r="O240" s="7">
        <f>(Données!L240/Données!Y240)*1</f>
        <v>143850.75</v>
      </c>
      <c r="P240" s="320">
        <f t="shared" si="10"/>
        <v>1960113.2900000003</v>
      </c>
      <c r="Q240" s="160">
        <f>+Données!X240</f>
        <v>72</v>
      </c>
      <c r="R240" s="320">
        <f t="shared" si="11"/>
        <v>27223.795694444449</v>
      </c>
    </row>
    <row r="241" spans="1:18" x14ac:dyDescent="0.25">
      <c r="A241" s="6">
        <f>Données!A241</f>
        <v>5819</v>
      </c>
      <c r="B241" s="26" t="str">
        <f>Données!B241</f>
        <v>Henniez</v>
      </c>
      <c r="C241" s="7">
        <f>Données!C241+Données!D241</f>
        <v>751802.26</v>
      </c>
      <c r="D241" s="7">
        <f>+Données!G241+Données!H241+Données!S241</f>
        <v>145210.22999999998</v>
      </c>
      <c r="E241" s="7">
        <f>+Données!E241</f>
        <v>0</v>
      </c>
      <c r="F241" s="7">
        <f>+Données!I241</f>
        <v>0</v>
      </c>
      <c r="G241" s="7">
        <f>+Données!J241</f>
        <v>11647.05</v>
      </c>
      <c r="H241" s="7">
        <f>Données!U241</f>
        <v>-41851.699999999997</v>
      </c>
      <c r="I241" s="144">
        <f>Données!V241</f>
        <v>0</v>
      </c>
      <c r="J241" s="144">
        <f>Données!W241</f>
        <v>0</v>
      </c>
      <c r="K241" s="7">
        <f>+Données!Q241</f>
        <v>54078.18</v>
      </c>
      <c r="L241" s="320">
        <f t="shared" si="9"/>
        <v>920886.02000000014</v>
      </c>
      <c r="M241" s="7">
        <f>+Données!F241</f>
        <v>0</v>
      </c>
      <c r="N241" s="7">
        <f>+Données!K241</f>
        <v>2043.85</v>
      </c>
      <c r="O241" s="7">
        <f>(Données!L241/Données!Y241)*1</f>
        <v>103915.15</v>
      </c>
      <c r="P241" s="320">
        <f t="shared" si="10"/>
        <v>1026845.0200000001</v>
      </c>
      <c r="Q241" s="160">
        <f>+Données!X241</f>
        <v>69</v>
      </c>
      <c r="R241" s="320">
        <f t="shared" si="11"/>
        <v>14881.811884057974</v>
      </c>
    </row>
    <row r="242" spans="1:18" x14ac:dyDescent="0.25">
      <c r="A242" s="6">
        <f>Données!A242</f>
        <v>5821</v>
      </c>
      <c r="B242" s="26" t="str">
        <f>Données!B242</f>
        <v>Missy</v>
      </c>
      <c r="C242" s="7">
        <f>Données!C242+Données!D242</f>
        <v>651097.22</v>
      </c>
      <c r="D242" s="7">
        <f>+Données!G242+Données!H242+Données!S242</f>
        <v>6020.6</v>
      </c>
      <c r="E242" s="7">
        <f>+Données!E242</f>
        <v>0</v>
      </c>
      <c r="F242" s="7">
        <f>+Données!I242</f>
        <v>0</v>
      </c>
      <c r="G242" s="7">
        <f>+Données!J242</f>
        <v>16861.29</v>
      </c>
      <c r="H242" s="7">
        <f>Données!U242</f>
        <v>-16194.71</v>
      </c>
      <c r="I242" s="144">
        <f>Données!V242</f>
        <v>0</v>
      </c>
      <c r="J242" s="144">
        <f>Données!W242</f>
        <v>-58.1</v>
      </c>
      <c r="K242" s="7">
        <f>+Données!Q242</f>
        <v>318.31</v>
      </c>
      <c r="L242" s="320">
        <f t="shared" si="9"/>
        <v>658044.6100000001</v>
      </c>
      <c r="M242" s="7">
        <f>+Données!F242</f>
        <v>2070</v>
      </c>
      <c r="N242" s="7">
        <f>+Données!K242</f>
        <v>1460</v>
      </c>
      <c r="O242" s="7">
        <f>(Données!L242/Données!Y242)*1</f>
        <v>54926.2</v>
      </c>
      <c r="P242" s="320">
        <f t="shared" si="10"/>
        <v>716500.81</v>
      </c>
      <c r="Q242" s="160">
        <f>+Données!X242</f>
        <v>69</v>
      </c>
      <c r="R242" s="320">
        <f t="shared" si="11"/>
        <v>10384.069710144928</v>
      </c>
    </row>
    <row r="243" spans="1:18" x14ac:dyDescent="0.25">
      <c r="A243" s="6">
        <f>Données!A243</f>
        <v>5822</v>
      </c>
      <c r="B243" s="26" t="str">
        <f>Données!B243</f>
        <v>Payerne</v>
      </c>
      <c r="C243" s="7">
        <f>Données!C243+Données!D243</f>
        <v>13158019.939999999</v>
      </c>
      <c r="D243" s="7">
        <f>+Données!G243+Données!H243+Données!S243</f>
        <v>1922679.33</v>
      </c>
      <c r="E243" s="7">
        <f>+Données!E243</f>
        <v>0</v>
      </c>
      <c r="F243" s="7">
        <f>+Données!I243</f>
        <v>0</v>
      </c>
      <c r="G243" s="7">
        <f>+Données!J243</f>
        <v>902858.44</v>
      </c>
      <c r="H243" s="7">
        <f>Données!U243</f>
        <v>-547316.68000000005</v>
      </c>
      <c r="I243" s="144">
        <f>Données!V243</f>
        <v>0</v>
      </c>
      <c r="J243" s="144">
        <f>Données!W243</f>
        <v>-1705.53</v>
      </c>
      <c r="K243" s="7">
        <f>+Données!Q243</f>
        <v>191748.16</v>
      </c>
      <c r="L243" s="320">
        <f t="shared" si="9"/>
        <v>15626283.66</v>
      </c>
      <c r="M243" s="7">
        <f>+Données!F243</f>
        <v>0</v>
      </c>
      <c r="N243" s="7">
        <f>+Données!K243</f>
        <v>240220.6</v>
      </c>
      <c r="O243" s="7">
        <f>(Données!L243/Données!Y243)*1</f>
        <v>1679849.65</v>
      </c>
      <c r="P243" s="320">
        <f t="shared" si="10"/>
        <v>17546353.91</v>
      </c>
      <c r="Q243" s="160">
        <f>+Données!X243</f>
        <v>70</v>
      </c>
      <c r="R243" s="320">
        <f t="shared" si="11"/>
        <v>250662.19871428571</v>
      </c>
    </row>
    <row r="244" spans="1:18" x14ac:dyDescent="0.25">
      <c r="A244" s="6">
        <f>Données!A244</f>
        <v>5827</v>
      </c>
      <c r="B244" s="26" t="str">
        <f>Données!B244</f>
        <v>Trey</v>
      </c>
      <c r="C244" s="7">
        <f>Données!C244+Données!D244</f>
        <v>624507.17999999993</v>
      </c>
      <c r="D244" s="7">
        <f>+Données!G244+Données!H244+Données!S244</f>
        <v>2202.5299999999997</v>
      </c>
      <c r="E244" s="7">
        <f>+Données!E244</f>
        <v>0</v>
      </c>
      <c r="F244" s="7">
        <f>+Données!I244</f>
        <v>0</v>
      </c>
      <c r="G244" s="7">
        <f>+Données!J244</f>
        <v>4658.21</v>
      </c>
      <c r="H244" s="7">
        <f>Données!U244</f>
        <v>-10545.6</v>
      </c>
      <c r="I244" s="144">
        <f>Données!V244</f>
        <v>0</v>
      </c>
      <c r="J244" s="144">
        <f>Données!W244</f>
        <v>0</v>
      </c>
      <c r="K244" s="7">
        <f>+Données!Q244</f>
        <v>5939.03</v>
      </c>
      <c r="L244" s="320">
        <f t="shared" si="9"/>
        <v>626761.35</v>
      </c>
      <c r="M244" s="7">
        <f>+Données!F244</f>
        <v>1560</v>
      </c>
      <c r="N244" s="7">
        <f>+Données!K244</f>
        <v>1659.35</v>
      </c>
      <c r="O244" s="7">
        <f>(Données!L244/Données!Y244)*1</f>
        <v>48186.75</v>
      </c>
      <c r="P244" s="320">
        <f t="shared" si="10"/>
        <v>678167.45</v>
      </c>
      <c r="Q244" s="160">
        <f>+Données!X244</f>
        <v>78</v>
      </c>
      <c r="R244" s="320">
        <f t="shared" si="11"/>
        <v>8694.454487179486</v>
      </c>
    </row>
    <row r="245" spans="1:18" x14ac:dyDescent="0.25">
      <c r="A245" s="6">
        <f>Données!A245</f>
        <v>5828</v>
      </c>
      <c r="B245" s="26" t="str">
        <f>Données!B245</f>
        <v>Treytorrens (Payerne)</v>
      </c>
      <c r="C245" s="7">
        <f>Données!C245+Données!D245</f>
        <v>214748.16999999998</v>
      </c>
      <c r="D245" s="7">
        <f>+Données!G245+Données!H245+Données!S245</f>
        <v>323.96999999999997</v>
      </c>
      <c r="E245" s="7">
        <f>+Données!E245</f>
        <v>0</v>
      </c>
      <c r="F245" s="7">
        <f>+Données!I245</f>
        <v>0</v>
      </c>
      <c r="G245" s="7">
        <f>+Données!J245</f>
        <v>1.0900000000000001</v>
      </c>
      <c r="H245" s="7">
        <f>Données!U245</f>
        <v>-1966.38</v>
      </c>
      <c r="I245" s="144">
        <f>Données!V245</f>
        <v>0</v>
      </c>
      <c r="J245" s="144">
        <f>Données!W245</f>
        <v>-86.7</v>
      </c>
      <c r="K245" s="7">
        <f>+Données!Q245</f>
        <v>0</v>
      </c>
      <c r="L245" s="320">
        <f t="shared" si="9"/>
        <v>213020.14999999997</v>
      </c>
      <c r="M245" s="7">
        <f>+Données!F245</f>
        <v>0</v>
      </c>
      <c r="N245" s="7">
        <f>+Données!K245</f>
        <v>0</v>
      </c>
      <c r="O245" s="7">
        <f>(Données!L245/Données!Y245)*1</f>
        <v>18751.2</v>
      </c>
      <c r="P245" s="320">
        <f t="shared" si="10"/>
        <v>231771.34999999998</v>
      </c>
      <c r="Q245" s="160">
        <f>+Données!X245</f>
        <v>81.5</v>
      </c>
      <c r="R245" s="320">
        <f t="shared" si="11"/>
        <v>2843.8202453987728</v>
      </c>
    </row>
    <row r="246" spans="1:18" x14ac:dyDescent="0.25">
      <c r="A246" s="6">
        <f>Données!A246</f>
        <v>5830</v>
      </c>
      <c r="B246" s="26" t="str">
        <f>Données!B246</f>
        <v>Villarzel</v>
      </c>
      <c r="C246" s="7">
        <f>Données!C246+Données!D246</f>
        <v>1027168.1299999999</v>
      </c>
      <c r="D246" s="7">
        <f>+Données!G246+Données!H246+Données!S246</f>
        <v>14150.64</v>
      </c>
      <c r="E246" s="7">
        <f>+Données!E246</f>
        <v>0</v>
      </c>
      <c r="F246" s="7">
        <f>+Données!I246</f>
        <v>0</v>
      </c>
      <c r="G246" s="7">
        <f>+Données!J246</f>
        <v>14577.07</v>
      </c>
      <c r="H246" s="7">
        <f>Données!U246</f>
        <v>-1580.16</v>
      </c>
      <c r="I246" s="144">
        <f>Données!V246</f>
        <v>0</v>
      </c>
      <c r="J246" s="144">
        <f>Données!W246</f>
        <v>-53.1</v>
      </c>
      <c r="K246" s="7">
        <f>+Données!Q246</f>
        <v>413.02</v>
      </c>
      <c r="L246" s="320">
        <f t="shared" si="9"/>
        <v>1054675.5999999999</v>
      </c>
      <c r="M246" s="7">
        <f>+Données!F246</f>
        <v>0</v>
      </c>
      <c r="N246" s="7">
        <f>+Données!K246</f>
        <v>2039.2</v>
      </c>
      <c r="O246" s="7">
        <f>(Données!L246/Données!Y246)*1</f>
        <v>68912.600000000006</v>
      </c>
      <c r="P246" s="320">
        <f t="shared" si="10"/>
        <v>1125627.3999999999</v>
      </c>
      <c r="Q246" s="160">
        <f>+Données!X246</f>
        <v>75</v>
      </c>
      <c r="R246" s="320">
        <f t="shared" si="11"/>
        <v>15008.365333333331</v>
      </c>
    </row>
    <row r="247" spans="1:18" x14ac:dyDescent="0.25">
      <c r="A247" s="6">
        <f>Données!A247</f>
        <v>5831</v>
      </c>
      <c r="B247" s="26" t="str">
        <f>Données!B247</f>
        <v>Valbroye</v>
      </c>
      <c r="C247" s="7">
        <f>Données!C247+Données!D247</f>
        <v>5126643.2300000004</v>
      </c>
      <c r="D247" s="7">
        <f>+Données!G247+Données!H247+Données!S247</f>
        <v>321704.53000000003</v>
      </c>
      <c r="E247" s="7">
        <f>+Données!E247</f>
        <v>0</v>
      </c>
      <c r="F247" s="7">
        <f>+Données!I247</f>
        <v>0</v>
      </c>
      <c r="G247" s="7">
        <f>+Données!J247</f>
        <v>171992.8</v>
      </c>
      <c r="H247" s="7">
        <f>Données!U247</f>
        <v>-88903.91</v>
      </c>
      <c r="I247" s="144">
        <f>Données!V247</f>
        <v>0</v>
      </c>
      <c r="J247" s="144">
        <f>Données!W247</f>
        <v>-190.8</v>
      </c>
      <c r="K247" s="7">
        <f>+Données!Q247</f>
        <v>7713.13</v>
      </c>
      <c r="L247" s="320">
        <f t="shared" si="9"/>
        <v>5538958.9800000004</v>
      </c>
      <c r="M247" s="7">
        <f>+Données!F247</f>
        <v>0</v>
      </c>
      <c r="N247" s="7">
        <f>+Données!K247</f>
        <v>35627.15</v>
      </c>
      <c r="O247" s="7">
        <f>(Données!L247/Données!Y247)*1</f>
        <v>567119.83333333337</v>
      </c>
      <c r="P247" s="320">
        <f t="shared" si="10"/>
        <v>6141705.9633333338</v>
      </c>
      <c r="Q247" s="160">
        <f>+Données!X247</f>
        <v>70.5</v>
      </c>
      <c r="R247" s="320">
        <f t="shared" si="11"/>
        <v>87116.396643026019</v>
      </c>
    </row>
    <row r="248" spans="1:18" x14ac:dyDescent="0.25">
      <c r="A248" s="6">
        <f>Données!A248</f>
        <v>5841</v>
      </c>
      <c r="B248" s="26" t="str">
        <f>Données!B248</f>
        <v>Château-d'Oex</v>
      </c>
      <c r="C248" s="7">
        <f>Données!C248+Données!D248</f>
        <v>7622607.3899999997</v>
      </c>
      <c r="D248" s="7">
        <f>+Données!G248+Données!H248+Données!S248</f>
        <v>198135.48</v>
      </c>
      <c r="E248" s="7">
        <f>+Données!E248</f>
        <v>0</v>
      </c>
      <c r="F248" s="7">
        <f>+Données!I248</f>
        <v>813757.69</v>
      </c>
      <c r="G248" s="7">
        <f>+Données!J248</f>
        <v>448589.12</v>
      </c>
      <c r="H248" s="7">
        <f>Données!U248</f>
        <v>-116418.19</v>
      </c>
      <c r="I248" s="144">
        <f>Données!V248</f>
        <v>0</v>
      </c>
      <c r="J248" s="144">
        <f>Données!W248</f>
        <v>-14362.36</v>
      </c>
      <c r="K248" s="7">
        <f>+Données!Q248</f>
        <v>30588.06</v>
      </c>
      <c r="L248" s="320">
        <f t="shared" si="9"/>
        <v>8982897.1900000013</v>
      </c>
      <c r="M248" s="7">
        <f>+Données!F248</f>
        <v>0</v>
      </c>
      <c r="N248" s="7">
        <f>+Données!K248</f>
        <v>5882.55</v>
      </c>
      <c r="O248" s="7">
        <f>(Données!L248/Données!Y248)*1</f>
        <v>1112438</v>
      </c>
      <c r="P248" s="320">
        <f t="shared" si="10"/>
        <v>10101217.740000002</v>
      </c>
      <c r="Q248" s="160">
        <f>+Données!X248</f>
        <v>81.5</v>
      </c>
      <c r="R248" s="320">
        <f t="shared" si="11"/>
        <v>123941.3219631902</v>
      </c>
    </row>
    <row r="249" spans="1:18" x14ac:dyDescent="0.25">
      <c r="A249" s="6">
        <f>Données!A249</f>
        <v>5842</v>
      </c>
      <c r="B249" s="26" t="str">
        <f>Données!B249</f>
        <v>Rossinière</v>
      </c>
      <c r="C249" s="7">
        <f>Données!C249+Données!D249</f>
        <v>1083406.68</v>
      </c>
      <c r="D249" s="7">
        <f>+Données!G249+Données!H249+Données!S249</f>
        <v>39517.29</v>
      </c>
      <c r="E249" s="7">
        <f>+Données!E249</f>
        <v>0</v>
      </c>
      <c r="F249" s="7">
        <f>+Données!I249</f>
        <v>45819.9</v>
      </c>
      <c r="G249" s="7">
        <f>+Données!J249</f>
        <v>20211.2</v>
      </c>
      <c r="H249" s="7">
        <f>Données!U249</f>
        <v>-3112.18</v>
      </c>
      <c r="I249" s="144">
        <f>Données!V249</f>
        <v>0</v>
      </c>
      <c r="J249" s="144">
        <f>Données!W249</f>
        <v>-571.42999999999995</v>
      </c>
      <c r="K249" s="7">
        <f>+Données!Q249</f>
        <v>0</v>
      </c>
      <c r="L249" s="320">
        <f t="shared" si="9"/>
        <v>1185271.46</v>
      </c>
      <c r="M249" s="7">
        <f>+Données!F249</f>
        <v>0</v>
      </c>
      <c r="N249" s="7">
        <f>+Données!K249</f>
        <v>544.85</v>
      </c>
      <c r="O249" s="7">
        <f>(Données!L249/Données!Y249)*1</f>
        <v>100731.83333333333</v>
      </c>
      <c r="P249" s="320">
        <f t="shared" si="10"/>
        <v>1286548.1433333333</v>
      </c>
      <c r="Q249" s="160">
        <f>+Données!X249</f>
        <v>81</v>
      </c>
      <c r="R249" s="320">
        <f t="shared" si="11"/>
        <v>15883.310411522634</v>
      </c>
    </row>
    <row r="250" spans="1:18" x14ac:dyDescent="0.25">
      <c r="A250" s="6">
        <f>Données!A250</f>
        <v>5843</v>
      </c>
      <c r="B250" s="26" t="str">
        <f>Données!B250</f>
        <v>Rougemont</v>
      </c>
      <c r="C250" s="7">
        <f>Données!C250+Données!D250</f>
        <v>4343817.38</v>
      </c>
      <c r="D250" s="7">
        <f>+Données!G250+Données!H250+Données!S250</f>
        <v>154559.81</v>
      </c>
      <c r="E250" s="7">
        <f>+Données!E250</f>
        <v>0</v>
      </c>
      <c r="F250" s="7">
        <f>+Données!I250</f>
        <v>1389707.16</v>
      </c>
      <c r="G250" s="7">
        <f>+Données!J250</f>
        <v>126705.3</v>
      </c>
      <c r="H250" s="7">
        <f>Données!U250</f>
        <v>-16582.93</v>
      </c>
      <c r="I250" s="144">
        <f>Données!V250</f>
        <v>0</v>
      </c>
      <c r="J250" s="144">
        <f>Données!W250</f>
        <v>-29430.42</v>
      </c>
      <c r="K250" s="7">
        <f>+Données!Q250</f>
        <v>1490.95</v>
      </c>
      <c r="L250" s="320">
        <f t="shared" si="9"/>
        <v>5970267.25</v>
      </c>
      <c r="M250" s="7">
        <f>+Données!F250</f>
        <v>0</v>
      </c>
      <c r="N250" s="7">
        <f>+Données!K250</f>
        <v>32505.75</v>
      </c>
      <c r="O250" s="7">
        <f>(Données!L250/Données!Y250)*1</f>
        <v>884006.16666666663</v>
      </c>
      <c r="P250" s="320">
        <f t="shared" si="10"/>
        <v>6886779.166666667</v>
      </c>
      <c r="Q250" s="160">
        <f>+Données!X250</f>
        <v>79</v>
      </c>
      <c r="R250" s="320">
        <f t="shared" si="11"/>
        <v>87174.419831223626</v>
      </c>
    </row>
    <row r="251" spans="1:18" x14ac:dyDescent="0.25">
      <c r="A251" s="6">
        <f>Données!A251</f>
        <v>5851</v>
      </c>
      <c r="B251" s="26" t="str">
        <f>Données!B251</f>
        <v>Allaman</v>
      </c>
      <c r="C251" s="7">
        <f>Données!C251+Données!D251</f>
        <v>1047166</v>
      </c>
      <c r="D251" s="7">
        <f>+Données!G251+Données!H251+Données!S251</f>
        <v>216250.69999999998</v>
      </c>
      <c r="E251" s="7">
        <f>+Données!E251</f>
        <v>0</v>
      </c>
      <c r="F251" s="7">
        <f>+Données!I251</f>
        <v>292503.05</v>
      </c>
      <c r="G251" s="7">
        <f>+Données!J251</f>
        <v>36682.89</v>
      </c>
      <c r="H251" s="7">
        <f>Données!U251</f>
        <v>-7737.75</v>
      </c>
      <c r="I251" s="144">
        <f>Données!V251</f>
        <v>0</v>
      </c>
      <c r="J251" s="144">
        <f>Données!W251</f>
        <v>-684.38</v>
      </c>
      <c r="K251" s="7">
        <f>+Données!Q251</f>
        <v>1556.26</v>
      </c>
      <c r="L251" s="320">
        <f t="shared" si="9"/>
        <v>1585736.77</v>
      </c>
      <c r="M251" s="7">
        <f>+Données!F251</f>
        <v>0</v>
      </c>
      <c r="N251" s="7">
        <f>+Données!K251</f>
        <v>-10940.6</v>
      </c>
      <c r="O251" s="7">
        <f>(Données!L251/Données!Y251)*1</f>
        <v>227569.41666666666</v>
      </c>
      <c r="P251" s="320">
        <f t="shared" si="10"/>
        <v>1802365.5866666667</v>
      </c>
      <c r="Q251" s="160">
        <f>+Données!X251</f>
        <v>65</v>
      </c>
      <c r="R251" s="320">
        <f t="shared" si="11"/>
        <v>27728.701333333334</v>
      </c>
    </row>
    <row r="252" spans="1:18" x14ac:dyDescent="0.25">
      <c r="A252" s="6">
        <f>Données!A252</f>
        <v>5852</v>
      </c>
      <c r="B252" s="26" t="str">
        <f>Données!B252</f>
        <v>Bursinel</v>
      </c>
      <c r="C252" s="7">
        <f>Données!C252+Données!D252</f>
        <v>2249471.69</v>
      </c>
      <c r="D252" s="7">
        <f>+Données!G252+Données!H252+Données!S252</f>
        <v>-13432.26</v>
      </c>
      <c r="E252" s="7">
        <f>+Données!E252</f>
        <v>0</v>
      </c>
      <c r="F252" s="7">
        <f>+Données!I252</f>
        <v>265183.87</v>
      </c>
      <c r="G252" s="7">
        <f>+Données!J252</f>
        <v>5188.38</v>
      </c>
      <c r="H252" s="7">
        <f>Données!U252</f>
        <v>-3902.17</v>
      </c>
      <c r="I252" s="144">
        <f>Données!V252</f>
        <v>0</v>
      </c>
      <c r="J252" s="144">
        <f>Données!W252</f>
        <v>-53443.17</v>
      </c>
      <c r="K252" s="7">
        <f>+Données!Q252</f>
        <v>0</v>
      </c>
      <c r="L252" s="320">
        <f t="shared" si="9"/>
        <v>2449066.3400000003</v>
      </c>
      <c r="M252" s="7">
        <f>+Données!F252</f>
        <v>0</v>
      </c>
      <c r="N252" s="7">
        <f>+Données!K252</f>
        <v>12004.85</v>
      </c>
      <c r="O252" s="7">
        <f>(Données!L252/Données!Y252)*1</f>
        <v>201442.93333333335</v>
      </c>
      <c r="P252" s="320">
        <f t="shared" si="10"/>
        <v>2662514.123333334</v>
      </c>
      <c r="Q252" s="160">
        <f>+Données!X252</f>
        <v>62</v>
      </c>
      <c r="R252" s="320">
        <f t="shared" si="11"/>
        <v>42943.776182795707</v>
      </c>
    </row>
    <row r="253" spans="1:18" x14ac:dyDescent="0.25">
      <c r="A253" s="6">
        <f>Données!A253</f>
        <v>5853</v>
      </c>
      <c r="B253" s="26" t="str">
        <f>Données!B253</f>
        <v>Bursins</v>
      </c>
      <c r="C253" s="7">
        <f>Données!C253+Données!D253</f>
        <v>2630202.7000000002</v>
      </c>
      <c r="D253" s="7">
        <f>+Données!G253+Données!H253+Données!S253</f>
        <v>102671.98</v>
      </c>
      <c r="E253" s="7">
        <f>+Données!E253</f>
        <v>0</v>
      </c>
      <c r="F253" s="7">
        <f>+Données!I253</f>
        <v>250191.8</v>
      </c>
      <c r="G253" s="7">
        <f>+Données!J253</f>
        <v>58204.160000000003</v>
      </c>
      <c r="H253" s="7">
        <f>Données!U253</f>
        <v>-77949.36</v>
      </c>
      <c r="I253" s="144">
        <f>Données!V253</f>
        <v>0</v>
      </c>
      <c r="J253" s="144">
        <f>Données!W253</f>
        <v>-2130.1999999999998</v>
      </c>
      <c r="K253" s="7">
        <f>+Données!Q253</f>
        <v>6017.2</v>
      </c>
      <c r="L253" s="320">
        <f t="shared" si="9"/>
        <v>2967208.2800000003</v>
      </c>
      <c r="M253" s="7">
        <f>+Données!F253</f>
        <v>0</v>
      </c>
      <c r="N253" s="7">
        <f>+Données!K253</f>
        <v>-3460.75</v>
      </c>
      <c r="O253" s="7">
        <f>(Données!L253/Données!Y253)*1</f>
        <v>231020.79999999999</v>
      </c>
      <c r="P253" s="320">
        <f t="shared" si="10"/>
        <v>3194768.33</v>
      </c>
      <c r="Q253" s="160">
        <f>+Données!X253</f>
        <v>71</v>
      </c>
      <c r="R253" s="320">
        <f t="shared" si="11"/>
        <v>44996.737042253524</v>
      </c>
    </row>
    <row r="254" spans="1:18" x14ac:dyDescent="0.25">
      <c r="A254" s="6">
        <f>Données!A254</f>
        <v>5854</v>
      </c>
      <c r="B254" s="26" t="str">
        <f>Données!B254</f>
        <v>Burtigny</v>
      </c>
      <c r="C254" s="7">
        <f>Données!C254+Données!D254</f>
        <v>1132031.6100000001</v>
      </c>
      <c r="D254" s="7">
        <f>+Données!G254+Données!H254+Données!S254</f>
        <v>28189.759999999998</v>
      </c>
      <c r="E254" s="7">
        <f>+Données!E254</f>
        <v>0</v>
      </c>
      <c r="F254" s="7">
        <f>+Données!I254</f>
        <v>0</v>
      </c>
      <c r="G254" s="7">
        <f>+Données!J254</f>
        <v>5845.31</v>
      </c>
      <c r="H254" s="7">
        <f>Données!U254</f>
        <v>-769.08</v>
      </c>
      <c r="I254" s="144">
        <f>Données!V254</f>
        <v>0</v>
      </c>
      <c r="J254" s="144">
        <f>Données!W254</f>
        <v>-527.5</v>
      </c>
      <c r="K254" s="7">
        <f>+Données!Q254</f>
        <v>0</v>
      </c>
      <c r="L254" s="320">
        <f t="shared" si="9"/>
        <v>1164770.1000000001</v>
      </c>
      <c r="M254" s="7">
        <f>+Données!F254</f>
        <v>0</v>
      </c>
      <c r="N254" s="7">
        <f>+Données!K254</f>
        <v>2086.9</v>
      </c>
      <c r="O254" s="7">
        <f>(Données!L254/Données!Y254)*1</f>
        <v>80804.733333333337</v>
      </c>
      <c r="P254" s="320">
        <f t="shared" si="10"/>
        <v>1247661.7333333334</v>
      </c>
      <c r="Q254" s="160">
        <f>+Données!X254</f>
        <v>75</v>
      </c>
      <c r="R254" s="320">
        <f t="shared" si="11"/>
        <v>16635.489777777777</v>
      </c>
    </row>
    <row r="255" spans="1:18" x14ac:dyDescent="0.25">
      <c r="A255" s="6">
        <f>Données!A255</f>
        <v>5855</v>
      </c>
      <c r="B255" s="26" t="str">
        <f>Données!B255</f>
        <v>Dully</v>
      </c>
      <c r="C255" s="7">
        <f>Données!C255+Données!D255</f>
        <v>3661823.26</v>
      </c>
      <c r="D255" s="7">
        <f>+Données!G255+Données!H255+Données!S255</f>
        <v>107308.89</v>
      </c>
      <c r="E255" s="7">
        <f>+Données!E255</f>
        <v>0</v>
      </c>
      <c r="F255" s="7">
        <f>+Données!I255</f>
        <v>1048846.4099999999</v>
      </c>
      <c r="G255" s="7">
        <f>+Données!J255</f>
        <v>42497.71</v>
      </c>
      <c r="H255" s="7">
        <f>Données!U255</f>
        <v>-89974.71</v>
      </c>
      <c r="I255" s="144">
        <f>Données!V255</f>
        <v>0</v>
      </c>
      <c r="J255" s="144">
        <f>Données!W255</f>
        <v>-22853.72</v>
      </c>
      <c r="K255" s="7">
        <f>+Données!Q255</f>
        <v>87481.55</v>
      </c>
      <c r="L255" s="320">
        <f t="shared" si="9"/>
        <v>4835129.3899999997</v>
      </c>
      <c r="M255" s="7">
        <f>+Données!F255</f>
        <v>0</v>
      </c>
      <c r="N255" s="7">
        <f>+Données!K255</f>
        <v>17249</v>
      </c>
      <c r="O255" s="7">
        <f>(Données!L255/Données!Y255)*1</f>
        <v>394439.2</v>
      </c>
      <c r="P255" s="320">
        <f t="shared" si="10"/>
        <v>5246817.59</v>
      </c>
      <c r="Q255" s="160">
        <f>+Données!X255</f>
        <v>53</v>
      </c>
      <c r="R255" s="320">
        <f t="shared" si="11"/>
        <v>98996.558301886791</v>
      </c>
    </row>
    <row r="256" spans="1:18" x14ac:dyDescent="0.25">
      <c r="A256" s="6">
        <f>Données!A256</f>
        <v>5856</v>
      </c>
      <c r="B256" s="26" t="str">
        <f>Données!B256</f>
        <v>Essertines-sur-Rolle</v>
      </c>
      <c r="C256" s="7">
        <f>Données!C256+Données!D256</f>
        <v>1975670.0999999999</v>
      </c>
      <c r="D256" s="7">
        <f>+Données!G256+Données!H256+Données!S256</f>
        <v>3111.15</v>
      </c>
      <c r="E256" s="7">
        <f>+Données!E256</f>
        <v>0</v>
      </c>
      <c r="F256" s="7">
        <f>+Données!I256</f>
        <v>230468.2</v>
      </c>
      <c r="G256" s="7">
        <f>+Données!J256</f>
        <v>21022.47</v>
      </c>
      <c r="H256" s="7">
        <f>Données!U256</f>
        <v>-776.45</v>
      </c>
      <c r="I256" s="144">
        <f>Données!V256</f>
        <v>0</v>
      </c>
      <c r="J256" s="144">
        <f>Données!W256</f>
        <v>-3138.3</v>
      </c>
      <c r="K256" s="7">
        <f>+Données!Q256</f>
        <v>0</v>
      </c>
      <c r="L256" s="320">
        <f t="shared" si="9"/>
        <v>2226357.17</v>
      </c>
      <c r="M256" s="7">
        <f>+Données!F256</f>
        <v>0</v>
      </c>
      <c r="N256" s="7">
        <f>+Données!K256</f>
        <v>2966.5</v>
      </c>
      <c r="O256" s="7">
        <f>(Données!L256/Données!Y256)*1</f>
        <v>206466.3846153846</v>
      </c>
      <c r="P256" s="320">
        <f t="shared" si="10"/>
        <v>2435790.0546153844</v>
      </c>
      <c r="Q256" s="160">
        <f>+Données!X256</f>
        <v>66.5</v>
      </c>
      <c r="R256" s="320">
        <f t="shared" si="11"/>
        <v>36628.421873915555</v>
      </c>
    </row>
    <row r="257" spans="1:18" x14ac:dyDescent="0.25">
      <c r="A257" s="6">
        <f>Données!A257</f>
        <v>5857</v>
      </c>
      <c r="B257" s="26" t="str">
        <f>Données!B257</f>
        <v>Gilly</v>
      </c>
      <c r="C257" s="7">
        <f>Données!C257+Données!D257</f>
        <v>5690667.21</v>
      </c>
      <c r="D257" s="7">
        <f>+Données!G257+Données!H257+Données!S257</f>
        <v>31725.980000000003</v>
      </c>
      <c r="E257" s="7">
        <f>+Données!E257</f>
        <v>0</v>
      </c>
      <c r="F257" s="7">
        <f>+Données!I257</f>
        <v>0</v>
      </c>
      <c r="G257" s="7">
        <f>+Données!J257</f>
        <v>81915.14</v>
      </c>
      <c r="H257" s="7">
        <f>Données!U257</f>
        <v>-16103.92</v>
      </c>
      <c r="I257" s="144">
        <f>Données!V257</f>
        <v>0</v>
      </c>
      <c r="J257" s="144">
        <f>Données!W257</f>
        <v>-3419.6</v>
      </c>
      <c r="K257" s="7">
        <f>+Données!Q257</f>
        <v>285.89999999999998</v>
      </c>
      <c r="L257" s="320">
        <f t="shared" si="9"/>
        <v>5785070.7100000009</v>
      </c>
      <c r="M257" s="7">
        <f>+Données!F257</f>
        <v>0</v>
      </c>
      <c r="N257" s="7">
        <f>+Données!K257</f>
        <v>21380.05</v>
      </c>
      <c r="O257" s="7">
        <f>(Données!L257/Données!Y257)*1</f>
        <v>429328.85</v>
      </c>
      <c r="P257" s="320">
        <f t="shared" si="10"/>
        <v>6235779.6100000003</v>
      </c>
      <c r="Q257" s="160">
        <f>+Données!X257</f>
        <v>64.5</v>
      </c>
      <c r="R257" s="320">
        <f t="shared" si="11"/>
        <v>96678.753643410862</v>
      </c>
    </row>
    <row r="258" spans="1:18" x14ac:dyDescent="0.25">
      <c r="A258" s="6">
        <f>Données!A258</f>
        <v>5858</v>
      </c>
      <c r="B258" s="26" t="str">
        <f>Données!B258</f>
        <v>Luins</v>
      </c>
      <c r="C258" s="7">
        <f>Données!C258+Données!D258</f>
        <v>2102149.0699999998</v>
      </c>
      <c r="D258" s="7">
        <f>+Données!G258+Données!H258+Données!S258</f>
        <v>17104.350000000002</v>
      </c>
      <c r="E258" s="7">
        <f>+Données!E258</f>
        <v>0</v>
      </c>
      <c r="F258" s="7">
        <f>+Données!I258</f>
        <v>98270.3</v>
      </c>
      <c r="G258" s="7">
        <f>+Données!J258</f>
        <v>54504.56</v>
      </c>
      <c r="H258" s="7">
        <f>Données!U258</f>
        <v>-39924</v>
      </c>
      <c r="I258" s="144">
        <f>Données!V258</f>
        <v>0</v>
      </c>
      <c r="J258" s="144">
        <f>Données!W258</f>
        <v>-2098.9499999999998</v>
      </c>
      <c r="K258" s="7">
        <f>+Données!Q258</f>
        <v>9306.7000000000007</v>
      </c>
      <c r="L258" s="320">
        <f t="shared" si="9"/>
        <v>2239312.0299999998</v>
      </c>
      <c r="M258" s="7">
        <f>+Données!F258</f>
        <v>0</v>
      </c>
      <c r="N258" s="7">
        <f>+Données!K258</f>
        <v>1298.4000000000001</v>
      </c>
      <c r="O258" s="7">
        <f>(Données!L258/Données!Y258)*1</f>
        <v>169770.76666666666</v>
      </c>
      <c r="P258" s="320">
        <f t="shared" si="10"/>
        <v>2410381.1966666663</v>
      </c>
      <c r="Q258" s="160">
        <f>+Données!X258</f>
        <v>58.5</v>
      </c>
      <c r="R258" s="320">
        <f t="shared" si="11"/>
        <v>41203.097378917373</v>
      </c>
    </row>
    <row r="259" spans="1:18" x14ac:dyDescent="0.25">
      <c r="A259" s="6">
        <f>Données!A259</f>
        <v>5859</v>
      </c>
      <c r="B259" s="26" t="str">
        <f>Données!B259</f>
        <v>Mont-sur-Rolle</v>
      </c>
      <c r="C259" s="7">
        <f>Données!C259+Données!D259</f>
        <v>9741970.6600000001</v>
      </c>
      <c r="D259" s="7">
        <f>+Données!G259+Données!H259+Données!S259</f>
        <v>165179.39000000001</v>
      </c>
      <c r="E259" s="7">
        <f>+Données!E259</f>
        <v>0</v>
      </c>
      <c r="F259" s="7">
        <f>+Données!I259</f>
        <v>387934.9</v>
      </c>
      <c r="G259" s="7">
        <f>+Données!J259</f>
        <v>131610.04999999999</v>
      </c>
      <c r="H259" s="7">
        <f>Données!U259</f>
        <v>-29708.12</v>
      </c>
      <c r="I259" s="144">
        <f>Données!V259</f>
        <v>0</v>
      </c>
      <c r="J259" s="144">
        <f>Données!W259</f>
        <v>-23361.11</v>
      </c>
      <c r="K259" s="7">
        <f>+Données!Q259</f>
        <v>212.81</v>
      </c>
      <c r="L259" s="320">
        <f t="shared" si="9"/>
        <v>10373838.580000004</v>
      </c>
      <c r="M259" s="7">
        <f>+Données!F259</f>
        <v>0</v>
      </c>
      <c r="N259" s="7">
        <f>+Données!K259</f>
        <v>27593.8</v>
      </c>
      <c r="O259" s="7">
        <f>(Données!L259/Données!Y259)*1</f>
        <v>720732.65</v>
      </c>
      <c r="P259" s="320">
        <f t="shared" si="10"/>
        <v>11122165.030000005</v>
      </c>
      <c r="Q259" s="160">
        <f>+Données!X259</f>
        <v>63.5</v>
      </c>
      <c r="R259" s="320">
        <f t="shared" si="11"/>
        <v>175152.20519685047</v>
      </c>
    </row>
    <row r="260" spans="1:18" x14ac:dyDescent="0.25">
      <c r="A260" s="6">
        <f>Données!A260</f>
        <v>5860</v>
      </c>
      <c r="B260" s="26" t="str">
        <f>Données!B260</f>
        <v>Perroy</v>
      </c>
      <c r="C260" s="7">
        <f>Données!C260+Données!D260</f>
        <v>5478822.5</v>
      </c>
      <c r="D260" s="7">
        <f>+Données!G260+Données!H260+Données!S260</f>
        <v>149090.78</v>
      </c>
      <c r="E260" s="7">
        <f>+Données!E260</f>
        <v>0</v>
      </c>
      <c r="F260" s="7">
        <f>+Données!I260</f>
        <v>486682.68</v>
      </c>
      <c r="G260" s="7">
        <f>+Données!J260</f>
        <v>53184.35</v>
      </c>
      <c r="H260" s="7">
        <f>Données!U260</f>
        <v>-35574.550000000003</v>
      </c>
      <c r="I260" s="144">
        <f>Données!V260</f>
        <v>0</v>
      </c>
      <c r="J260" s="144">
        <f>Données!W260</f>
        <v>-43149.64</v>
      </c>
      <c r="K260" s="7">
        <f>+Données!Q260</f>
        <v>10718.56</v>
      </c>
      <c r="L260" s="320">
        <f t="shared" si="9"/>
        <v>6099774.6799999997</v>
      </c>
      <c r="M260" s="7">
        <f>+Données!F260</f>
        <v>0</v>
      </c>
      <c r="N260" s="7">
        <f>+Données!K260</f>
        <v>39295.9</v>
      </c>
      <c r="O260" s="7">
        <f>(Données!L260/Données!Y260)*1</f>
        <v>578668.73076923075</v>
      </c>
      <c r="P260" s="320">
        <f t="shared" si="10"/>
        <v>6717739.3107692311</v>
      </c>
      <c r="Q260" s="160">
        <f>+Données!X260</f>
        <v>58.5</v>
      </c>
      <c r="R260" s="320">
        <f t="shared" si="11"/>
        <v>114833.15061143985</v>
      </c>
    </row>
    <row r="261" spans="1:18" x14ac:dyDescent="0.25">
      <c r="A261" s="6">
        <f>Données!A261</f>
        <v>5861</v>
      </c>
      <c r="B261" s="26" t="str">
        <f>Données!B261</f>
        <v>Rolle</v>
      </c>
      <c r="C261" s="7">
        <f>Données!C261+Données!D261</f>
        <v>17237791.52</v>
      </c>
      <c r="D261" s="7">
        <f>+Données!G261+Données!H261+Données!S261</f>
        <v>39137021.950000003</v>
      </c>
      <c r="E261" s="7">
        <f>+Données!E261</f>
        <v>0</v>
      </c>
      <c r="F261" s="7">
        <f>+Données!I261</f>
        <v>318902.87</v>
      </c>
      <c r="G261" s="7">
        <f>+Données!J261</f>
        <v>861848.21</v>
      </c>
      <c r="H261" s="7">
        <f>Données!U261</f>
        <v>-247662.71</v>
      </c>
      <c r="I261" s="144">
        <f>Données!V261</f>
        <v>0</v>
      </c>
      <c r="J261" s="144">
        <f>Données!W261</f>
        <v>-131720.28</v>
      </c>
      <c r="K261" s="7">
        <f>+Données!Q261</f>
        <v>62233.17</v>
      </c>
      <c r="L261" s="320">
        <f t="shared" si="9"/>
        <v>57238414.729999997</v>
      </c>
      <c r="M261" s="7">
        <f>+Données!F261</f>
        <v>0</v>
      </c>
      <c r="N261" s="7">
        <f>+Données!K261</f>
        <v>365876.25</v>
      </c>
      <c r="O261" s="7">
        <f>(Données!L261/Données!Y261)*1</f>
        <v>1992797.5</v>
      </c>
      <c r="P261" s="320">
        <f t="shared" si="10"/>
        <v>59597088.479999997</v>
      </c>
      <c r="Q261" s="160">
        <f>+Données!X261</f>
        <v>59.5</v>
      </c>
      <c r="R261" s="320">
        <f t="shared" si="11"/>
        <v>1001631.7391596638</v>
      </c>
    </row>
    <row r="262" spans="1:18" x14ac:dyDescent="0.25">
      <c r="A262" s="6">
        <f>Données!A262</f>
        <v>5862</v>
      </c>
      <c r="B262" s="26" t="str">
        <f>Données!B262</f>
        <v>Tartegnin</v>
      </c>
      <c r="C262" s="7">
        <f>Données!C262+Données!D262</f>
        <v>834722.12</v>
      </c>
      <c r="D262" s="7">
        <f>+Données!G262+Données!H262+Données!S262</f>
        <v>7779.4600000000009</v>
      </c>
      <c r="E262" s="7">
        <f>+Données!E262</f>
        <v>0</v>
      </c>
      <c r="F262" s="7">
        <f>+Données!I262</f>
        <v>0</v>
      </c>
      <c r="G262" s="7">
        <f>+Données!J262</f>
        <v>84722.65</v>
      </c>
      <c r="H262" s="7">
        <f>Données!U262</f>
        <v>-4001.47</v>
      </c>
      <c r="I262" s="144">
        <f>Données!V262</f>
        <v>0</v>
      </c>
      <c r="J262" s="144">
        <f>Données!W262</f>
        <v>-68.75</v>
      </c>
      <c r="K262" s="7">
        <f>+Données!Q262</f>
        <v>0</v>
      </c>
      <c r="L262" s="320">
        <f t="shared" si="9"/>
        <v>923154.01</v>
      </c>
      <c r="M262" s="7">
        <f>+Données!F262</f>
        <v>0</v>
      </c>
      <c r="N262" s="7">
        <f>+Données!K262</f>
        <v>3988.35</v>
      </c>
      <c r="O262" s="7">
        <f>(Données!L262/Données!Y262)*1</f>
        <v>50741</v>
      </c>
      <c r="P262" s="320">
        <f t="shared" si="10"/>
        <v>977883.36</v>
      </c>
      <c r="Q262" s="160">
        <f>+Données!X262</f>
        <v>79</v>
      </c>
      <c r="R262" s="320">
        <f t="shared" si="11"/>
        <v>12378.270379746835</v>
      </c>
    </row>
    <row r="263" spans="1:18" x14ac:dyDescent="0.25">
      <c r="A263" s="6">
        <f>Données!A263</f>
        <v>5863</v>
      </c>
      <c r="B263" s="26" t="str">
        <f>Données!B263</f>
        <v>Vinzel</v>
      </c>
      <c r="C263" s="7">
        <f>Données!C263+Données!D263</f>
        <v>1156721.8199999998</v>
      </c>
      <c r="D263" s="7">
        <f>+Données!G263+Données!H263+Données!S263</f>
        <v>31181.1</v>
      </c>
      <c r="E263" s="7">
        <f>+Données!E263</f>
        <v>0</v>
      </c>
      <c r="F263" s="7">
        <f>+Données!I263</f>
        <v>30606.55</v>
      </c>
      <c r="G263" s="7">
        <f>+Données!J263</f>
        <v>-8185.81</v>
      </c>
      <c r="H263" s="7">
        <f>Données!U263</f>
        <v>-3587.75</v>
      </c>
      <c r="I263" s="144">
        <f>Données!V263</f>
        <v>0</v>
      </c>
      <c r="J263" s="144">
        <f>Données!W263</f>
        <v>-263.85000000000002</v>
      </c>
      <c r="K263" s="7">
        <f>+Données!Q263</f>
        <v>0</v>
      </c>
      <c r="L263" s="320">
        <f t="shared" ref="L263:L305" si="12">SUM(C263:K263)</f>
        <v>1206472.0599999998</v>
      </c>
      <c r="M263" s="7">
        <f>+Données!F263</f>
        <v>0</v>
      </c>
      <c r="N263" s="7">
        <f>+Données!K263</f>
        <v>2397.9</v>
      </c>
      <c r="O263" s="7">
        <f>(Données!L263/Données!Y263)*1</f>
        <v>98899.1</v>
      </c>
      <c r="P263" s="320">
        <f t="shared" ref="P263:P305" si="13">SUM(L263:O263)</f>
        <v>1307769.0599999998</v>
      </c>
      <c r="Q263" s="160">
        <f>+Données!X263</f>
        <v>65</v>
      </c>
      <c r="R263" s="320">
        <f t="shared" ref="R263:R305" si="14">P263/Q263</f>
        <v>20119.523999999998</v>
      </c>
    </row>
    <row r="264" spans="1:18" x14ac:dyDescent="0.25">
      <c r="A264" s="6">
        <f>Données!A264</f>
        <v>5871</v>
      </c>
      <c r="B264" s="26" t="str">
        <f>Données!B264</f>
        <v>L'Abbaye</v>
      </c>
      <c r="C264" s="7">
        <f>Données!C264+Données!D264</f>
        <v>3432481.6999999997</v>
      </c>
      <c r="D264" s="7">
        <f>+Données!G264+Données!H264+Données!S264</f>
        <v>122535.03999999999</v>
      </c>
      <c r="E264" s="7">
        <f>+Données!E264</f>
        <v>0</v>
      </c>
      <c r="F264" s="7">
        <f>+Données!I264</f>
        <v>0</v>
      </c>
      <c r="G264" s="7">
        <f>+Données!J264</f>
        <v>14949.35</v>
      </c>
      <c r="H264" s="7">
        <f>Données!U264</f>
        <v>-15203.46</v>
      </c>
      <c r="I264" s="144">
        <f>Données!V264</f>
        <v>0</v>
      </c>
      <c r="J264" s="144">
        <f>Données!W264</f>
        <v>-235.65</v>
      </c>
      <c r="K264" s="7">
        <f>+Données!Q264</f>
        <v>1806.78</v>
      </c>
      <c r="L264" s="320">
        <f t="shared" si="12"/>
        <v>3556333.76</v>
      </c>
      <c r="M264" s="7">
        <f>+Données!F264</f>
        <v>0</v>
      </c>
      <c r="N264" s="7">
        <f>+Données!K264</f>
        <v>5558.2</v>
      </c>
      <c r="O264" s="7">
        <f>(Données!L264/Données!Y264)*1</f>
        <v>309187.90000000002</v>
      </c>
      <c r="P264" s="320">
        <f t="shared" si="13"/>
        <v>3871079.86</v>
      </c>
      <c r="Q264" s="160">
        <f>+Données!X264</f>
        <v>77.209999999999994</v>
      </c>
      <c r="R264" s="320">
        <f t="shared" si="14"/>
        <v>50137.027069032512</v>
      </c>
    </row>
    <row r="265" spans="1:18" x14ac:dyDescent="0.25">
      <c r="A265" s="6">
        <f>Données!A265</f>
        <v>5872</v>
      </c>
      <c r="B265" s="26" t="str">
        <f>Données!B265</f>
        <v>Le Chenit</v>
      </c>
      <c r="C265" s="7">
        <f>Données!C265+Données!D265</f>
        <v>8198083.0700000003</v>
      </c>
      <c r="D265" s="7">
        <f>+Données!G265+Données!H265+Données!S265</f>
        <v>14234265.880000001</v>
      </c>
      <c r="E265" s="7">
        <f>+Données!E265</f>
        <v>0</v>
      </c>
      <c r="F265" s="7">
        <f>+Données!I265</f>
        <v>0</v>
      </c>
      <c r="G265" s="7">
        <f>+Données!J265</f>
        <v>623089.13</v>
      </c>
      <c r="H265" s="7">
        <f>Données!U265</f>
        <v>-127250.74</v>
      </c>
      <c r="I265" s="144">
        <f>Données!V265</f>
        <v>0</v>
      </c>
      <c r="J265" s="144">
        <f>Données!W265</f>
        <v>-2458.8200000000002</v>
      </c>
      <c r="K265" s="7">
        <f>+Données!Q265</f>
        <v>46879.89</v>
      </c>
      <c r="L265" s="320">
        <f t="shared" si="12"/>
        <v>22972608.410000004</v>
      </c>
      <c r="M265" s="7">
        <f>+Données!F265</f>
        <v>0</v>
      </c>
      <c r="N265" s="7">
        <f>+Données!K265</f>
        <v>18107</v>
      </c>
      <c r="O265" s="7">
        <f>(Données!L265/Données!Y265)*1</f>
        <v>860230.35</v>
      </c>
      <c r="P265" s="320">
        <f t="shared" si="13"/>
        <v>23850945.760000005</v>
      </c>
      <c r="Q265" s="160">
        <f>+Données!X265</f>
        <v>66.33</v>
      </c>
      <c r="R265" s="320">
        <f t="shared" si="14"/>
        <v>359580.06573194644</v>
      </c>
    </row>
    <row r="266" spans="1:18" x14ac:dyDescent="0.25">
      <c r="A266" s="6">
        <f>Données!A266</f>
        <v>5873</v>
      </c>
      <c r="B266" s="26" t="str">
        <f>Données!B266</f>
        <v>Le Lieu</v>
      </c>
      <c r="C266" s="7">
        <f>Données!C266+Données!D266</f>
        <v>1895186.6500000001</v>
      </c>
      <c r="D266" s="7">
        <f>+Données!G266+Données!H266+Données!S266</f>
        <v>125635.37999999999</v>
      </c>
      <c r="E266" s="7">
        <f>+Données!E266</f>
        <v>0</v>
      </c>
      <c r="F266" s="7">
        <f>+Données!I266</f>
        <v>0</v>
      </c>
      <c r="G266" s="7">
        <f>+Données!J266</f>
        <v>60518.12</v>
      </c>
      <c r="H266" s="7">
        <f>Données!U266</f>
        <v>-33153.089999999997</v>
      </c>
      <c r="I266" s="144">
        <f>Données!V266</f>
        <v>0</v>
      </c>
      <c r="J266" s="144">
        <f>Données!W266</f>
        <v>-336.93</v>
      </c>
      <c r="K266" s="7">
        <f>+Données!Q266</f>
        <v>4511.55</v>
      </c>
      <c r="L266" s="320">
        <f t="shared" si="12"/>
        <v>2052361.6800000002</v>
      </c>
      <c r="M266" s="7">
        <f>+Données!F266</f>
        <v>0</v>
      </c>
      <c r="N266" s="7">
        <f>+Données!K266</f>
        <v>0</v>
      </c>
      <c r="O266" s="7">
        <f>(Données!L266/Données!Y266)*1</f>
        <v>156175</v>
      </c>
      <c r="P266" s="320">
        <f t="shared" si="13"/>
        <v>2208536.6800000002</v>
      </c>
      <c r="Q266" s="160">
        <f>+Données!X266</f>
        <v>70</v>
      </c>
      <c r="R266" s="320">
        <f t="shared" si="14"/>
        <v>31550.524000000001</v>
      </c>
    </row>
    <row r="267" spans="1:18" x14ac:dyDescent="0.25">
      <c r="A267" s="6">
        <f>Données!A267</f>
        <v>5882</v>
      </c>
      <c r="B267" s="26" t="str">
        <f>Données!B267</f>
        <v>Chardonne</v>
      </c>
      <c r="C267" s="7">
        <f>Données!C267+Données!D267</f>
        <v>11599875.140000001</v>
      </c>
      <c r="D267" s="7">
        <f>+Données!G267+Données!H267+Données!S267</f>
        <v>175709.63</v>
      </c>
      <c r="E267" s="7">
        <f>+Données!E267</f>
        <v>0</v>
      </c>
      <c r="F267" s="7">
        <f>+Données!I267</f>
        <v>513516.3</v>
      </c>
      <c r="G267" s="7">
        <f>+Données!J267</f>
        <v>427364.26</v>
      </c>
      <c r="H267" s="7">
        <f>Données!U267</f>
        <v>-174751.69</v>
      </c>
      <c r="I267" s="144">
        <f>Données!V267</f>
        <v>0</v>
      </c>
      <c r="J267" s="144">
        <f>Données!W267</f>
        <v>-24583.07</v>
      </c>
      <c r="K267" s="7">
        <f>+Données!Q267</f>
        <v>18746.75</v>
      </c>
      <c r="L267" s="320">
        <f t="shared" si="12"/>
        <v>12535877.320000002</v>
      </c>
      <c r="M267" s="7">
        <f>+Données!F267</f>
        <v>0</v>
      </c>
      <c r="N267" s="7">
        <f>+Données!K267</f>
        <v>100248.65</v>
      </c>
      <c r="O267" s="7">
        <f>(Données!L267/Données!Y267)*1</f>
        <v>1103305.68</v>
      </c>
      <c r="P267" s="320">
        <f t="shared" si="13"/>
        <v>13739431.650000002</v>
      </c>
      <c r="Q267" s="160">
        <f>+Données!X267</f>
        <v>68</v>
      </c>
      <c r="R267" s="320">
        <f t="shared" si="14"/>
        <v>202050.46544117649</v>
      </c>
    </row>
    <row r="268" spans="1:18" x14ac:dyDescent="0.25">
      <c r="A268" s="6">
        <f>Données!A268</f>
        <v>5883</v>
      </c>
      <c r="B268" s="26" t="str">
        <f>Données!B268</f>
        <v>Corseaux</v>
      </c>
      <c r="C268" s="7">
        <f>Données!C268+Données!D268</f>
        <v>11271750.879999999</v>
      </c>
      <c r="D268" s="7">
        <f>+Données!G268+Données!H268+Données!S268</f>
        <v>134266.14000000001</v>
      </c>
      <c r="E268" s="7">
        <f>+Données!E268</f>
        <v>0</v>
      </c>
      <c r="F268" s="7">
        <f>+Données!I268</f>
        <v>501781</v>
      </c>
      <c r="G268" s="7">
        <f>+Données!J268</f>
        <v>45201.57</v>
      </c>
      <c r="H268" s="7">
        <f>Données!U268</f>
        <v>-55635.17</v>
      </c>
      <c r="I268" s="144">
        <f>Données!V268</f>
        <v>0</v>
      </c>
      <c r="J268" s="144">
        <f>Données!W268</f>
        <v>-30888.5</v>
      </c>
      <c r="K268" s="7">
        <f>+Données!Q268</f>
        <v>33806.85</v>
      </c>
      <c r="L268" s="320">
        <f t="shared" si="12"/>
        <v>11900282.77</v>
      </c>
      <c r="M268" s="7">
        <f>+Données!F268</f>
        <v>0</v>
      </c>
      <c r="N268" s="7">
        <f>+Données!K268</f>
        <v>21064</v>
      </c>
      <c r="O268" s="7">
        <f>(Données!L268/Données!Y268)*1</f>
        <v>751675.35</v>
      </c>
      <c r="P268" s="320">
        <f t="shared" si="13"/>
        <v>12673022.119999999</v>
      </c>
      <c r="Q268" s="160">
        <f>+Données!X268</f>
        <v>67.5</v>
      </c>
      <c r="R268" s="320">
        <f t="shared" si="14"/>
        <v>187748.47585185184</v>
      </c>
    </row>
    <row r="269" spans="1:18" x14ac:dyDescent="0.25">
      <c r="A269" s="6">
        <f>Données!A269</f>
        <v>5884</v>
      </c>
      <c r="B269" s="26" t="str">
        <f>Données!B269</f>
        <v>Corsier-sur-Vevey</v>
      </c>
      <c r="C269" s="7">
        <f>Données!C269+Données!D269</f>
        <v>6271576.5699999994</v>
      </c>
      <c r="D269" s="7">
        <f>+Données!G269+Données!H269+Données!S269</f>
        <v>2873328.67</v>
      </c>
      <c r="E269" s="7">
        <f>+Données!E269</f>
        <v>0</v>
      </c>
      <c r="F269" s="7">
        <f>+Données!I269</f>
        <v>35229.4</v>
      </c>
      <c r="G269" s="7">
        <f>+Données!J269</f>
        <v>168431.63</v>
      </c>
      <c r="H269" s="7">
        <f>Données!U269</f>
        <v>-144256.37</v>
      </c>
      <c r="I269" s="144">
        <f>Données!V269</f>
        <v>0</v>
      </c>
      <c r="J269" s="144">
        <f>Données!W269</f>
        <v>-4277.8599999999997</v>
      </c>
      <c r="K269" s="7">
        <f>+Données!Q269</f>
        <v>102575.4</v>
      </c>
      <c r="L269" s="320">
        <f t="shared" si="12"/>
        <v>9302607.4400000013</v>
      </c>
      <c r="M269" s="7">
        <f>+Données!F269</f>
        <v>0</v>
      </c>
      <c r="N269" s="7">
        <f>+Données!K269</f>
        <v>190820</v>
      </c>
      <c r="O269" s="7">
        <f>(Données!L269/Données!Y269)*1</f>
        <v>846521.54166666663</v>
      </c>
      <c r="P269" s="320">
        <f t="shared" si="13"/>
        <v>10339948.981666667</v>
      </c>
      <c r="Q269" s="160">
        <f>+Données!X269</f>
        <v>64.5</v>
      </c>
      <c r="R269" s="320">
        <f t="shared" si="14"/>
        <v>160309.28653746771</v>
      </c>
    </row>
    <row r="270" spans="1:18" x14ac:dyDescent="0.25">
      <c r="A270" s="6">
        <f>Données!A270</f>
        <v>5885</v>
      </c>
      <c r="B270" s="26" t="str">
        <f>Données!B270</f>
        <v>Jongny</v>
      </c>
      <c r="C270" s="7">
        <f>Données!C270+Données!D270</f>
        <v>6634007.3700000001</v>
      </c>
      <c r="D270" s="7">
        <f>+Données!G270+Données!H270+Données!S270</f>
        <v>70469.61</v>
      </c>
      <c r="E270" s="7">
        <f>+Données!E270</f>
        <v>0</v>
      </c>
      <c r="F270" s="7">
        <f>+Données!I270</f>
        <v>97764.94</v>
      </c>
      <c r="G270" s="7">
        <f>+Données!J270</f>
        <v>-26569.32</v>
      </c>
      <c r="H270" s="7">
        <f>Données!U270</f>
        <v>-71643.22</v>
      </c>
      <c r="I270" s="144">
        <f>Données!V270</f>
        <v>0</v>
      </c>
      <c r="J270" s="144">
        <f>Données!W270</f>
        <v>-6394.05</v>
      </c>
      <c r="K270" s="7">
        <f>+Données!Q270</f>
        <v>68297.03</v>
      </c>
      <c r="L270" s="320">
        <f t="shared" si="12"/>
        <v>6765932.3600000013</v>
      </c>
      <c r="M270" s="7">
        <f>+Données!F270</f>
        <v>0</v>
      </c>
      <c r="N270" s="7">
        <f>+Données!K270</f>
        <v>52463.55</v>
      </c>
      <c r="O270" s="7">
        <f>(Données!L270/Données!Y270)*1</f>
        <v>489754.54166666663</v>
      </c>
      <c r="P270" s="320">
        <f t="shared" si="13"/>
        <v>7308150.4516666681</v>
      </c>
      <c r="Q270" s="160">
        <f>+Données!X270</f>
        <v>69.5</v>
      </c>
      <c r="R270" s="320">
        <f t="shared" si="14"/>
        <v>105153.24390887292</v>
      </c>
    </row>
    <row r="271" spans="1:18" x14ac:dyDescent="0.25">
      <c r="A271" s="6">
        <f>Données!A271</f>
        <v>5886</v>
      </c>
      <c r="B271" s="26" t="str">
        <f>Données!B271</f>
        <v>Montreux</v>
      </c>
      <c r="C271" s="7">
        <f>Données!C271+Données!D271</f>
        <v>56516658.510000005</v>
      </c>
      <c r="D271" s="7">
        <f>+Données!G271+Données!H271+Données!S271</f>
        <v>4228754.3899999997</v>
      </c>
      <c r="E271" s="7">
        <f>+Données!E271</f>
        <v>0</v>
      </c>
      <c r="F271" s="7">
        <f>+Données!I271</f>
        <v>5377468.1799999997</v>
      </c>
      <c r="G271" s="7">
        <f>+Données!J271</f>
        <v>2613040.96</v>
      </c>
      <c r="H271" s="7">
        <f>Données!U271</f>
        <v>-4775480.5199999996</v>
      </c>
      <c r="I271" s="144">
        <f>Données!V271</f>
        <v>0</v>
      </c>
      <c r="J271" s="144">
        <f>Données!W271</f>
        <v>-162621.25</v>
      </c>
      <c r="K271" s="7">
        <f>+Données!Q271</f>
        <v>631363.47</v>
      </c>
      <c r="L271" s="320">
        <f t="shared" si="12"/>
        <v>64429183.74000001</v>
      </c>
      <c r="M271" s="7">
        <f>+Données!F271</f>
        <v>0</v>
      </c>
      <c r="N271" s="7">
        <f>+Données!K271</f>
        <v>762834</v>
      </c>
      <c r="O271" s="7">
        <f>(Données!L271/Données!Y271)*1</f>
        <v>7669410.1866666665</v>
      </c>
      <c r="P271" s="320">
        <f t="shared" si="13"/>
        <v>72861427.926666677</v>
      </c>
      <c r="Q271" s="160">
        <f>+Données!X271</f>
        <v>65</v>
      </c>
      <c r="R271" s="320">
        <f t="shared" si="14"/>
        <v>1120945.0450256411</v>
      </c>
    </row>
    <row r="272" spans="1:18" x14ac:dyDescent="0.25">
      <c r="A272" s="6">
        <f>Données!A272</f>
        <v>5889</v>
      </c>
      <c r="B272" s="26" t="str">
        <f>Données!B272</f>
        <v>La Tour-de-Peilz</v>
      </c>
      <c r="C272" s="7">
        <f>Données!C272+Données!D272</f>
        <v>32234336.920000002</v>
      </c>
      <c r="D272" s="7">
        <f>+Données!G272+Données!H272+Données!S272</f>
        <v>11061067.17</v>
      </c>
      <c r="E272" s="7">
        <f>+Données!E272</f>
        <v>0</v>
      </c>
      <c r="F272" s="7">
        <f>+Données!I272</f>
        <v>1025840.96</v>
      </c>
      <c r="G272" s="7">
        <f>+Données!J272</f>
        <v>1093684.1100000001</v>
      </c>
      <c r="H272" s="7">
        <f>Données!U272</f>
        <v>-340513.98</v>
      </c>
      <c r="I272" s="144">
        <f>Données!V272</f>
        <v>0</v>
      </c>
      <c r="J272" s="144">
        <f>Données!W272</f>
        <v>-1605235.16</v>
      </c>
      <c r="K272" s="7">
        <f>+Données!Q272</f>
        <v>100391.02</v>
      </c>
      <c r="L272" s="320">
        <f t="shared" si="12"/>
        <v>43569571.040000014</v>
      </c>
      <c r="M272" s="7">
        <f>+Données!F272</f>
        <v>0</v>
      </c>
      <c r="N272" s="7">
        <f>+Données!K272</f>
        <v>267276.45</v>
      </c>
      <c r="O272" s="7">
        <f>(Données!L272/Données!Y272)*1</f>
        <v>2809021.9583333335</v>
      </c>
      <c r="P272" s="320">
        <f t="shared" si="13"/>
        <v>46645869.448333353</v>
      </c>
      <c r="Q272" s="160">
        <f>+Données!X272</f>
        <v>64</v>
      </c>
      <c r="R272" s="320">
        <f t="shared" si="14"/>
        <v>728841.71013020864</v>
      </c>
    </row>
    <row r="273" spans="1:18" x14ac:dyDescent="0.25">
      <c r="A273" s="6">
        <f>Données!A273</f>
        <v>5890</v>
      </c>
      <c r="B273" s="26" t="str">
        <f>Données!B273</f>
        <v>Vevey</v>
      </c>
      <c r="C273" s="7">
        <f>Données!C273+Données!D273</f>
        <v>44131957.850000001</v>
      </c>
      <c r="D273" s="7">
        <f>+Données!G273+Données!H273+Données!S273</f>
        <v>30919924.18</v>
      </c>
      <c r="E273" s="7">
        <f>+Données!E273</f>
        <v>0</v>
      </c>
      <c r="F273" s="7">
        <f>+Données!I273</f>
        <v>181880.05</v>
      </c>
      <c r="G273" s="7">
        <f>+Données!J273</f>
        <v>2642860.2000000002</v>
      </c>
      <c r="H273" s="7">
        <f>Données!U273</f>
        <v>-783103.53</v>
      </c>
      <c r="I273" s="144">
        <f>Données!V273</f>
        <v>0</v>
      </c>
      <c r="J273" s="144">
        <f>Données!W273</f>
        <v>-3157025.5</v>
      </c>
      <c r="K273" s="7">
        <f>+Données!Q273</f>
        <v>206785.5</v>
      </c>
      <c r="L273" s="320">
        <f t="shared" si="12"/>
        <v>74143278.75</v>
      </c>
      <c r="M273" s="7">
        <f>+Données!F273</f>
        <v>0</v>
      </c>
      <c r="N273" s="7">
        <f>+Données!K273</f>
        <v>964674.35</v>
      </c>
      <c r="O273" s="7">
        <f>(Données!L273/Données!Y273)*1</f>
        <v>4184282.7733333334</v>
      </c>
      <c r="P273" s="320">
        <f t="shared" si="13"/>
        <v>79292235.873333335</v>
      </c>
      <c r="Q273" s="160">
        <f>+Données!X273</f>
        <v>74.5</v>
      </c>
      <c r="R273" s="320">
        <f t="shared" si="14"/>
        <v>1064325.313736018</v>
      </c>
    </row>
    <row r="274" spans="1:18" x14ac:dyDescent="0.25">
      <c r="A274" s="6">
        <f>Données!A274</f>
        <v>5891</v>
      </c>
      <c r="B274" s="26" t="str">
        <f>Données!B274</f>
        <v>Veytaux</v>
      </c>
      <c r="C274" s="7">
        <f>Données!C274+Données!D274</f>
        <v>2421220.44</v>
      </c>
      <c r="D274" s="7">
        <f>+Données!G274+Données!H274+Données!S274</f>
        <v>55497.06</v>
      </c>
      <c r="E274" s="7">
        <f>+Données!E274</f>
        <v>0</v>
      </c>
      <c r="F274" s="7">
        <f>+Données!I274</f>
        <v>0</v>
      </c>
      <c r="G274" s="7">
        <f>+Données!J274</f>
        <v>60219.75</v>
      </c>
      <c r="H274" s="7">
        <f>Données!U274</f>
        <v>-86427.62</v>
      </c>
      <c r="I274" s="144">
        <f>Données!V274</f>
        <v>0</v>
      </c>
      <c r="J274" s="144">
        <f>Données!W274</f>
        <v>-7422.95</v>
      </c>
      <c r="K274" s="7">
        <f>+Données!Q274</f>
        <v>735.6</v>
      </c>
      <c r="L274" s="320">
        <f t="shared" si="12"/>
        <v>2443822.2799999998</v>
      </c>
      <c r="M274" s="7">
        <f>+Données!F274</f>
        <v>0</v>
      </c>
      <c r="N274" s="7">
        <f>+Données!K274</f>
        <v>14975.35</v>
      </c>
      <c r="O274" s="7">
        <f>(Données!L274/Données!Y274)*1</f>
        <v>313302.96666666667</v>
      </c>
      <c r="P274" s="320">
        <f t="shared" si="13"/>
        <v>2772100.5966666667</v>
      </c>
      <c r="Q274" s="160">
        <f>+Données!X274</f>
        <v>67.5</v>
      </c>
      <c r="R274" s="320">
        <f t="shared" si="14"/>
        <v>41068.156987654322</v>
      </c>
    </row>
    <row r="275" spans="1:18" x14ac:dyDescent="0.25">
      <c r="A275" s="6">
        <f>Données!A275</f>
        <v>5892</v>
      </c>
      <c r="B275" s="26" t="str">
        <f>Données!B275</f>
        <v>Blonay - Saint-Légier</v>
      </c>
      <c r="C275" s="7">
        <f>Données!C275+Données!D275</f>
        <v>45799177.159999996</v>
      </c>
      <c r="D275" s="7">
        <f>+Données!G275+Données!H275+Données!S275</f>
        <v>1169832.77</v>
      </c>
      <c r="E275" s="7">
        <f>+Données!E275</f>
        <v>0</v>
      </c>
      <c r="F275" s="7">
        <f>+Données!I275</f>
        <v>1016803.77</v>
      </c>
      <c r="G275" s="7">
        <f>+Données!J275</f>
        <v>214672.09</v>
      </c>
      <c r="H275" s="7">
        <f>Données!U275</f>
        <v>-252666.23</v>
      </c>
      <c r="I275" s="144">
        <f>Données!V275</f>
        <v>0</v>
      </c>
      <c r="J275" s="144">
        <f>Données!W275</f>
        <v>-255047.02</v>
      </c>
      <c r="K275" s="7">
        <f>+Données!Q275</f>
        <v>61560.37</v>
      </c>
      <c r="L275" s="320">
        <f t="shared" si="12"/>
        <v>47754332.910000004</v>
      </c>
      <c r="M275" s="7">
        <f>+Données!F275</f>
        <v>0</v>
      </c>
      <c r="N275" s="7">
        <f>+Données!K275</f>
        <v>176006.45</v>
      </c>
      <c r="O275" s="7">
        <f>(Données!L275/Données!Y275)*1</f>
        <v>3849152.85</v>
      </c>
      <c r="P275" s="320">
        <f t="shared" si="13"/>
        <v>51779492.210000008</v>
      </c>
      <c r="Q275" s="160">
        <f>+Données!X275</f>
        <v>68.5</v>
      </c>
      <c r="R275" s="320">
        <f t="shared" si="14"/>
        <v>755904.99576642353</v>
      </c>
    </row>
    <row r="276" spans="1:18" x14ac:dyDescent="0.25">
      <c r="A276" s="6">
        <f>Données!A276</f>
        <v>5902</v>
      </c>
      <c r="B276" s="26" t="str">
        <f>Données!B276</f>
        <v>Belmont-sur-Yverdon</v>
      </c>
      <c r="C276" s="7">
        <f>Données!C276+Données!D276</f>
        <v>806448.78999999992</v>
      </c>
      <c r="D276" s="7">
        <f>+Données!G276+Données!H276+Données!S276</f>
        <v>1445.15</v>
      </c>
      <c r="E276" s="7">
        <f>+Données!E276</f>
        <v>0</v>
      </c>
      <c r="F276" s="7">
        <f>+Données!I276</f>
        <v>0</v>
      </c>
      <c r="G276" s="7">
        <f>+Données!J276</f>
        <v>-4301.55</v>
      </c>
      <c r="H276" s="7">
        <f>Données!U276</f>
        <v>-13428.12</v>
      </c>
      <c r="I276" s="144">
        <f>Données!V276</f>
        <v>0</v>
      </c>
      <c r="J276" s="144">
        <f>Données!W276</f>
        <v>-36.549999999999997</v>
      </c>
      <c r="K276" s="7">
        <f>+Données!Q276</f>
        <v>174.91</v>
      </c>
      <c r="L276" s="320">
        <f t="shared" si="12"/>
        <v>790302.62999999989</v>
      </c>
      <c r="M276" s="7">
        <f>+Données!F276</f>
        <v>0</v>
      </c>
      <c r="N276" s="7">
        <f>+Données!K276</f>
        <v>0</v>
      </c>
      <c r="O276" s="7">
        <f>(Données!L276/Données!Y276)*1</f>
        <v>74724.5</v>
      </c>
      <c r="P276" s="320">
        <f t="shared" si="13"/>
        <v>865027.12999999989</v>
      </c>
      <c r="Q276" s="160">
        <f>+Données!X276</f>
        <v>70</v>
      </c>
      <c r="R276" s="320">
        <f t="shared" si="14"/>
        <v>12357.530428571426</v>
      </c>
    </row>
    <row r="277" spans="1:18" x14ac:dyDescent="0.25">
      <c r="A277" s="6">
        <f>Données!A277</f>
        <v>5903</v>
      </c>
      <c r="B277" s="26" t="str">
        <f>Données!B277</f>
        <v>Bioley-Magnoux</v>
      </c>
      <c r="C277" s="7">
        <f>Données!C277+Données!D277</f>
        <v>461772.27999999997</v>
      </c>
      <c r="D277" s="7">
        <f>+Données!G277+Données!H277+Données!S277</f>
        <v>1483.1699999999998</v>
      </c>
      <c r="E277" s="7">
        <f>+Données!E277</f>
        <v>0</v>
      </c>
      <c r="F277" s="7">
        <f>+Données!I277</f>
        <v>0</v>
      </c>
      <c r="G277" s="7">
        <f>+Données!J277</f>
        <v>1245.98</v>
      </c>
      <c r="H277" s="7">
        <f>Données!U277</f>
        <v>-1954.47</v>
      </c>
      <c r="I277" s="144">
        <f>Données!V277</f>
        <v>0</v>
      </c>
      <c r="J277" s="144">
        <f>Données!W277</f>
        <v>-166.3</v>
      </c>
      <c r="K277" s="7">
        <f>+Données!Q277</f>
        <v>0</v>
      </c>
      <c r="L277" s="320">
        <f t="shared" si="12"/>
        <v>462380.66</v>
      </c>
      <c r="M277" s="7">
        <f>+Données!F277</f>
        <v>0</v>
      </c>
      <c r="N277" s="7">
        <f>+Données!K277</f>
        <v>0</v>
      </c>
      <c r="O277" s="7">
        <f>(Données!L277/Données!Y277)*1</f>
        <v>43068.928571428572</v>
      </c>
      <c r="P277" s="320">
        <f t="shared" si="13"/>
        <v>505449.58857142855</v>
      </c>
      <c r="Q277" s="160">
        <f>+Données!X277</f>
        <v>72</v>
      </c>
      <c r="R277" s="320">
        <f t="shared" si="14"/>
        <v>7020.1331746031747</v>
      </c>
    </row>
    <row r="278" spans="1:18" x14ac:dyDescent="0.25">
      <c r="A278" s="6">
        <f>Données!A278</f>
        <v>5904</v>
      </c>
      <c r="B278" s="26" t="str">
        <f>Données!B278</f>
        <v>Chamblon</v>
      </c>
      <c r="C278" s="7">
        <f>Données!C278+Données!D278</f>
        <v>986619.28999999992</v>
      </c>
      <c r="D278" s="7">
        <f>+Données!G278+Données!H278+Données!S278</f>
        <v>25592.87</v>
      </c>
      <c r="E278" s="7">
        <f>+Données!E278</f>
        <v>0</v>
      </c>
      <c r="F278" s="7">
        <f>+Données!I278</f>
        <v>0</v>
      </c>
      <c r="G278" s="7">
        <f>+Données!J278</f>
        <v>18476.64</v>
      </c>
      <c r="H278" s="7">
        <f>Données!U278</f>
        <v>-13818.86</v>
      </c>
      <c r="I278" s="144">
        <f>Données!V278</f>
        <v>0</v>
      </c>
      <c r="J278" s="144">
        <f>Données!W278</f>
        <v>-164.37</v>
      </c>
      <c r="K278" s="7">
        <f>+Données!Q278</f>
        <v>5325.11</v>
      </c>
      <c r="L278" s="320">
        <f t="shared" si="12"/>
        <v>1022030.6799999999</v>
      </c>
      <c r="M278" s="7">
        <f>+Données!F278</f>
        <v>0</v>
      </c>
      <c r="N278" s="7">
        <f>+Données!K278</f>
        <v>2416.25</v>
      </c>
      <c r="O278" s="7">
        <f>(Données!L278/Données!Y278)*1</f>
        <v>103785.9</v>
      </c>
      <c r="P278" s="320">
        <f t="shared" si="13"/>
        <v>1128232.8299999998</v>
      </c>
      <c r="Q278" s="160">
        <f>+Données!X278</f>
        <v>66</v>
      </c>
      <c r="R278" s="320">
        <f t="shared" si="14"/>
        <v>17094.436818181817</v>
      </c>
    </row>
    <row r="279" spans="1:18" x14ac:dyDescent="0.25">
      <c r="A279" s="6">
        <f>Données!A279</f>
        <v>5905</v>
      </c>
      <c r="B279" s="26" t="str">
        <f>Données!B279</f>
        <v>Champvent</v>
      </c>
      <c r="C279" s="7">
        <f>Données!C279+Données!D279</f>
        <v>1292087.55</v>
      </c>
      <c r="D279" s="7">
        <f>+Données!G279+Données!H279+Données!S279</f>
        <v>33990</v>
      </c>
      <c r="E279" s="7">
        <f>+Données!E279</f>
        <v>0</v>
      </c>
      <c r="F279" s="7">
        <f>+Données!I279</f>
        <v>0</v>
      </c>
      <c r="G279" s="7">
        <f>+Données!J279</f>
        <v>45619.82</v>
      </c>
      <c r="H279" s="7">
        <f>Données!U279</f>
        <v>-18200.060000000001</v>
      </c>
      <c r="I279" s="144">
        <f>Données!V279</f>
        <v>0</v>
      </c>
      <c r="J279" s="144">
        <f>Données!W279</f>
        <v>0</v>
      </c>
      <c r="K279" s="7">
        <f>+Données!Q279</f>
        <v>0</v>
      </c>
      <c r="L279" s="320">
        <f t="shared" si="12"/>
        <v>1353497.31</v>
      </c>
      <c r="M279" s="7">
        <f>+Données!F279</f>
        <v>0</v>
      </c>
      <c r="N279" s="7">
        <f>+Données!K279</f>
        <v>3646.65</v>
      </c>
      <c r="O279" s="7">
        <f>(Données!L279/Données!Y279)*1</f>
        <v>118057.5</v>
      </c>
      <c r="P279" s="320">
        <f t="shared" si="13"/>
        <v>1475201.46</v>
      </c>
      <c r="Q279" s="160">
        <f>+Données!X279</f>
        <v>70</v>
      </c>
      <c r="R279" s="320">
        <f t="shared" si="14"/>
        <v>21074.306571428569</v>
      </c>
    </row>
    <row r="280" spans="1:18" x14ac:dyDescent="0.25">
      <c r="A280" s="6">
        <f>Données!A280</f>
        <v>5907</v>
      </c>
      <c r="B280" s="26" t="str">
        <f>Données!B280</f>
        <v>Chavannes-le-Chêne</v>
      </c>
      <c r="C280" s="7">
        <f>Données!C280+Données!D280</f>
        <v>523971.80000000005</v>
      </c>
      <c r="D280" s="7">
        <f>+Données!G280+Données!H280+Données!S280</f>
        <v>4605.4500000000007</v>
      </c>
      <c r="E280" s="7">
        <f>+Données!E280</f>
        <v>0</v>
      </c>
      <c r="F280" s="7">
        <f>+Données!I280</f>
        <v>0</v>
      </c>
      <c r="G280" s="7">
        <f>+Données!J280</f>
        <v>6895.64</v>
      </c>
      <c r="H280" s="7">
        <f>Données!U280</f>
        <v>-8183.33</v>
      </c>
      <c r="I280" s="144">
        <f>Données!V280</f>
        <v>0</v>
      </c>
      <c r="J280" s="144">
        <f>Données!W280</f>
        <v>-124.05</v>
      </c>
      <c r="K280" s="7">
        <f>+Données!Q280</f>
        <v>0</v>
      </c>
      <c r="L280" s="320">
        <f t="shared" si="12"/>
        <v>527165.51</v>
      </c>
      <c r="M280" s="7">
        <f>+Données!F280</f>
        <v>2100</v>
      </c>
      <c r="N280" s="7">
        <f>+Données!K280</f>
        <v>630.20000000000005</v>
      </c>
      <c r="O280" s="7">
        <f>(Données!L280/Données!Y280)*1</f>
        <v>54905.7</v>
      </c>
      <c r="P280" s="320">
        <f t="shared" si="13"/>
        <v>584801.40999999992</v>
      </c>
      <c r="Q280" s="160">
        <f>+Données!X280</f>
        <v>75</v>
      </c>
      <c r="R280" s="320">
        <f t="shared" si="14"/>
        <v>7797.3521333333319</v>
      </c>
    </row>
    <row r="281" spans="1:18" x14ac:dyDescent="0.25">
      <c r="A281" s="6">
        <f>Données!A281</f>
        <v>5908</v>
      </c>
      <c r="B281" s="26" t="str">
        <f>Données!B281</f>
        <v>Chêne-Pâquier</v>
      </c>
      <c r="C281" s="7">
        <f>Données!C281+Données!D281</f>
        <v>372060.66000000003</v>
      </c>
      <c r="D281" s="7">
        <f>+Données!G281+Données!H281+Données!S281</f>
        <v>27169.67</v>
      </c>
      <c r="E281" s="7">
        <f>+Données!E281</f>
        <v>0</v>
      </c>
      <c r="F281" s="7">
        <f>+Données!I281</f>
        <v>0</v>
      </c>
      <c r="G281" s="7">
        <f>+Données!J281</f>
        <v>223.38</v>
      </c>
      <c r="H281" s="7">
        <f>Données!U281</f>
        <v>-4347.3999999999996</v>
      </c>
      <c r="I281" s="144">
        <f>Données!V281</f>
        <v>0</v>
      </c>
      <c r="J281" s="144">
        <f>Données!W281</f>
        <v>-111.09</v>
      </c>
      <c r="K281" s="7">
        <f>+Données!Q281</f>
        <v>0</v>
      </c>
      <c r="L281" s="320">
        <f t="shared" si="12"/>
        <v>394995.22</v>
      </c>
      <c r="M281" s="7">
        <f>+Données!F281</f>
        <v>0</v>
      </c>
      <c r="N281" s="7">
        <f>+Données!K281</f>
        <v>92.95</v>
      </c>
      <c r="O281" s="7">
        <f>(Données!L281/Données!Y281)*1</f>
        <v>29714.75</v>
      </c>
      <c r="P281" s="320">
        <f t="shared" si="13"/>
        <v>424802.92</v>
      </c>
      <c r="Q281" s="160">
        <f>+Données!X281</f>
        <v>75</v>
      </c>
      <c r="R281" s="320">
        <f t="shared" si="14"/>
        <v>5664.0389333333333</v>
      </c>
    </row>
    <row r="282" spans="1:18" x14ac:dyDescent="0.25">
      <c r="A282" s="6">
        <f>Données!A282</f>
        <v>5909</v>
      </c>
      <c r="B282" s="26" t="str">
        <f>Données!B282</f>
        <v>Cheseaux-Noréaz</v>
      </c>
      <c r="C282" s="7">
        <f>Données!C282+Données!D282</f>
        <v>1915837.58</v>
      </c>
      <c r="D282" s="7">
        <f>+Données!G282+Données!H282+Données!S282</f>
        <v>-105.05</v>
      </c>
      <c r="E282" s="7">
        <f>+Données!E282</f>
        <v>0</v>
      </c>
      <c r="F282" s="7">
        <f>+Données!I282</f>
        <v>0</v>
      </c>
      <c r="G282" s="7">
        <f>+Données!J282</f>
        <v>18425.22</v>
      </c>
      <c r="H282" s="7">
        <f>Données!U282</f>
        <v>-371.35</v>
      </c>
      <c r="I282" s="144">
        <f>Données!V282</f>
        <v>0</v>
      </c>
      <c r="J282" s="144">
        <f>Données!W282</f>
        <v>-2144.1999999999998</v>
      </c>
      <c r="K282" s="7">
        <f>+Données!Q282</f>
        <v>4.75</v>
      </c>
      <c r="L282" s="320">
        <f t="shared" si="12"/>
        <v>1931646.95</v>
      </c>
      <c r="M282" s="7">
        <f>+Données!F282</f>
        <v>0</v>
      </c>
      <c r="N282" s="7">
        <f>+Données!K282</f>
        <v>372.5</v>
      </c>
      <c r="O282" s="7">
        <f>(Données!L282/Données!Y282)*1</f>
        <v>178780.6</v>
      </c>
      <c r="P282" s="320">
        <f t="shared" si="13"/>
        <v>2110800.0499999998</v>
      </c>
      <c r="Q282" s="160">
        <f>+Données!X282</f>
        <v>67</v>
      </c>
      <c r="R282" s="320">
        <f t="shared" si="14"/>
        <v>31504.478358208951</v>
      </c>
    </row>
    <row r="283" spans="1:18" x14ac:dyDescent="0.25">
      <c r="A283" s="6">
        <f>Données!A283</f>
        <v>5910</v>
      </c>
      <c r="B283" s="26" t="str">
        <f>Données!B283</f>
        <v>Cronay</v>
      </c>
      <c r="C283" s="7">
        <f>Données!C283+Données!D283</f>
        <v>795772.65</v>
      </c>
      <c r="D283" s="7">
        <f>+Données!G283+Données!H283+Données!S283</f>
        <v>-724.07999999999993</v>
      </c>
      <c r="E283" s="7">
        <f>+Données!E283</f>
        <v>0</v>
      </c>
      <c r="F283" s="7">
        <f>+Données!I283</f>
        <v>0</v>
      </c>
      <c r="G283" s="7">
        <f>+Données!J283</f>
        <v>4407.4799999999996</v>
      </c>
      <c r="H283" s="7">
        <f>Données!U283</f>
        <v>-7129.16</v>
      </c>
      <c r="I283" s="144">
        <f>Données!V283</f>
        <v>0</v>
      </c>
      <c r="J283" s="144">
        <f>Données!W283</f>
        <v>0</v>
      </c>
      <c r="K283" s="7">
        <f>+Données!Q283</f>
        <v>0</v>
      </c>
      <c r="L283" s="320">
        <f t="shared" si="12"/>
        <v>792326.89</v>
      </c>
      <c r="M283" s="7">
        <f>+Données!F283</f>
        <v>2550</v>
      </c>
      <c r="N283" s="7">
        <f>+Données!K283</f>
        <v>0</v>
      </c>
      <c r="O283" s="7">
        <f>(Données!L283/Données!Y283)*1</f>
        <v>68459.850000000006</v>
      </c>
      <c r="P283" s="320">
        <f t="shared" si="13"/>
        <v>863336.74</v>
      </c>
      <c r="Q283" s="160">
        <f>+Données!X283</f>
        <v>75</v>
      </c>
      <c r="R283" s="320">
        <f t="shared" si="14"/>
        <v>11511.156533333333</v>
      </c>
    </row>
    <row r="284" spans="1:18" x14ac:dyDescent="0.25">
      <c r="A284" s="6">
        <f>Données!A284</f>
        <v>5911</v>
      </c>
      <c r="B284" s="26" t="str">
        <f>Données!B284</f>
        <v>Cuarny</v>
      </c>
      <c r="C284" s="7">
        <f>Données!C284+Données!D284</f>
        <v>498372.72000000003</v>
      </c>
      <c r="D284" s="7">
        <f>+Données!G284+Données!H284+Données!S284</f>
        <v>11387.21</v>
      </c>
      <c r="E284" s="7">
        <f>+Données!E284</f>
        <v>0</v>
      </c>
      <c r="F284" s="7">
        <f>+Données!I284</f>
        <v>0</v>
      </c>
      <c r="G284" s="7">
        <f>+Données!J284</f>
        <v>129.72</v>
      </c>
      <c r="H284" s="7">
        <f>Données!U284</f>
        <v>-5470.91</v>
      </c>
      <c r="I284" s="144">
        <f>Données!V284</f>
        <v>0</v>
      </c>
      <c r="J284" s="144">
        <f>Données!W284</f>
        <v>-160</v>
      </c>
      <c r="K284" s="7">
        <f>+Données!Q284</f>
        <v>45.33</v>
      </c>
      <c r="L284" s="320">
        <f t="shared" si="12"/>
        <v>504304.07000000007</v>
      </c>
      <c r="M284" s="7">
        <f>+Données!F284</f>
        <v>1550</v>
      </c>
      <c r="N284" s="7">
        <f>+Données!K284</f>
        <v>2200.0500000000002</v>
      </c>
      <c r="O284" s="7">
        <f>(Données!L284/Données!Y284)*1</f>
        <v>36562.699999999997</v>
      </c>
      <c r="P284" s="320">
        <f t="shared" si="13"/>
        <v>544616.82000000007</v>
      </c>
      <c r="Q284" s="160">
        <f>+Données!X284</f>
        <v>77</v>
      </c>
      <c r="R284" s="320">
        <f t="shared" si="14"/>
        <v>7072.9457142857154</v>
      </c>
    </row>
    <row r="285" spans="1:18" x14ac:dyDescent="0.25">
      <c r="A285" s="6">
        <f>Données!A285</f>
        <v>5912</v>
      </c>
      <c r="B285" s="26" t="str">
        <f>Données!B285</f>
        <v>Démoret</v>
      </c>
      <c r="C285" s="7">
        <f>Données!C285+Données!D285</f>
        <v>262809.62</v>
      </c>
      <c r="D285" s="7">
        <f>+Données!G285+Données!H285+Données!S285</f>
        <v>20221.920000000002</v>
      </c>
      <c r="E285" s="7">
        <f>+Données!E285</f>
        <v>0</v>
      </c>
      <c r="F285" s="7">
        <f>+Données!I285</f>
        <v>0</v>
      </c>
      <c r="G285" s="7">
        <f>+Données!J285</f>
        <v>11603.14</v>
      </c>
      <c r="H285" s="7">
        <f>Données!U285</f>
        <v>-3683.95</v>
      </c>
      <c r="I285" s="144">
        <f>Données!V285</f>
        <v>0</v>
      </c>
      <c r="J285" s="144">
        <f>Données!W285</f>
        <v>0</v>
      </c>
      <c r="K285" s="7">
        <f>+Données!Q285</f>
        <v>0</v>
      </c>
      <c r="L285" s="320">
        <f t="shared" si="12"/>
        <v>290950.73</v>
      </c>
      <c r="M285" s="7">
        <f>+Données!F285</f>
        <v>931.7</v>
      </c>
      <c r="N285" s="7">
        <f>+Données!K285</f>
        <v>0</v>
      </c>
      <c r="O285" s="7">
        <f>(Données!L285/Données!Y285)*1</f>
        <v>24338.400000000001</v>
      </c>
      <c r="P285" s="320">
        <f t="shared" si="13"/>
        <v>316220.83</v>
      </c>
      <c r="Q285" s="160">
        <f>+Données!X285</f>
        <v>78</v>
      </c>
      <c r="R285" s="320">
        <f t="shared" si="14"/>
        <v>4054.1132051282052</v>
      </c>
    </row>
    <row r="286" spans="1:18" x14ac:dyDescent="0.25">
      <c r="A286" s="6">
        <f>Données!A286</f>
        <v>5913</v>
      </c>
      <c r="B286" s="26" t="str">
        <f>Données!B286</f>
        <v>Donneloye</v>
      </c>
      <c r="C286" s="7">
        <f>Données!C286+Données!D286</f>
        <v>1417686.5399999998</v>
      </c>
      <c r="D286" s="7">
        <f>+Données!G286+Données!H286+Données!S286</f>
        <v>25418.1</v>
      </c>
      <c r="E286" s="7">
        <f>+Données!E286</f>
        <v>0</v>
      </c>
      <c r="F286" s="7">
        <f>+Données!I286</f>
        <v>0</v>
      </c>
      <c r="G286" s="7">
        <f>+Données!J286</f>
        <v>27591.71</v>
      </c>
      <c r="H286" s="7">
        <f>Données!U286</f>
        <v>-9990.3700000000008</v>
      </c>
      <c r="I286" s="144">
        <f>Données!V286</f>
        <v>0</v>
      </c>
      <c r="J286" s="144">
        <f>Données!W286</f>
        <v>-422.2</v>
      </c>
      <c r="K286" s="7">
        <f>+Données!Q286</f>
        <v>0</v>
      </c>
      <c r="L286" s="320">
        <f t="shared" si="12"/>
        <v>1460283.7799999998</v>
      </c>
      <c r="M286" s="7">
        <f>+Données!F286</f>
        <v>0</v>
      </c>
      <c r="N286" s="7">
        <f>+Données!K286</f>
        <v>1401.7</v>
      </c>
      <c r="O286" s="7">
        <f>(Données!L286/Données!Y286)*1</f>
        <v>134590.54999999999</v>
      </c>
      <c r="P286" s="320">
        <f t="shared" si="13"/>
        <v>1596276.0299999998</v>
      </c>
      <c r="Q286" s="160">
        <f>+Données!X286</f>
        <v>73</v>
      </c>
      <c r="R286" s="320">
        <f t="shared" si="14"/>
        <v>21866.794931506847</v>
      </c>
    </row>
    <row r="287" spans="1:18" x14ac:dyDescent="0.25">
      <c r="A287" s="6">
        <f>Données!A287</f>
        <v>5914</v>
      </c>
      <c r="B287" s="26" t="str">
        <f>Données!B287</f>
        <v>Ependes</v>
      </c>
      <c r="C287" s="7">
        <f>Données!C287+Données!D287</f>
        <v>680511.34</v>
      </c>
      <c r="D287" s="7">
        <f>+Données!G287+Données!H287+Données!S287</f>
        <v>17232.38</v>
      </c>
      <c r="E287" s="7">
        <f>+Données!E287</f>
        <v>0</v>
      </c>
      <c r="F287" s="7">
        <f>+Données!I287</f>
        <v>0</v>
      </c>
      <c r="G287" s="7">
        <f>+Données!J287</f>
        <v>15354.84</v>
      </c>
      <c r="H287" s="7">
        <f>Données!U287</f>
        <v>-13293.4</v>
      </c>
      <c r="I287" s="144">
        <f>Données!V287</f>
        <v>0</v>
      </c>
      <c r="J287" s="144">
        <f>Données!W287</f>
        <v>0</v>
      </c>
      <c r="K287" s="7">
        <f>+Données!Q287</f>
        <v>1217.06</v>
      </c>
      <c r="L287" s="320">
        <f t="shared" si="12"/>
        <v>701022.22</v>
      </c>
      <c r="M287" s="7">
        <f>+Données!F287</f>
        <v>2200</v>
      </c>
      <c r="N287" s="7">
        <f>+Données!K287</f>
        <v>7972.35</v>
      </c>
      <c r="O287" s="7">
        <f>(Données!L287/Données!Y287)*1</f>
        <v>68369.850000000006</v>
      </c>
      <c r="P287" s="320">
        <f t="shared" si="13"/>
        <v>779564.41999999993</v>
      </c>
      <c r="Q287" s="160">
        <f>+Données!X287</f>
        <v>73.5</v>
      </c>
      <c r="R287" s="320">
        <f t="shared" si="14"/>
        <v>10606.318639455782</v>
      </c>
    </row>
    <row r="288" spans="1:18" x14ac:dyDescent="0.25">
      <c r="A288" s="6">
        <f>Données!A288</f>
        <v>5919</v>
      </c>
      <c r="B288" s="26" t="str">
        <f>Données!B288</f>
        <v>Mathod</v>
      </c>
      <c r="C288" s="7">
        <f>Données!C288+Données!D288</f>
        <v>1328735.29</v>
      </c>
      <c r="D288" s="7">
        <f>+Données!G288+Données!H288+Données!S288</f>
        <v>22337.07</v>
      </c>
      <c r="E288" s="7">
        <f>+Données!E288</f>
        <v>0</v>
      </c>
      <c r="F288" s="7">
        <f>+Données!I288</f>
        <v>0</v>
      </c>
      <c r="G288" s="7">
        <f>+Données!J288</f>
        <v>46400.98</v>
      </c>
      <c r="H288" s="7">
        <f>Données!U288</f>
        <v>-11314.42</v>
      </c>
      <c r="I288" s="144">
        <f>Données!V288</f>
        <v>0</v>
      </c>
      <c r="J288" s="144">
        <f>Données!W288</f>
        <v>0</v>
      </c>
      <c r="K288" s="7">
        <f>+Données!Q288</f>
        <v>0</v>
      </c>
      <c r="L288" s="320">
        <f t="shared" si="12"/>
        <v>1386158.9200000002</v>
      </c>
      <c r="M288" s="7">
        <f>+Données!F288</f>
        <v>4340</v>
      </c>
      <c r="N288" s="7">
        <f>+Données!K288</f>
        <v>12392.15</v>
      </c>
      <c r="O288" s="7">
        <f>(Données!L288/Données!Y288)*1</f>
        <v>140139.16666666669</v>
      </c>
      <c r="P288" s="320">
        <f t="shared" si="13"/>
        <v>1543030.2366666668</v>
      </c>
      <c r="Q288" s="160">
        <f>+Données!X288</f>
        <v>72</v>
      </c>
      <c r="R288" s="320">
        <f t="shared" si="14"/>
        <v>21430.97550925926</v>
      </c>
    </row>
    <row r="289" spans="1:18" x14ac:dyDescent="0.25">
      <c r="A289" s="6">
        <f>Données!A289</f>
        <v>5921</v>
      </c>
      <c r="B289" s="26" t="str">
        <f>Données!B289</f>
        <v>Molondin</v>
      </c>
      <c r="C289" s="7">
        <f>Données!C289+Données!D289</f>
        <v>592445.09000000008</v>
      </c>
      <c r="D289" s="7">
        <f>+Données!G289+Données!H289+Données!S289</f>
        <v>45864.490000000005</v>
      </c>
      <c r="E289" s="7">
        <f>+Données!E289</f>
        <v>0</v>
      </c>
      <c r="F289" s="7">
        <f>+Données!I289</f>
        <v>0</v>
      </c>
      <c r="G289" s="7">
        <f>+Données!J289</f>
        <v>8943.15</v>
      </c>
      <c r="H289" s="7">
        <f>Données!U289</f>
        <v>-9076.84</v>
      </c>
      <c r="I289" s="144">
        <f>Données!V289</f>
        <v>0</v>
      </c>
      <c r="J289" s="144">
        <f>Données!W289</f>
        <v>0.2</v>
      </c>
      <c r="K289" s="7">
        <f>+Données!Q289</f>
        <v>0</v>
      </c>
      <c r="L289" s="320">
        <f t="shared" si="12"/>
        <v>638176.09000000008</v>
      </c>
      <c r="M289" s="7">
        <f>+Données!F289</f>
        <v>1604.05</v>
      </c>
      <c r="N289" s="7">
        <f>+Données!K289</f>
        <v>0</v>
      </c>
      <c r="O289" s="7">
        <f>(Données!L289/Données!Y289)*1</f>
        <v>42721.55</v>
      </c>
      <c r="P289" s="320">
        <f t="shared" si="13"/>
        <v>682501.69000000018</v>
      </c>
      <c r="Q289" s="160">
        <f>+Données!X289</f>
        <v>81</v>
      </c>
      <c r="R289" s="320">
        <f t="shared" si="14"/>
        <v>8425.9467901234584</v>
      </c>
    </row>
    <row r="290" spans="1:18" x14ac:dyDescent="0.25">
      <c r="A290" s="6">
        <f>Données!A290</f>
        <v>5922</v>
      </c>
      <c r="B290" s="26" t="str">
        <f>Données!B290</f>
        <v>Montagny-près-Yverdon</v>
      </c>
      <c r="C290" s="7">
        <f>Données!C290+Données!D290</f>
        <v>1532969.6099999999</v>
      </c>
      <c r="D290" s="7">
        <f>+Données!G290+Données!H290+Données!S290</f>
        <v>579285.52999999991</v>
      </c>
      <c r="E290" s="7">
        <f>+Données!E290</f>
        <v>0</v>
      </c>
      <c r="F290" s="7">
        <f>+Données!I290</f>
        <v>0</v>
      </c>
      <c r="G290" s="7">
        <f>+Données!J290</f>
        <v>101007.41</v>
      </c>
      <c r="H290" s="7">
        <f>Données!U290</f>
        <v>-25397.3</v>
      </c>
      <c r="I290" s="144">
        <f>Données!V290</f>
        <v>0</v>
      </c>
      <c r="J290" s="144">
        <f>Données!W290</f>
        <v>-588.54999999999995</v>
      </c>
      <c r="K290" s="7">
        <f>+Données!Q290</f>
        <v>7476.43</v>
      </c>
      <c r="L290" s="320">
        <f t="shared" si="12"/>
        <v>2194753.1300000004</v>
      </c>
      <c r="M290" s="7">
        <f>+Données!F290</f>
        <v>0</v>
      </c>
      <c r="N290" s="7">
        <f>+Données!K290</f>
        <v>66696.75</v>
      </c>
      <c r="O290" s="7">
        <f>(Données!L290/Données!Y290)*1</f>
        <v>369186.37499999994</v>
      </c>
      <c r="P290" s="320">
        <f t="shared" si="13"/>
        <v>2630636.2550000004</v>
      </c>
      <c r="Q290" s="160">
        <f>+Données!X290</f>
        <v>64.5</v>
      </c>
      <c r="R290" s="320">
        <f t="shared" si="14"/>
        <v>40785.058217054269</v>
      </c>
    </row>
    <row r="291" spans="1:18" x14ac:dyDescent="0.25">
      <c r="A291" s="6">
        <f>Données!A291</f>
        <v>5923</v>
      </c>
      <c r="B291" s="26" t="str">
        <f>Données!B291</f>
        <v>Oppens</v>
      </c>
      <c r="C291" s="7">
        <f>Données!C291+Données!D291</f>
        <v>407819.79</v>
      </c>
      <c r="D291" s="7">
        <f>+Données!G291+Données!H291+Données!S291</f>
        <v>838.40000000000009</v>
      </c>
      <c r="E291" s="7">
        <f>+Données!E291</f>
        <v>0</v>
      </c>
      <c r="F291" s="7">
        <f>+Données!I291</f>
        <v>0</v>
      </c>
      <c r="G291" s="7">
        <f>+Données!J291</f>
        <v>15704.68</v>
      </c>
      <c r="H291" s="7">
        <f>Données!U291</f>
        <v>-2856.13</v>
      </c>
      <c r="I291" s="144">
        <f>Données!V291</f>
        <v>0</v>
      </c>
      <c r="J291" s="144">
        <f>Données!W291</f>
        <v>0</v>
      </c>
      <c r="K291" s="7">
        <f>+Données!Q291</f>
        <v>0</v>
      </c>
      <c r="L291" s="320">
        <f t="shared" si="12"/>
        <v>421506.74</v>
      </c>
      <c r="M291" s="7">
        <f>+Données!F291</f>
        <v>0</v>
      </c>
      <c r="N291" s="7">
        <f>+Données!K291</f>
        <v>0</v>
      </c>
      <c r="O291" s="7">
        <f>(Données!L291/Données!Y291)*1</f>
        <v>27501.7</v>
      </c>
      <c r="P291" s="320">
        <f t="shared" si="13"/>
        <v>449008.44</v>
      </c>
      <c r="Q291" s="160">
        <f>+Données!X291</f>
        <v>79</v>
      </c>
      <c r="R291" s="320">
        <f t="shared" si="14"/>
        <v>5683.6511392405064</v>
      </c>
    </row>
    <row r="292" spans="1:18" x14ac:dyDescent="0.25">
      <c r="A292" s="6">
        <f>Données!A292</f>
        <v>5924</v>
      </c>
      <c r="B292" s="26" t="str">
        <f>Données!B292</f>
        <v>Orges</v>
      </c>
      <c r="C292" s="7">
        <f>Données!C292+Données!D292</f>
        <v>905903.73</v>
      </c>
      <c r="D292" s="7">
        <f>+Données!G292+Données!H292+Données!S292</f>
        <v>-4372.1499999999996</v>
      </c>
      <c r="E292" s="7">
        <f>+Données!E292</f>
        <v>0</v>
      </c>
      <c r="F292" s="7">
        <f>+Données!I292</f>
        <v>0</v>
      </c>
      <c r="G292" s="7">
        <f>+Données!J292</f>
        <v>15030.38</v>
      </c>
      <c r="H292" s="7">
        <f>Données!U292</f>
        <v>-1321.63</v>
      </c>
      <c r="I292" s="144">
        <f>Données!V292</f>
        <v>0</v>
      </c>
      <c r="J292" s="144">
        <f>Données!W292</f>
        <v>-155.5</v>
      </c>
      <c r="K292" s="7">
        <f>+Données!Q292</f>
        <v>963.72</v>
      </c>
      <c r="L292" s="320">
        <f t="shared" si="12"/>
        <v>916048.54999999993</v>
      </c>
      <c r="M292" s="7">
        <f>+Données!F292</f>
        <v>0</v>
      </c>
      <c r="N292" s="7">
        <f>+Données!K292</f>
        <v>0</v>
      </c>
      <c r="O292" s="7">
        <f>(Données!L292/Données!Y292)*1</f>
        <v>65587.45</v>
      </c>
      <c r="P292" s="320">
        <f t="shared" si="13"/>
        <v>981635.99999999988</v>
      </c>
      <c r="Q292" s="160">
        <f>+Données!X292</f>
        <v>74</v>
      </c>
      <c r="R292" s="320">
        <f t="shared" si="14"/>
        <v>13265.35135135135</v>
      </c>
    </row>
    <row r="293" spans="1:18" x14ac:dyDescent="0.25">
      <c r="A293" s="6">
        <f>Données!A293</f>
        <v>5925</v>
      </c>
      <c r="B293" s="26" t="str">
        <f>Données!B293</f>
        <v>Orzens</v>
      </c>
      <c r="C293" s="7">
        <f>Données!C293+Données!D293</f>
        <v>377191.77</v>
      </c>
      <c r="D293" s="7">
        <f>+Données!G293+Données!H293+Données!S293</f>
        <v>-14047.78</v>
      </c>
      <c r="E293" s="7">
        <f>+Données!E293</f>
        <v>0</v>
      </c>
      <c r="F293" s="7">
        <f>+Données!I293</f>
        <v>0</v>
      </c>
      <c r="G293" s="7">
        <f>+Données!J293</f>
        <v>8313.44</v>
      </c>
      <c r="H293" s="7">
        <f>Données!U293</f>
        <v>-9270.2199999999993</v>
      </c>
      <c r="I293" s="144">
        <f>Données!V293</f>
        <v>0</v>
      </c>
      <c r="J293" s="144">
        <f>Données!W293</f>
        <v>-396.7</v>
      </c>
      <c r="K293" s="7">
        <f>+Données!Q293</f>
        <v>0</v>
      </c>
      <c r="L293" s="320">
        <f t="shared" si="12"/>
        <v>361790.51</v>
      </c>
      <c r="M293" s="7">
        <f>+Données!F293</f>
        <v>1220</v>
      </c>
      <c r="N293" s="7">
        <f>+Données!K293</f>
        <v>0</v>
      </c>
      <c r="O293" s="7">
        <f>(Données!L293/Données!Y293)*1</f>
        <v>36364.050000000003</v>
      </c>
      <c r="P293" s="320">
        <f t="shared" si="13"/>
        <v>399374.56</v>
      </c>
      <c r="Q293" s="160">
        <f>+Données!X293</f>
        <v>79</v>
      </c>
      <c r="R293" s="320">
        <f t="shared" si="14"/>
        <v>5055.3741772151898</v>
      </c>
    </row>
    <row r="294" spans="1:18" x14ac:dyDescent="0.25">
      <c r="A294" s="6">
        <f>Données!A294</f>
        <v>5926</v>
      </c>
      <c r="B294" s="26" t="str">
        <f>Données!B294</f>
        <v>Pomy</v>
      </c>
      <c r="C294" s="7">
        <f>Données!C294+Données!D294</f>
        <v>1692187.5100000002</v>
      </c>
      <c r="D294" s="7">
        <f>+Données!G294+Données!H294+Données!S294</f>
        <v>43267.820000000007</v>
      </c>
      <c r="E294" s="7">
        <f>+Données!E294</f>
        <v>0</v>
      </c>
      <c r="F294" s="7">
        <f>+Données!I294</f>
        <v>0</v>
      </c>
      <c r="G294" s="7">
        <f>+Données!J294</f>
        <v>32929.17</v>
      </c>
      <c r="H294" s="7">
        <f>Données!U294</f>
        <v>-29736.79</v>
      </c>
      <c r="I294" s="144">
        <f>Données!V294</f>
        <v>0</v>
      </c>
      <c r="J294" s="144">
        <f>Données!W294</f>
        <v>-389.6</v>
      </c>
      <c r="K294" s="7">
        <f>+Données!Q294</f>
        <v>0</v>
      </c>
      <c r="L294" s="320">
        <f t="shared" si="12"/>
        <v>1738258.11</v>
      </c>
      <c r="M294" s="7">
        <f>+Données!F294</f>
        <v>0</v>
      </c>
      <c r="N294" s="7">
        <f>+Données!K294</f>
        <v>0</v>
      </c>
      <c r="O294" s="7">
        <f>(Données!L294/Données!Y294)*1</f>
        <v>153636.85</v>
      </c>
      <c r="P294" s="320">
        <f t="shared" si="13"/>
        <v>1891894.9600000002</v>
      </c>
      <c r="Q294" s="160">
        <f>+Données!X294</f>
        <v>71</v>
      </c>
      <c r="R294" s="320">
        <f t="shared" si="14"/>
        <v>26646.407887323945</v>
      </c>
    </row>
    <row r="295" spans="1:18" x14ac:dyDescent="0.25">
      <c r="A295" s="6">
        <f>Données!A295</f>
        <v>5928</v>
      </c>
      <c r="B295" s="26" t="str">
        <f>Données!B295</f>
        <v>Rovray</v>
      </c>
      <c r="C295" s="7">
        <f>Données!C295+Données!D295</f>
        <v>388900.81999999995</v>
      </c>
      <c r="D295" s="7">
        <f>+Données!G295+Données!H295+Données!S295</f>
        <v>17029.2</v>
      </c>
      <c r="E295" s="7">
        <f>+Données!E295</f>
        <v>0</v>
      </c>
      <c r="F295" s="7">
        <f>+Données!I295</f>
        <v>0</v>
      </c>
      <c r="G295" s="7">
        <f>+Données!J295</f>
        <v>4328.16</v>
      </c>
      <c r="H295" s="7">
        <f>Données!U295</f>
        <v>-1418.27</v>
      </c>
      <c r="I295" s="144">
        <f>Données!V295</f>
        <v>0</v>
      </c>
      <c r="J295" s="144">
        <f>Données!W295</f>
        <v>0</v>
      </c>
      <c r="K295" s="7">
        <f>+Données!Q295</f>
        <v>0</v>
      </c>
      <c r="L295" s="320">
        <f t="shared" si="12"/>
        <v>408839.90999999992</v>
      </c>
      <c r="M295" s="7">
        <f>+Données!F295</f>
        <v>0</v>
      </c>
      <c r="N295" s="7">
        <f>+Données!K295</f>
        <v>0</v>
      </c>
      <c r="O295" s="7">
        <f>(Données!L295/Données!Y295)*1</f>
        <v>28947</v>
      </c>
      <c r="P295" s="320">
        <f t="shared" si="13"/>
        <v>437786.90999999992</v>
      </c>
      <c r="Q295" s="160">
        <f>+Données!X295</f>
        <v>73</v>
      </c>
      <c r="R295" s="320">
        <f t="shared" si="14"/>
        <v>5997.0809589041082</v>
      </c>
    </row>
    <row r="296" spans="1:18" x14ac:dyDescent="0.25">
      <c r="A296" s="6">
        <f>Données!A296</f>
        <v>5929</v>
      </c>
      <c r="B296" s="26" t="str">
        <f>Données!B296</f>
        <v>Suchy</v>
      </c>
      <c r="C296" s="7">
        <f>Données!C296+Données!D296</f>
        <v>1395802.5699999998</v>
      </c>
      <c r="D296" s="7">
        <f>+Données!G296+Données!H296+Données!S296</f>
        <v>5819.44</v>
      </c>
      <c r="E296" s="7">
        <f>+Données!E296</f>
        <v>0</v>
      </c>
      <c r="F296" s="7">
        <f>+Données!I296</f>
        <v>70371</v>
      </c>
      <c r="G296" s="7">
        <f>+Données!J296</f>
        <v>23013.62</v>
      </c>
      <c r="H296" s="7">
        <f>Données!U296</f>
        <v>-9611.02</v>
      </c>
      <c r="I296" s="144">
        <f>Données!V296</f>
        <v>0</v>
      </c>
      <c r="J296" s="144">
        <f>Données!W296</f>
        <v>0</v>
      </c>
      <c r="K296" s="7">
        <f>+Données!Q296</f>
        <v>175.56</v>
      </c>
      <c r="L296" s="320">
        <f t="shared" si="12"/>
        <v>1485571.17</v>
      </c>
      <c r="M296" s="7">
        <f>+Données!F296</f>
        <v>0</v>
      </c>
      <c r="N296" s="7">
        <f>+Données!K296</f>
        <v>0</v>
      </c>
      <c r="O296" s="7">
        <f>(Données!L296/Données!Y296)*1</f>
        <v>121526.43749999999</v>
      </c>
      <c r="P296" s="320">
        <f t="shared" si="13"/>
        <v>1607097.6074999999</v>
      </c>
      <c r="Q296" s="160">
        <f>+Données!X296</f>
        <v>70</v>
      </c>
      <c r="R296" s="320">
        <f t="shared" si="14"/>
        <v>22958.537249999998</v>
      </c>
    </row>
    <row r="297" spans="1:18" s="146" customFormat="1" x14ac:dyDescent="0.25">
      <c r="A297" s="6">
        <f>Données!A297</f>
        <v>5930</v>
      </c>
      <c r="B297" s="26" t="str">
        <f>Données!B297</f>
        <v>Suscévaz</v>
      </c>
      <c r="C297" s="7">
        <f>Données!C297+Données!D297</f>
        <v>322886.12</v>
      </c>
      <c r="D297" s="7">
        <f>+Données!G297+Données!H297+Données!S297</f>
        <v>-274.60000000000002</v>
      </c>
      <c r="E297" s="7">
        <f>+Données!E297</f>
        <v>0</v>
      </c>
      <c r="F297" s="7">
        <f>+Données!I297</f>
        <v>0</v>
      </c>
      <c r="G297" s="7">
        <f>+Données!J297</f>
        <v>15181.11</v>
      </c>
      <c r="H297" s="7">
        <f>Données!U297</f>
        <v>-3787.72</v>
      </c>
      <c r="I297" s="144">
        <f>Données!V297</f>
        <v>0</v>
      </c>
      <c r="J297" s="144">
        <f>Données!W297</f>
        <v>0</v>
      </c>
      <c r="K297" s="7">
        <f>+Données!Q297</f>
        <v>0</v>
      </c>
      <c r="L297" s="320">
        <f t="shared" si="12"/>
        <v>334004.91000000003</v>
      </c>
      <c r="M297" s="7">
        <f>+Données!F297</f>
        <v>1150</v>
      </c>
      <c r="N297" s="7">
        <f>+Données!K297</f>
        <v>944.1</v>
      </c>
      <c r="O297" s="7">
        <f>(Données!L297/Données!Y297)*1</f>
        <v>32768.949999999997</v>
      </c>
      <c r="P297" s="320">
        <f t="shared" si="13"/>
        <v>368867.96</v>
      </c>
      <c r="Q297" s="160">
        <f>+Données!X297</f>
        <v>72</v>
      </c>
      <c r="R297" s="320">
        <f t="shared" si="14"/>
        <v>5123.1661111111116</v>
      </c>
    </row>
    <row r="298" spans="1:18" x14ac:dyDescent="0.25">
      <c r="A298" s="6">
        <f>Données!A298</f>
        <v>5931</v>
      </c>
      <c r="B298" s="26" t="str">
        <f>Données!B298</f>
        <v>Treycovagnes</v>
      </c>
      <c r="C298" s="7">
        <f>Données!C298+Données!D298</f>
        <v>1026525.8099999999</v>
      </c>
      <c r="D298" s="7">
        <f>+Données!G298+Données!H298+Données!S298</f>
        <v>63226.060000000005</v>
      </c>
      <c r="E298" s="7">
        <f>+Données!E298</f>
        <v>0</v>
      </c>
      <c r="F298" s="7">
        <f>+Données!I298</f>
        <v>0</v>
      </c>
      <c r="G298" s="7">
        <f>+Données!J298</f>
        <v>22066.43</v>
      </c>
      <c r="H298" s="7">
        <f>Données!U298</f>
        <v>-2128.6799999999998</v>
      </c>
      <c r="I298" s="144">
        <f>Données!V298</f>
        <v>0</v>
      </c>
      <c r="J298" s="144">
        <f>Données!W298</f>
        <v>-22.4</v>
      </c>
      <c r="K298" s="7">
        <f>+Données!Q298</f>
        <v>0</v>
      </c>
      <c r="L298" s="320">
        <f t="shared" si="12"/>
        <v>1109667.22</v>
      </c>
      <c r="M298" s="7">
        <f>+Données!F298</f>
        <v>0</v>
      </c>
      <c r="N298" s="7">
        <f>+Données!K298</f>
        <v>1328.4</v>
      </c>
      <c r="O298" s="7">
        <f>(Données!L298/Données!Y298)*1</f>
        <v>92744.75</v>
      </c>
      <c r="P298" s="320">
        <f t="shared" si="13"/>
        <v>1203740.3699999999</v>
      </c>
      <c r="Q298" s="160">
        <f>+Données!X298</f>
        <v>73</v>
      </c>
      <c r="R298" s="320">
        <f t="shared" si="14"/>
        <v>16489.594109589041</v>
      </c>
    </row>
    <row r="299" spans="1:18" x14ac:dyDescent="0.25">
      <c r="A299" s="6">
        <f>Données!A299</f>
        <v>5932</v>
      </c>
      <c r="B299" s="26" t="str">
        <f>Données!B299</f>
        <v>Ursins</v>
      </c>
      <c r="C299" s="7">
        <f>Données!C299+Données!D299</f>
        <v>613454.30000000005</v>
      </c>
      <c r="D299" s="7">
        <f>+Données!G299+Données!H299+Données!S299</f>
        <v>2482.6799999999998</v>
      </c>
      <c r="E299" s="7">
        <f>+Données!E299</f>
        <v>0</v>
      </c>
      <c r="F299" s="7">
        <f>+Données!I299</f>
        <v>44745.65</v>
      </c>
      <c r="G299" s="7">
        <f>+Données!J299</f>
        <v>6552.82</v>
      </c>
      <c r="H299" s="7">
        <f>Données!U299</f>
        <v>-10879.26</v>
      </c>
      <c r="I299" s="144">
        <f>Données!V299</f>
        <v>0</v>
      </c>
      <c r="J299" s="144">
        <f>Données!W299</f>
        <v>-111.45</v>
      </c>
      <c r="K299" s="7">
        <f>+Données!Q299</f>
        <v>4403.49</v>
      </c>
      <c r="L299" s="320">
        <f t="shared" si="12"/>
        <v>660648.2300000001</v>
      </c>
      <c r="M299" s="7">
        <f>+Données!F299</f>
        <v>1370</v>
      </c>
      <c r="N299" s="7">
        <f>+Données!K299</f>
        <v>819.5</v>
      </c>
      <c r="O299" s="7">
        <f>(Données!L299/Données!Y299)*1</f>
        <v>35358.800000000003</v>
      </c>
      <c r="P299" s="320">
        <f t="shared" si="13"/>
        <v>698196.53000000014</v>
      </c>
      <c r="Q299" s="160">
        <f>+Données!X299</f>
        <v>75</v>
      </c>
      <c r="R299" s="320">
        <f t="shared" si="14"/>
        <v>9309.2870666666695</v>
      </c>
    </row>
    <row r="300" spans="1:18" x14ac:dyDescent="0.25">
      <c r="A300" s="6">
        <f>Données!A300</f>
        <v>5933</v>
      </c>
      <c r="B300" s="26" t="str">
        <f>Données!B300</f>
        <v>Valeyres-sous-Montagny</v>
      </c>
      <c r="C300" s="7">
        <f>Données!C300+Données!D300</f>
        <v>1475271.56</v>
      </c>
      <c r="D300" s="7">
        <f>+Données!G300+Données!H300+Données!S300</f>
        <v>45384.18</v>
      </c>
      <c r="E300" s="7">
        <f>+Données!E300</f>
        <v>0</v>
      </c>
      <c r="F300" s="7">
        <f>+Données!I300</f>
        <v>0</v>
      </c>
      <c r="G300" s="7">
        <f>+Données!J300</f>
        <v>9532.19</v>
      </c>
      <c r="H300" s="7">
        <f>Données!U300</f>
        <v>-27548.2</v>
      </c>
      <c r="I300" s="144">
        <f>Données!V300</f>
        <v>0</v>
      </c>
      <c r="J300" s="144">
        <f>Données!W300</f>
        <v>0</v>
      </c>
      <c r="K300" s="7">
        <f>+Données!Q300</f>
        <v>6281.26</v>
      </c>
      <c r="L300" s="320">
        <f t="shared" si="12"/>
        <v>1508920.99</v>
      </c>
      <c r="M300" s="7">
        <f>+Données!F300</f>
        <v>0</v>
      </c>
      <c r="N300" s="7">
        <f>+Données!K300</f>
        <v>3256.55</v>
      </c>
      <c r="O300" s="7">
        <f>(Données!L300/Données!Y300)*1</f>
        <v>129745.05</v>
      </c>
      <c r="P300" s="320">
        <f t="shared" si="13"/>
        <v>1641922.59</v>
      </c>
      <c r="Q300" s="160">
        <f>+Données!X300</f>
        <v>70.5</v>
      </c>
      <c r="R300" s="320">
        <f t="shared" si="14"/>
        <v>23289.682127659577</v>
      </c>
    </row>
    <row r="301" spans="1:18" x14ac:dyDescent="0.25">
      <c r="A301" s="6">
        <f>Données!A301</f>
        <v>5934</v>
      </c>
      <c r="B301" s="26" t="str">
        <f>Données!B301</f>
        <v>Valeyres-sous-Ursins</v>
      </c>
      <c r="C301" s="7">
        <f>Données!C301+Données!D301</f>
        <v>629162.06999999995</v>
      </c>
      <c r="D301" s="7">
        <f>+Données!G301+Données!H301+Données!S301</f>
        <v>1601.27</v>
      </c>
      <c r="E301" s="7">
        <f>+Données!E301</f>
        <v>0</v>
      </c>
      <c r="F301" s="7">
        <f>+Données!I301</f>
        <v>0</v>
      </c>
      <c r="G301" s="7">
        <f>+Données!J301</f>
        <v>-714.03</v>
      </c>
      <c r="H301" s="7">
        <f>Données!U301</f>
        <v>-3138.66</v>
      </c>
      <c r="I301" s="144">
        <f>Données!V301</f>
        <v>0</v>
      </c>
      <c r="J301" s="144">
        <f>Données!W301</f>
        <v>0</v>
      </c>
      <c r="K301" s="7">
        <f>+Données!Q301</f>
        <v>0</v>
      </c>
      <c r="L301" s="320">
        <f t="shared" si="12"/>
        <v>626910.64999999991</v>
      </c>
      <c r="M301" s="7">
        <f>+Données!F301</f>
        <v>1520</v>
      </c>
      <c r="N301" s="7">
        <f>+Données!K301</f>
        <v>1741</v>
      </c>
      <c r="O301" s="7">
        <f>(Données!L301/Données!Y301)*1</f>
        <v>31308.7</v>
      </c>
      <c r="P301" s="320">
        <f t="shared" si="13"/>
        <v>661480.34999999986</v>
      </c>
      <c r="Q301" s="160">
        <f>+Données!X301</f>
        <v>77</v>
      </c>
      <c r="R301" s="320">
        <f t="shared" si="14"/>
        <v>8590.653896103895</v>
      </c>
    </row>
    <row r="302" spans="1:18" x14ac:dyDescent="0.25">
      <c r="A302" s="6">
        <f>Données!A302</f>
        <v>5935</v>
      </c>
      <c r="B302" s="26" t="str">
        <f>Données!B302</f>
        <v>Villars-Epeney</v>
      </c>
      <c r="C302" s="7">
        <f>Données!C302+Données!D302</f>
        <v>767182.69</v>
      </c>
      <c r="D302" s="7">
        <f>+Données!G302+Données!H302+Données!S302</f>
        <v>3447.14</v>
      </c>
      <c r="E302" s="7">
        <f>+Données!E302</f>
        <v>0</v>
      </c>
      <c r="F302" s="7">
        <f>+Données!I302</f>
        <v>0</v>
      </c>
      <c r="G302" s="7">
        <f>+Données!J302</f>
        <v>1642.79</v>
      </c>
      <c r="H302" s="7">
        <f>Données!U302</f>
        <v>-114859.24</v>
      </c>
      <c r="I302" s="144">
        <f>Données!V302</f>
        <v>0</v>
      </c>
      <c r="J302" s="144">
        <f>Données!W302</f>
        <v>-1054.9000000000001</v>
      </c>
      <c r="K302" s="7">
        <f>+Données!Q302</f>
        <v>0</v>
      </c>
      <c r="L302" s="320">
        <f t="shared" si="12"/>
        <v>656358.48</v>
      </c>
      <c r="M302" s="7">
        <f>+Données!F302</f>
        <v>0</v>
      </c>
      <c r="N302" s="7">
        <f>+Données!K302</f>
        <v>0</v>
      </c>
      <c r="O302" s="7">
        <f>(Données!L302/Données!Y302)*1</f>
        <v>25725.9</v>
      </c>
      <c r="P302" s="320">
        <f t="shared" si="13"/>
        <v>682084.38</v>
      </c>
      <c r="Q302" s="160">
        <f>+Données!X302</f>
        <v>68</v>
      </c>
      <c r="R302" s="320">
        <f t="shared" si="14"/>
        <v>10030.652647058823</v>
      </c>
    </row>
    <row r="303" spans="1:18" x14ac:dyDescent="0.25">
      <c r="A303" s="6">
        <f>Données!A303</f>
        <v>5937</v>
      </c>
      <c r="B303" s="26" t="str">
        <f>Données!B303</f>
        <v>Vugelles-La Mothe</v>
      </c>
      <c r="C303" s="7">
        <f>Données!C303+Données!D303</f>
        <v>277268.37</v>
      </c>
      <c r="D303" s="7">
        <f>+Données!G303+Données!H303+Données!S303</f>
        <v>2775.66</v>
      </c>
      <c r="E303" s="7">
        <f>+Données!E303</f>
        <v>0</v>
      </c>
      <c r="F303" s="7">
        <f>+Données!I303</f>
        <v>0</v>
      </c>
      <c r="G303" s="7">
        <f>+Données!J303</f>
        <v>9018.6</v>
      </c>
      <c r="H303" s="7">
        <f>Données!U303</f>
        <v>-1300.98</v>
      </c>
      <c r="I303" s="144">
        <f>Données!V303</f>
        <v>0</v>
      </c>
      <c r="J303" s="144">
        <f>Données!W303</f>
        <v>-79.5</v>
      </c>
      <c r="K303" s="7">
        <f>+Données!Q303</f>
        <v>2041.03</v>
      </c>
      <c r="L303" s="320">
        <f t="shared" si="12"/>
        <v>289723.18</v>
      </c>
      <c r="M303" s="7">
        <f>+Données!F303</f>
        <v>0</v>
      </c>
      <c r="N303" s="7">
        <f>+Données!K303</f>
        <v>0</v>
      </c>
      <c r="O303" s="7">
        <f>(Données!L303/Données!Y303)*1</f>
        <v>20008.400000000001</v>
      </c>
      <c r="P303" s="320">
        <f t="shared" si="13"/>
        <v>309731.58</v>
      </c>
      <c r="Q303" s="160">
        <f>+Données!X303</f>
        <v>70</v>
      </c>
      <c r="R303" s="320">
        <f t="shared" si="14"/>
        <v>4424.7368571428569</v>
      </c>
    </row>
    <row r="304" spans="1:18" x14ac:dyDescent="0.25">
      <c r="A304" s="6">
        <f>Données!A304</f>
        <v>5938</v>
      </c>
      <c r="B304" s="26" t="str">
        <f>Données!B304</f>
        <v>Yverdon-les-Bains</v>
      </c>
      <c r="C304" s="7">
        <f>Données!C304+Données!D304</f>
        <v>47340009.039999999</v>
      </c>
      <c r="D304" s="7">
        <f>+Données!G304+Données!H304+Données!S304</f>
        <v>5595888.1900000004</v>
      </c>
      <c r="E304" s="7">
        <f>+Données!E304</f>
        <v>0</v>
      </c>
      <c r="F304" s="7">
        <f>+Données!I304</f>
        <v>0</v>
      </c>
      <c r="G304" s="7">
        <f>+Données!J304</f>
        <v>2427350.33</v>
      </c>
      <c r="H304" s="7">
        <f>Données!U304</f>
        <v>-1025577.19</v>
      </c>
      <c r="I304" s="144">
        <f>Données!V304</f>
        <v>0</v>
      </c>
      <c r="J304" s="144">
        <f>Données!W304</f>
        <v>-12256.56</v>
      </c>
      <c r="K304" s="7">
        <f>+Données!Q304</f>
        <v>232479.99</v>
      </c>
      <c r="L304" s="320">
        <f t="shared" si="12"/>
        <v>54557893.799999997</v>
      </c>
      <c r="M304" s="7">
        <f>+Données!F304</f>
        <v>0</v>
      </c>
      <c r="N304" s="7">
        <f>+Données!K304</f>
        <v>693783.1</v>
      </c>
      <c r="O304" s="7">
        <f>(Données!L304/Données!Y304)*1</f>
        <v>4885077.7666666666</v>
      </c>
      <c r="P304" s="320">
        <f t="shared" si="13"/>
        <v>60136754.666666664</v>
      </c>
      <c r="Q304" s="160">
        <f>+Données!X304</f>
        <v>75</v>
      </c>
      <c r="R304" s="320">
        <f t="shared" si="14"/>
        <v>801823.39555555547</v>
      </c>
    </row>
    <row r="305" spans="1:18" x14ac:dyDescent="0.25">
      <c r="A305" s="6">
        <f>Données!A305</f>
        <v>5939</v>
      </c>
      <c r="B305" s="26" t="str">
        <f>Données!B305</f>
        <v>Yvonand</v>
      </c>
      <c r="C305" s="7">
        <f>Données!C305+Données!D305</f>
        <v>5987636.3700000001</v>
      </c>
      <c r="D305" s="7">
        <f>+Données!G305+Données!H305+Données!S305</f>
        <v>232783.21</v>
      </c>
      <c r="E305" s="7">
        <f>+Données!E305</f>
        <v>0</v>
      </c>
      <c r="F305" s="7">
        <f>+Données!I305</f>
        <v>0</v>
      </c>
      <c r="G305" s="7">
        <f>+Données!J305</f>
        <v>39528.58</v>
      </c>
      <c r="H305" s="7">
        <f>Données!U305</f>
        <v>-97003.89</v>
      </c>
      <c r="I305" s="144">
        <f>Données!V305</f>
        <v>0</v>
      </c>
      <c r="J305" s="144">
        <f>Données!W305</f>
        <v>-927.27</v>
      </c>
      <c r="K305" s="7">
        <f>+Données!Q305</f>
        <v>24391.85</v>
      </c>
      <c r="L305" s="320">
        <f t="shared" si="12"/>
        <v>6186408.8500000006</v>
      </c>
      <c r="M305" s="7">
        <f>+Données!F305</f>
        <v>0</v>
      </c>
      <c r="N305" s="7">
        <f>+Données!K305</f>
        <v>58253.599999999999</v>
      </c>
      <c r="O305" s="7">
        <f>(Données!L305/Données!Y305)*1</f>
        <v>618122.6</v>
      </c>
      <c r="P305" s="320">
        <f t="shared" si="13"/>
        <v>6862785.0499999998</v>
      </c>
      <c r="Q305" s="160">
        <f>+Données!X305</f>
        <v>71.5</v>
      </c>
      <c r="R305" s="320">
        <f t="shared" si="14"/>
        <v>95983.007692307685</v>
      </c>
    </row>
    <row r="306" spans="1:18" x14ac:dyDescent="0.25">
      <c r="A306" s="5"/>
      <c r="B306" s="18">
        <f>COUNTA(B6:B305)</f>
        <v>300</v>
      </c>
      <c r="C306" s="8">
        <f t="shared" ref="C306:P306" si="15">SUM(C6:C305)</f>
        <v>2145524996.5899999</v>
      </c>
      <c r="D306" s="8">
        <f t="shared" si="15"/>
        <v>431440988.5399999</v>
      </c>
      <c r="E306" s="8">
        <f t="shared" si="15"/>
        <v>0</v>
      </c>
      <c r="F306" s="8">
        <f t="shared" si="15"/>
        <v>45056462.00999999</v>
      </c>
      <c r="G306" s="8">
        <f t="shared" si="15"/>
        <v>77296066.49000001</v>
      </c>
      <c r="H306" s="8">
        <f t="shared" si="15"/>
        <v>-34994329.659999996</v>
      </c>
      <c r="I306" s="8">
        <f t="shared" si="15"/>
        <v>0</v>
      </c>
      <c r="J306" s="8">
        <f t="shared" si="15"/>
        <v>-12508888.830000006</v>
      </c>
      <c r="K306" s="8">
        <f t="shared" si="15"/>
        <v>8628075.7899999935</v>
      </c>
      <c r="L306" s="321">
        <f t="shared" si="15"/>
        <v>2660443370.9300013</v>
      </c>
      <c r="M306" s="60">
        <f t="shared" si="15"/>
        <v>122740.2</v>
      </c>
      <c r="N306" s="8">
        <f t="shared" si="15"/>
        <v>23612131.200000018</v>
      </c>
      <c r="O306" s="8">
        <f t="shared" si="15"/>
        <v>203427320.98368701</v>
      </c>
      <c r="P306" s="321">
        <f t="shared" si="15"/>
        <v>2887605563.3136864</v>
      </c>
      <c r="Q306" s="16">
        <f>P306/R306</f>
        <v>67.533896385427909</v>
      </c>
      <c r="R306" s="321">
        <f>SUM(R6:R305)</f>
        <v>42757870.01587484</v>
      </c>
    </row>
    <row r="307" spans="1:18" x14ac:dyDescent="0.25">
      <c r="P307" s="4"/>
    </row>
    <row r="308" spans="1:18" x14ac:dyDescent="0.25">
      <c r="P308" s="14"/>
    </row>
    <row r="309" spans="1:18" x14ac:dyDescent="0.25">
      <c r="P309" s="14"/>
    </row>
    <row r="310" spans="1:18" x14ac:dyDescent="0.25">
      <c r="P310" s="14"/>
    </row>
    <row r="311" spans="1:18" x14ac:dyDescent="0.25">
      <c r="P311" s="14"/>
    </row>
    <row r="312" spans="1:18" x14ac:dyDescent="0.25">
      <c r="P312" s="14"/>
    </row>
    <row r="313" spans="1:18" x14ac:dyDescent="0.25">
      <c r="P313" s="152"/>
    </row>
    <row r="314" spans="1:18" x14ac:dyDescent="0.25">
      <c r="P314" s="152"/>
    </row>
    <row r="315" spans="1:18" x14ac:dyDescent="0.25">
      <c r="P315" s="14"/>
    </row>
    <row r="316" spans="1:18" x14ac:dyDescent="0.25">
      <c r="P316" s="152"/>
    </row>
    <row r="317" spans="1:18" x14ac:dyDescent="0.25">
      <c r="P317" s="152"/>
    </row>
    <row r="318" spans="1:18" x14ac:dyDescent="0.25">
      <c r="P318" s="152">
        <f>+P316+P317</f>
        <v>0</v>
      </c>
    </row>
  </sheetData>
  <sheetProtection sheet="1" objects="1" scenarios="1"/>
  <mergeCells count="9">
    <mergeCell ref="O4:O5"/>
    <mergeCell ref="P4:P5"/>
    <mergeCell ref="A4:A5"/>
    <mergeCell ref="B4:B5"/>
    <mergeCell ref="K4:K5"/>
    <mergeCell ref="L4:L5"/>
    <mergeCell ref="H4:H5"/>
    <mergeCell ref="I4:I5"/>
    <mergeCell ref="J4:J5"/>
  </mergeCells>
  <phoneticPr fontId="0" type="noConversion"/>
  <hyperlinks>
    <hyperlink ref="E1" location="Rendements!A1" display="← Précédent" xr:uid="{BBD3D6D8-6A8D-46DD-B28F-66885CE3043A}"/>
    <hyperlink ref="F1" location="'Table des matières'!A1" display="Table des             matières" xr:uid="{A8DDC96E-1717-4FF4-AED1-4FC492DF2C51}"/>
    <hyperlink ref="G1" location="PCS!A1" display="Suivant →" xr:uid="{744A35FE-F150-4B65-9CDD-34566698A827}"/>
  </hyperlinks>
  <pageMargins left="0" right="0" top="0" bottom="0" header="0.51181102362204722" footer="0.51181102362204722"/>
  <pageSetup paperSize="8" scale="70" orientation="landscape" horizontalDpi="4294967292" verticalDpi="4294967292"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8">
    <tabColor rgb="FFC00000"/>
  </sheetPr>
  <dimension ref="A1:AC324"/>
  <sheetViews>
    <sheetView workbookViewId="0">
      <pane xSplit="2" ySplit="11" topLeftCell="C12" activePane="bottomRight" state="frozen"/>
      <selection pane="topRight" activeCell="C1" sqref="C1"/>
      <selection pane="bottomLeft" activeCell="A12" sqref="A12"/>
      <selection pane="bottomRight"/>
    </sheetView>
  </sheetViews>
  <sheetFormatPr baseColWidth="10" defaultColWidth="10.75" defaultRowHeight="15" x14ac:dyDescent="0.25"/>
  <cols>
    <col min="1" max="1" width="7.25" style="10" customWidth="1"/>
    <col min="2" max="2" width="20.25" style="10" customWidth="1"/>
    <col min="3" max="3" width="16.25" style="10" customWidth="1"/>
    <col min="4" max="4" width="12.75" style="10" customWidth="1"/>
    <col min="5" max="5" width="16.125" style="10" customWidth="1"/>
    <col min="6" max="6" width="12.5" style="10" customWidth="1"/>
    <col min="7" max="7" width="12.125" style="10" customWidth="1"/>
    <col min="8" max="8" width="12.5" style="10" customWidth="1"/>
    <col min="9" max="9" width="10.75" style="146" bestFit="1" customWidth="1"/>
    <col min="10" max="10" width="14" style="10" customWidth="1"/>
    <col min="11" max="16" width="12.125" style="10" customWidth="1"/>
    <col min="17" max="19" width="8.125" style="10" customWidth="1"/>
    <col min="20" max="27" width="11" style="10" customWidth="1"/>
    <col min="28" max="28" width="9.25" style="10" customWidth="1"/>
    <col min="29" max="29" width="11" style="10" customWidth="1"/>
    <col min="30" max="16384" width="10.75" style="10"/>
  </cols>
  <sheetData>
    <row r="1" spans="1:29" s="32" customFormat="1" ht="26.25" x14ac:dyDescent="0.25">
      <c r="A1" s="187" t="s">
        <v>422</v>
      </c>
      <c r="B1" s="31"/>
      <c r="C1" s="48"/>
      <c r="D1" s="48"/>
      <c r="E1" s="287" t="s">
        <v>402</v>
      </c>
      <c r="F1" s="208" t="s">
        <v>394</v>
      </c>
      <c r="G1" s="348" t="s">
        <v>403</v>
      </c>
      <c r="H1" s="48"/>
      <c r="I1" s="148"/>
      <c r="J1" s="10"/>
      <c r="K1" s="10"/>
      <c r="L1" s="10"/>
      <c r="M1" s="10"/>
      <c r="N1" s="10"/>
      <c r="O1" s="10"/>
      <c r="P1" s="10"/>
      <c r="Q1" s="10"/>
      <c r="R1" s="10"/>
      <c r="S1" s="10"/>
      <c r="T1" s="10"/>
      <c r="U1" s="10"/>
      <c r="V1" s="10"/>
      <c r="W1" s="10"/>
      <c r="X1" s="10"/>
      <c r="Y1" s="10"/>
      <c r="Z1" s="10"/>
      <c r="AA1" s="10"/>
      <c r="AB1" s="10"/>
      <c r="AC1" s="10"/>
    </row>
    <row r="2" spans="1:29" s="32" customFormat="1" ht="15.75" x14ac:dyDescent="0.25">
      <c r="A2" s="253" t="str">
        <f>Paramètres!B4</f>
        <v>Décompte 2024</v>
      </c>
      <c r="B2" s="31"/>
      <c r="C2" s="148"/>
      <c r="D2" s="148"/>
      <c r="E2" s="148"/>
      <c r="F2" s="148"/>
      <c r="G2" s="148"/>
      <c r="H2" s="148"/>
      <c r="I2" s="148"/>
      <c r="J2" s="146"/>
      <c r="K2" s="146"/>
      <c r="L2" s="146"/>
      <c r="M2" s="146"/>
      <c r="N2" s="146"/>
      <c r="O2" s="146"/>
      <c r="P2" s="146"/>
      <c r="Q2" s="146"/>
      <c r="R2" s="146"/>
      <c r="S2" s="146"/>
      <c r="T2" s="146"/>
      <c r="U2" s="146"/>
      <c r="V2" s="146"/>
      <c r="W2" s="146"/>
      <c r="X2" s="146"/>
      <c r="Y2" s="146"/>
      <c r="Z2" s="146"/>
      <c r="AA2" s="146"/>
      <c r="AB2" s="146"/>
      <c r="AC2" s="146"/>
    </row>
    <row r="3" spans="1:29" s="39" customFormat="1" x14ac:dyDescent="0.25">
      <c r="A3" s="21"/>
      <c r="D3" s="10"/>
      <c r="E3" s="10"/>
      <c r="F3" s="10"/>
      <c r="G3" s="10"/>
      <c r="H3" s="262"/>
      <c r="I3" s="262"/>
      <c r="J3" s="10"/>
      <c r="K3" s="10"/>
      <c r="L3" s="10"/>
      <c r="M3" s="10"/>
      <c r="N3" s="10"/>
      <c r="O3" s="10"/>
      <c r="P3" s="10"/>
      <c r="Q3" s="10"/>
      <c r="R3" s="10"/>
      <c r="S3" s="10"/>
      <c r="T3" s="10"/>
      <c r="U3" s="10"/>
      <c r="V3" s="10"/>
      <c r="W3" s="10"/>
      <c r="X3" s="10"/>
      <c r="Y3" s="10"/>
      <c r="Z3" s="10"/>
      <c r="AA3" s="10"/>
      <c r="AB3" s="10"/>
      <c r="AC3" s="10"/>
    </row>
    <row r="4" spans="1:29" s="39" customFormat="1" ht="15" customHeight="1" x14ac:dyDescent="0.25">
      <c r="A4" s="735" t="s">
        <v>410</v>
      </c>
      <c r="B4" s="736"/>
      <c r="C4" s="736"/>
      <c r="D4" s="229" t="s">
        <v>378</v>
      </c>
      <c r="E4" s="231" t="s">
        <v>378</v>
      </c>
      <c r="F4" s="146"/>
      <c r="G4" s="273"/>
      <c r="H4" s="273"/>
      <c r="I4" s="273"/>
      <c r="J4" s="10"/>
      <c r="K4" s="10"/>
      <c r="L4" s="10"/>
      <c r="M4" s="10"/>
      <c r="N4" s="10"/>
      <c r="O4" s="10"/>
      <c r="P4" s="10"/>
      <c r="Q4" s="10"/>
      <c r="R4" s="10"/>
      <c r="S4" s="10"/>
      <c r="T4" s="10"/>
      <c r="U4" s="10"/>
      <c r="V4" s="10"/>
      <c r="W4" s="10"/>
      <c r="X4" s="10"/>
      <c r="Y4" s="10"/>
      <c r="Z4" s="10"/>
      <c r="AA4" s="10"/>
      <c r="AB4" s="10"/>
      <c r="AC4" s="10"/>
    </row>
    <row r="5" spans="1:29" s="326" customFormat="1" ht="18" customHeight="1" x14ac:dyDescent="0.2">
      <c r="A5" s="744" t="s">
        <v>418</v>
      </c>
      <c r="B5" s="745"/>
      <c r="C5" s="323">
        <f>+Paramètres!B11</f>
        <v>806647592</v>
      </c>
      <c r="D5" s="324">
        <f>C5/$E$5</f>
        <v>18.865476500595413</v>
      </c>
      <c r="E5" s="325">
        <f>VPI!R306</f>
        <v>42757870.01587484</v>
      </c>
      <c r="F5" s="215"/>
      <c r="G5" s="273"/>
      <c r="H5" s="273"/>
      <c r="I5" s="273"/>
      <c r="J5" s="215"/>
      <c r="K5" s="215"/>
      <c r="L5" s="215"/>
      <c r="M5" s="215"/>
      <c r="N5" s="215"/>
      <c r="O5" s="215"/>
      <c r="P5" s="215"/>
      <c r="Q5" s="215"/>
      <c r="R5" s="215"/>
      <c r="S5" s="215"/>
      <c r="T5" s="215"/>
      <c r="U5" s="215"/>
      <c r="V5" s="215"/>
      <c r="W5" s="215"/>
      <c r="X5" s="215"/>
      <c r="Y5" s="215"/>
      <c r="Z5" s="215"/>
      <c r="AA5" s="215"/>
      <c r="AB5" s="215"/>
      <c r="AC5" s="215"/>
    </row>
    <row r="6" spans="1:29" s="326" customFormat="1" ht="18" customHeight="1" x14ac:dyDescent="0.2">
      <c r="A6" s="746" t="s">
        <v>308</v>
      </c>
      <c r="B6" s="747"/>
      <c r="C6" s="327">
        <f>-F312</f>
        <v>-182266562.99000001</v>
      </c>
      <c r="D6" s="328">
        <f>C6/$E$5</f>
        <v>-4.2627605847140977</v>
      </c>
      <c r="E6" s="329"/>
      <c r="F6" s="215"/>
      <c r="G6" s="273"/>
      <c r="H6" s="273"/>
      <c r="I6" s="273"/>
      <c r="J6" s="215"/>
      <c r="K6" s="215"/>
      <c r="L6" s="215"/>
      <c r="M6" s="215"/>
      <c r="N6" s="215"/>
      <c r="O6" s="215"/>
      <c r="P6" s="215"/>
      <c r="Q6" s="215"/>
      <c r="R6" s="215"/>
      <c r="S6" s="215"/>
      <c r="T6" s="215"/>
      <c r="U6" s="215"/>
      <c r="V6" s="215"/>
      <c r="W6" s="215"/>
      <c r="X6" s="215"/>
      <c r="Y6" s="215"/>
      <c r="Z6" s="215"/>
      <c r="AA6" s="215"/>
      <c r="AB6" s="215"/>
      <c r="AC6" s="215"/>
    </row>
    <row r="7" spans="1:29" s="326" customFormat="1" ht="18" customHeight="1" x14ac:dyDescent="0.2">
      <c r="A7" s="748" t="s">
        <v>309</v>
      </c>
      <c r="B7" s="749"/>
      <c r="C7" s="330">
        <f>-Ecrêtage!M306</f>
        <v>-152221661.07741937</v>
      </c>
      <c r="D7" s="331">
        <f>C7/$E$5</f>
        <v>-3.5600852198882587</v>
      </c>
      <c r="E7" s="329"/>
      <c r="F7" s="215"/>
      <c r="G7" s="273"/>
      <c r="H7" s="273"/>
      <c r="I7" s="273"/>
      <c r="J7" s="215"/>
      <c r="K7" s="215"/>
      <c r="L7" s="215"/>
      <c r="M7" s="215"/>
      <c r="N7" s="215"/>
      <c r="O7" s="215"/>
      <c r="P7" s="215"/>
      <c r="Q7" s="215"/>
      <c r="R7" s="215"/>
      <c r="S7" s="215"/>
      <c r="T7" s="215"/>
      <c r="U7" s="215"/>
      <c r="V7" s="215"/>
      <c r="W7" s="215"/>
      <c r="X7" s="215"/>
      <c r="Y7" s="215"/>
      <c r="Z7" s="215"/>
      <c r="AA7" s="215"/>
      <c r="AB7" s="215"/>
      <c r="AC7" s="215"/>
    </row>
    <row r="8" spans="1:29" s="326" customFormat="1" ht="18" customHeight="1" x14ac:dyDescent="0.2">
      <c r="A8" s="744" t="s">
        <v>419</v>
      </c>
      <c r="B8" s="745"/>
      <c r="C8" s="323">
        <f>C5+C7+C6</f>
        <v>472159367.93258059</v>
      </c>
      <c r="D8" s="324">
        <f>C8/$E$5</f>
        <v>11.042630695993056</v>
      </c>
      <c r="E8" s="329"/>
      <c r="F8" s="215"/>
      <c r="G8" s="273"/>
      <c r="H8" s="273"/>
      <c r="I8" s="273"/>
      <c r="J8" s="215"/>
      <c r="K8" s="215"/>
      <c r="L8" s="215"/>
      <c r="M8" s="215"/>
      <c r="N8" s="215"/>
      <c r="O8" s="215"/>
      <c r="P8" s="215"/>
      <c r="Q8" s="215"/>
      <c r="R8" s="215"/>
      <c r="S8" s="215"/>
      <c r="T8" s="215"/>
      <c r="U8" s="215"/>
      <c r="V8" s="215"/>
      <c r="W8" s="215"/>
      <c r="X8" s="215"/>
      <c r="Y8" s="215"/>
      <c r="Z8" s="215"/>
      <c r="AA8" s="215"/>
      <c r="AB8" s="215"/>
      <c r="AC8" s="215"/>
    </row>
    <row r="9" spans="1:29" s="39" customFormat="1" x14ac:dyDescent="0.25">
      <c r="A9" s="21"/>
      <c r="D9" s="10"/>
      <c r="E9" s="10"/>
      <c r="F9" s="10"/>
      <c r="G9" s="10"/>
      <c r="J9" s="10"/>
      <c r="K9" s="10"/>
      <c r="L9" s="10"/>
      <c r="M9" s="10"/>
      <c r="N9" s="10"/>
      <c r="O9" s="10"/>
      <c r="P9" s="10"/>
      <c r="Q9" s="10"/>
      <c r="R9" s="10"/>
      <c r="S9" s="10"/>
      <c r="T9" s="10"/>
      <c r="U9" s="10"/>
      <c r="V9" s="10"/>
      <c r="W9" s="10"/>
      <c r="X9" s="10"/>
      <c r="Y9" s="10"/>
      <c r="Z9" s="10"/>
      <c r="AA9" s="10"/>
      <c r="AB9" s="10"/>
      <c r="AC9" s="10"/>
    </row>
    <row r="10" spans="1:29" ht="49.5" customHeight="1" x14ac:dyDescent="0.25">
      <c r="A10" s="737" t="s">
        <v>44</v>
      </c>
      <c r="B10" s="741" t="s">
        <v>84</v>
      </c>
      <c r="C10" s="737" t="s">
        <v>490</v>
      </c>
      <c r="D10" s="219" t="s">
        <v>417</v>
      </c>
      <c r="E10" s="219" t="s">
        <v>521</v>
      </c>
      <c r="F10" s="737" t="s">
        <v>349</v>
      </c>
      <c r="G10" s="741" t="s">
        <v>362</v>
      </c>
      <c r="H10" s="229" t="s">
        <v>478</v>
      </c>
      <c r="I10" s="739" t="s">
        <v>333</v>
      </c>
    </row>
    <row r="11" spans="1:29" ht="14.45" customHeight="1" x14ac:dyDescent="0.25">
      <c r="A11" s="738"/>
      <c r="B11" s="742"/>
      <c r="C11" s="743"/>
      <c r="D11" s="220">
        <f>Paramètres!B20</f>
        <v>0.3</v>
      </c>
      <c r="E11" s="221">
        <f>Paramètres!B19</f>
        <v>0.5</v>
      </c>
      <c r="F11" s="738"/>
      <c r="G11" s="742"/>
      <c r="H11" s="332">
        <f>D8</f>
        <v>11.042630695993056</v>
      </c>
      <c r="I11" s="740"/>
    </row>
    <row r="12" spans="1:29" x14ac:dyDescent="0.25">
      <c r="A12" s="35">
        <f>Données!A6</f>
        <v>5401</v>
      </c>
      <c r="B12" s="372" t="str">
        <f>Données!B6</f>
        <v>Aigle</v>
      </c>
      <c r="C12" s="230">
        <f>VPI!R6</f>
        <v>311614.01419191912</v>
      </c>
      <c r="D12" s="40">
        <f>Données!N6</f>
        <v>1785549.45</v>
      </c>
      <c r="E12" s="158">
        <f>Données!O6+Données!P6+Données!R6</f>
        <v>2273300.6999999997</v>
      </c>
      <c r="F12" s="349">
        <f>D12*$D$11+E12*$E$11</f>
        <v>1672315.1849999998</v>
      </c>
      <c r="G12" s="349">
        <f>Ecrêtage!M6</f>
        <v>0</v>
      </c>
      <c r="H12" s="350">
        <f>$H$11*C12</f>
        <v>3441038.478417302</v>
      </c>
      <c r="I12" s="222">
        <f>F12+H12+G12</f>
        <v>5113353.6634173021</v>
      </c>
    </row>
    <row r="13" spans="1:29" s="34" customFormat="1" x14ac:dyDescent="0.25">
      <c r="A13" s="37">
        <f>Données!A7</f>
        <v>5402</v>
      </c>
      <c r="B13" s="373" t="str">
        <f>Données!B7</f>
        <v>Bex</v>
      </c>
      <c r="C13" s="30">
        <f>VPI!R7</f>
        <v>199600.34901408452</v>
      </c>
      <c r="D13" s="7">
        <f>Données!N7</f>
        <v>458534.25</v>
      </c>
      <c r="E13" s="158">
        <f>Données!O7+Données!P7+Données!R7</f>
        <v>2057973.2</v>
      </c>
      <c r="F13" s="349">
        <f t="shared" ref="F13:F76" si="0">D13*$D$11+E13*$E$11</f>
        <v>1166546.875</v>
      </c>
      <c r="G13" s="349">
        <f>Ecrêtage!M7</f>
        <v>0</v>
      </c>
      <c r="H13" s="350">
        <f t="shared" ref="H13:H76" si="1">$H$11*C13</f>
        <v>2204112.9409538573</v>
      </c>
      <c r="I13" s="222">
        <f t="shared" ref="I13:I76" si="2">F13+H13+G13</f>
        <v>3370659.8159538573</v>
      </c>
    </row>
    <row r="14" spans="1:29" s="34" customFormat="1" x14ac:dyDescent="0.25">
      <c r="A14" s="37">
        <f>Données!A8</f>
        <v>5403</v>
      </c>
      <c r="B14" s="373" t="str">
        <f>Données!B8</f>
        <v>Chessel</v>
      </c>
      <c r="C14" s="30">
        <f>VPI!R8</f>
        <v>12200.842307692306</v>
      </c>
      <c r="D14" s="7">
        <f>Données!N8</f>
        <v>9603.1</v>
      </c>
      <c r="E14" s="158">
        <f>Données!O8+Données!P8+Données!R8</f>
        <v>169865.9</v>
      </c>
      <c r="F14" s="349">
        <f t="shared" si="0"/>
        <v>87813.87999999999</v>
      </c>
      <c r="G14" s="349">
        <f>Ecrêtage!M8</f>
        <v>0</v>
      </c>
      <c r="H14" s="350">
        <f t="shared" si="1"/>
        <v>134729.39578389382</v>
      </c>
      <c r="I14" s="222">
        <f t="shared" si="2"/>
        <v>222543.27578389383</v>
      </c>
    </row>
    <row r="15" spans="1:29" s="34" customFormat="1" x14ac:dyDescent="0.25">
      <c r="A15" s="37">
        <f>Données!A9</f>
        <v>5404</v>
      </c>
      <c r="B15" s="373" t="str">
        <f>Données!B9</f>
        <v>Corbeyrier</v>
      </c>
      <c r="C15" s="30">
        <f>VPI!R9</f>
        <v>12100.787342342343</v>
      </c>
      <c r="D15" s="7">
        <f>Données!N9</f>
        <v>15612.4</v>
      </c>
      <c r="E15" s="158">
        <f>Données!O9+Données!P9+Données!R9</f>
        <v>56937.05</v>
      </c>
      <c r="F15" s="349">
        <f t="shared" si="0"/>
        <v>33152.245000000003</v>
      </c>
      <c r="G15" s="349">
        <f>Ecrêtage!M9</f>
        <v>0</v>
      </c>
      <c r="H15" s="350">
        <f t="shared" si="1"/>
        <v>133624.52575223378</v>
      </c>
      <c r="I15" s="222">
        <f t="shared" si="2"/>
        <v>166776.77075223377</v>
      </c>
    </row>
    <row r="16" spans="1:29" s="34" customFormat="1" x14ac:dyDescent="0.25">
      <c r="A16" s="37">
        <f>Données!A10</f>
        <v>5405</v>
      </c>
      <c r="B16" s="373" t="str">
        <f>Données!B10</f>
        <v>Gryon</v>
      </c>
      <c r="C16" s="30">
        <f>VPI!R10</f>
        <v>80049.808163265319</v>
      </c>
      <c r="D16" s="7">
        <f>Données!N10</f>
        <v>3983.1</v>
      </c>
      <c r="E16" s="158">
        <f>Données!O10+Données!P10+Données!R10</f>
        <v>1052898.3</v>
      </c>
      <c r="F16" s="349">
        <f t="shared" si="0"/>
        <v>527644.08000000007</v>
      </c>
      <c r="G16" s="349">
        <f>Ecrêtage!M10</f>
        <v>56632.067606209297</v>
      </c>
      <c r="H16" s="350">
        <f t="shared" si="1"/>
        <v>883960.46883202915</v>
      </c>
      <c r="I16" s="222">
        <f t="shared" si="2"/>
        <v>1468236.6164382384</v>
      </c>
    </row>
    <row r="17" spans="1:9" s="34" customFormat="1" x14ac:dyDescent="0.25">
      <c r="A17" s="37">
        <f>Données!A11</f>
        <v>5406</v>
      </c>
      <c r="B17" s="373" t="str">
        <f>Données!B11</f>
        <v>Lavey-Morcles</v>
      </c>
      <c r="C17" s="30">
        <f>VPI!R11</f>
        <v>23811.433641742868</v>
      </c>
      <c r="D17" s="7">
        <f>Données!N11</f>
        <v>13009.3</v>
      </c>
      <c r="E17" s="158">
        <f>Données!O11+Données!P11+Données!R11</f>
        <v>182416.7</v>
      </c>
      <c r="F17" s="349">
        <f t="shared" si="0"/>
        <v>95111.14</v>
      </c>
      <c r="G17" s="349">
        <f>Ecrêtage!M11</f>
        <v>0</v>
      </c>
      <c r="H17" s="350">
        <f t="shared" si="1"/>
        <v>262940.8680479115</v>
      </c>
      <c r="I17" s="222">
        <f t="shared" si="2"/>
        <v>358052.00804791151</v>
      </c>
    </row>
    <row r="18" spans="1:9" s="34" customFormat="1" x14ac:dyDescent="0.25">
      <c r="A18" s="37">
        <f>Données!A12</f>
        <v>5407</v>
      </c>
      <c r="B18" s="373" t="str">
        <f>Données!B12</f>
        <v>Leysin</v>
      </c>
      <c r="C18" s="30">
        <f>VPI!R12</f>
        <v>94315.702863247876</v>
      </c>
      <c r="D18" s="7">
        <f>Données!N12</f>
        <v>134794.54999999999</v>
      </c>
      <c r="E18" s="158">
        <f>Données!O12+Données!P12+Données!R12</f>
        <v>913966.25</v>
      </c>
      <c r="F18" s="349">
        <f t="shared" si="0"/>
        <v>497421.49</v>
      </c>
      <c r="G18" s="349">
        <f>Ecrêtage!M12</f>
        <v>0</v>
      </c>
      <c r="H18" s="350">
        <f t="shared" si="1"/>
        <v>1041493.4755518611</v>
      </c>
      <c r="I18" s="222">
        <f t="shared" si="2"/>
        <v>1538914.9655518611</v>
      </c>
    </row>
    <row r="19" spans="1:9" s="34" customFormat="1" x14ac:dyDescent="0.25">
      <c r="A19" s="37">
        <f>Données!A13</f>
        <v>5408</v>
      </c>
      <c r="B19" s="373" t="str">
        <f>Données!B13</f>
        <v>Noville</v>
      </c>
      <c r="C19" s="30">
        <f>VPI!R13</f>
        <v>41741.779422222215</v>
      </c>
      <c r="D19" s="7">
        <f>Données!N13</f>
        <v>256359.85</v>
      </c>
      <c r="E19" s="158">
        <f>Données!O13+Données!P13+Données!R13</f>
        <v>174957.65000000002</v>
      </c>
      <c r="F19" s="349">
        <f t="shared" si="0"/>
        <v>164386.78000000003</v>
      </c>
      <c r="G19" s="349">
        <f>Ecrêtage!M13</f>
        <v>0</v>
      </c>
      <c r="H19" s="350">
        <f t="shared" si="1"/>
        <v>460939.0547532023</v>
      </c>
      <c r="I19" s="222">
        <f t="shared" si="2"/>
        <v>625325.83475320227</v>
      </c>
    </row>
    <row r="20" spans="1:9" s="34" customFormat="1" x14ac:dyDescent="0.25">
      <c r="A20" s="37">
        <f>Données!A14</f>
        <v>5409</v>
      </c>
      <c r="B20" s="373" t="str">
        <f>Données!B14</f>
        <v>Ollon</v>
      </c>
      <c r="C20" s="30">
        <f>VPI!R14</f>
        <v>429709.0160746607</v>
      </c>
      <c r="D20" s="7">
        <f>Données!N14</f>
        <v>123954.6</v>
      </c>
      <c r="E20" s="158">
        <f>Données!O14+Données!P14+Données!R14</f>
        <v>4866571.3</v>
      </c>
      <c r="F20" s="349">
        <f t="shared" si="0"/>
        <v>2470472.0299999998</v>
      </c>
      <c r="G20" s="349">
        <f>Ecrêtage!M14</f>
        <v>256947.78253715226</v>
      </c>
      <c r="H20" s="350">
        <f t="shared" si="1"/>
        <v>4745117.9712510221</v>
      </c>
      <c r="I20" s="222">
        <f t="shared" si="2"/>
        <v>7472537.7837881735</v>
      </c>
    </row>
    <row r="21" spans="1:9" s="34" customFormat="1" x14ac:dyDescent="0.25">
      <c r="A21" s="37">
        <f>Données!A15</f>
        <v>5410</v>
      </c>
      <c r="B21" s="373" t="str">
        <f>Données!B15</f>
        <v>Ormont-Dessous</v>
      </c>
      <c r="C21" s="30">
        <f>VPI!R15</f>
        <v>39461.333506493509</v>
      </c>
      <c r="D21" s="7">
        <f>Données!N15</f>
        <v>22144.5</v>
      </c>
      <c r="E21" s="158">
        <f>Données!O15+Données!P15+Données!R15</f>
        <v>465599.44999999995</v>
      </c>
      <c r="F21" s="349">
        <f t="shared" si="0"/>
        <v>239443.07499999998</v>
      </c>
      <c r="G21" s="349">
        <f>Ecrêtage!M15</f>
        <v>0</v>
      </c>
      <c r="H21" s="350">
        <f t="shared" si="1"/>
        <v>435756.9326836245</v>
      </c>
      <c r="I21" s="222">
        <f t="shared" si="2"/>
        <v>675200.00768362451</v>
      </c>
    </row>
    <row r="22" spans="1:9" s="34" customFormat="1" x14ac:dyDescent="0.25">
      <c r="A22" s="37">
        <f>Données!A16</f>
        <v>5411</v>
      </c>
      <c r="B22" s="373" t="str">
        <f>Données!B16</f>
        <v>Ormont-Dessus</v>
      </c>
      <c r="C22" s="30">
        <f>VPI!R16</f>
        <v>82773.582149122798</v>
      </c>
      <c r="D22" s="7">
        <f>Données!N16</f>
        <v>10064.65</v>
      </c>
      <c r="E22" s="158">
        <f>Données!O16+Données!P16+Données!R16</f>
        <v>994314.90000000014</v>
      </c>
      <c r="F22" s="349">
        <f t="shared" si="0"/>
        <v>500176.84500000009</v>
      </c>
      <c r="G22" s="349">
        <f>Ecrêtage!M16</f>
        <v>168312.40644369941</v>
      </c>
      <c r="H22" s="350">
        <f t="shared" si="1"/>
        <v>914038.0990572063</v>
      </c>
      <c r="I22" s="222">
        <f t="shared" si="2"/>
        <v>1582527.3505009059</v>
      </c>
    </row>
    <row r="23" spans="1:9" s="34" customFormat="1" x14ac:dyDescent="0.25">
      <c r="A23" s="37">
        <f>Données!A17</f>
        <v>5412</v>
      </c>
      <c r="B23" s="373" t="str">
        <f>Données!B17</f>
        <v>Rennaz</v>
      </c>
      <c r="C23" s="30">
        <f>VPI!R17</f>
        <v>31259.838939393936</v>
      </c>
      <c r="D23" s="7">
        <f>Données!N17</f>
        <v>1405262.2</v>
      </c>
      <c r="E23" s="158">
        <f>Données!O17+Données!P17+Données!R17</f>
        <v>314484</v>
      </c>
      <c r="F23" s="349">
        <f t="shared" si="0"/>
        <v>578820.65999999992</v>
      </c>
      <c r="G23" s="349">
        <f>Ecrêtage!M17</f>
        <v>0</v>
      </c>
      <c r="H23" s="350">
        <f t="shared" si="1"/>
        <v>345190.85702395049</v>
      </c>
      <c r="I23" s="222">
        <f t="shared" si="2"/>
        <v>924011.51702395035</v>
      </c>
    </row>
    <row r="24" spans="1:9" s="34" customFormat="1" x14ac:dyDescent="0.25">
      <c r="A24" s="37">
        <f>Données!A18</f>
        <v>5413</v>
      </c>
      <c r="B24" s="373" t="str">
        <f>Données!B18</f>
        <v>Roche</v>
      </c>
      <c r="C24" s="30">
        <f>VPI!R18</f>
        <v>41768.164926470592</v>
      </c>
      <c r="D24" s="7">
        <f>Données!N18</f>
        <v>430564.5</v>
      </c>
      <c r="E24" s="158">
        <f>Données!O18+Données!P18+Données!R18</f>
        <v>664147.85000000009</v>
      </c>
      <c r="F24" s="349">
        <f t="shared" si="0"/>
        <v>461243.27500000002</v>
      </c>
      <c r="G24" s="349">
        <f>Ecrêtage!M18</f>
        <v>0</v>
      </c>
      <c r="H24" s="350">
        <f t="shared" si="1"/>
        <v>461230.42013234471</v>
      </c>
      <c r="I24" s="222">
        <f t="shared" si="2"/>
        <v>922473.69513234473</v>
      </c>
    </row>
    <row r="25" spans="1:9" s="34" customFormat="1" x14ac:dyDescent="0.25">
      <c r="A25" s="37">
        <f>Données!A19</f>
        <v>5414</v>
      </c>
      <c r="B25" s="373" t="str">
        <f>Données!B19</f>
        <v>Villeneuve</v>
      </c>
      <c r="C25" s="30">
        <f>VPI!R19</f>
        <v>175995.0642105263</v>
      </c>
      <c r="D25" s="7">
        <f>Données!N19</f>
        <v>1288832.95</v>
      </c>
      <c r="E25" s="158">
        <f>Données!O19+Données!P19+Données!R19</f>
        <v>1309718.1499999999</v>
      </c>
      <c r="F25" s="349">
        <f t="shared" si="0"/>
        <v>1041508.96</v>
      </c>
      <c r="G25" s="349">
        <f>Ecrêtage!M19</f>
        <v>0</v>
      </c>
      <c r="H25" s="350">
        <f t="shared" si="1"/>
        <v>1943448.4983944267</v>
      </c>
      <c r="I25" s="222">
        <f t="shared" si="2"/>
        <v>2984957.4583944269</v>
      </c>
    </row>
    <row r="26" spans="1:9" s="34" customFormat="1" x14ac:dyDescent="0.25">
      <c r="A26" s="37">
        <f>Données!A20</f>
        <v>5415</v>
      </c>
      <c r="B26" s="373" t="str">
        <f>Données!B20</f>
        <v>Yvorne</v>
      </c>
      <c r="C26" s="30">
        <f>VPI!R20</f>
        <v>36884.950722610716</v>
      </c>
      <c r="D26" s="7">
        <f>Données!N20</f>
        <v>52264.4</v>
      </c>
      <c r="E26" s="158">
        <f>Données!O20+Données!P20+Données!R20</f>
        <v>129395.7</v>
      </c>
      <c r="F26" s="349">
        <f t="shared" si="0"/>
        <v>80377.17</v>
      </c>
      <c r="G26" s="349">
        <f>Ecrêtage!M20</f>
        <v>0</v>
      </c>
      <c r="H26" s="350">
        <f t="shared" si="1"/>
        <v>407306.88906969235</v>
      </c>
      <c r="I26" s="222">
        <f t="shared" si="2"/>
        <v>487684.05906969233</v>
      </c>
    </row>
    <row r="27" spans="1:9" s="34" customFormat="1" x14ac:dyDescent="0.25">
      <c r="A27" s="37">
        <f>Données!A21</f>
        <v>5422</v>
      </c>
      <c r="B27" s="373" t="str">
        <f>Données!B21</f>
        <v>Aubonne</v>
      </c>
      <c r="C27" s="30">
        <f>VPI!R21</f>
        <v>367761.87779411761</v>
      </c>
      <c r="D27" s="7">
        <f>Données!N21</f>
        <v>886986.7</v>
      </c>
      <c r="E27" s="158">
        <f>Données!O21+Données!P21+Données!R21</f>
        <v>966764.8</v>
      </c>
      <c r="F27" s="349">
        <f t="shared" si="0"/>
        <v>749478.40999999992</v>
      </c>
      <c r="G27" s="349">
        <f>Ecrêtage!M21</f>
        <v>3835913.5644705393</v>
      </c>
      <c r="H27" s="350">
        <f t="shared" si="1"/>
        <v>4061058.60054537</v>
      </c>
      <c r="I27" s="222">
        <f t="shared" si="2"/>
        <v>8646450.57501591</v>
      </c>
    </row>
    <row r="28" spans="1:9" s="34" customFormat="1" x14ac:dyDescent="0.25">
      <c r="A28" s="37">
        <f>Données!A22</f>
        <v>5423</v>
      </c>
      <c r="B28" s="373" t="str">
        <f>Données!B22</f>
        <v>Ballens</v>
      </c>
      <c r="C28" s="30">
        <f>VPI!R22</f>
        <v>16526.279041095891</v>
      </c>
      <c r="D28" s="7">
        <f>Données!N22</f>
        <v>22588.9</v>
      </c>
      <c r="E28" s="158">
        <f>Données!O22+Données!P22+Données!R22</f>
        <v>55176.200000000004</v>
      </c>
      <c r="F28" s="349">
        <f t="shared" si="0"/>
        <v>34364.770000000004</v>
      </c>
      <c r="G28" s="349">
        <f>Ecrêtage!M22</f>
        <v>0</v>
      </c>
      <c r="H28" s="350">
        <f t="shared" si="1"/>
        <v>182493.59622975218</v>
      </c>
      <c r="I28" s="222">
        <f t="shared" si="2"/>
        <v>216858.3662297522</v>
      </c>
    </row>
    <row r="29" spans="1:9" s="34" customFormat="1" x14ac:dyDescent="0.25">
      <c r="A29" s="37">
        <f>Données!A23</f>
        <v>5424</v>
      </c>
      <c r="B29" s="373" t="str">
        <f>Données!B23</f>
        <v>Berolle</v>
      </c>
      <c r="C29" s="30">
        <f>VPI!R23</f>
        <v>9736.045430463575</v>
      </c>
      <c r="D29" s="7">
        <f>Données!N23</f>
        <v>0</v>
      </c>
      <c r="E29" s="158">
        <f>Données!O23+Données!P23+Données!R23</f>
        <v>63208</v>
      </c>
      <c r="F29" s="349">
        <f t="shared" si="0"/>
        <v>31604</v>
      </c>
      <c r="G29" s="349">
        <f>Ecrêtage!M23</f>
        <v>0</v>
      </c>
      <c r="H29" s="350">
        <f t="shared" si="1"/>
        <v>107511.55412802</v>
      </c>
      <c r="I29" s="222">
        <f t="shared" si="2"/>
        <v>139115.55412802001</v>
      </c>
    </row>
    <row r="30" spans="1:9" s="34" customFormat="1" x14ac:dyDescent="0.25">
      <c r="A30" s="37">
        <f>Données!A24</f>
        <v>5425</v>
      </c>
      <c r="B30" s="373" t="str">
        <f>Données!B24</f>
        <v>Bière</v>
      </c>
      <c r="C30" s="30">
        <f>VPI!R24</f>
        <v>44858.928245877061</v>
      </c>
      <c r="D30" s="7">
        <f>Données!N24</f>
        <v>98968.25</v>
      </c>
      <c r="E30" s="158">
        <f>Données!O24+Données!P24+Données!R24</f>
        <v>251812.9</v>
      </c>
      <c r="F30" s="349">
        <f t="shared" si="0"/>
        <v>155596.92499999999</v>
      </c>
      <c r="G30" s="349">
        <f>Ecrêtage!M24</f>
        <v>0</v>
      </c>
      <c r="H30" s="350">
        <f t="shared" si="1"/>
        <v>495360.57803727197</v>
      </c>
      <c r="I30" s="222">
        <f t="shared" si="2"/>
        <v>650957.50303727202</v>
      </c>
    </row>
    <row r="31" spans="1:9" s="34" customFormat="1" x14ac:dyDescent="0.25">
      <c r="A31" s="37">
        <f>Données!A25</f>
        <v>5426</v>
      </c>
      <c r="B31" s="373" t="str">
        <f>Données!B25</f>
        <v>Bougy-Villars</v>
      </c>
      <c r="C31" s="30">
        <f>VPI!R25</f>
        <v>68704.794547803613</v>
      </c>
      <c r="D31" s="7">
        <f>Données!N25</f>
        <v>7161</v>
      </c>
      <c r="E31" s="158">
        <f>Données!O25+Données!P25+Données!R25</f>
        <v>1125869.1000000001</v>
      </c>
      <c r="F31" s="349">
        <f t="shared" si="0"/>
        <v>565082.85000000009</v>
      </c>
      <c r="G31" s="349">
        <f>Ecrêtage!M25</f>
        <v>1112349.6947152598</v>
      </c>
      <c r="H31" s="350">
        <f t="shared" si="1"/>
        <v>758681.67323547252</v>
      </c>
      <c r="I31" s="222">
        <f t="shared" si="2"/>
        <v>2436114.2179507324</v>
      </c>
    </row>
    <row r="32" spans="1:9" s="34" customFormat="1" x14ac:dyDescent="0.25">
      <c r="A32" s="37">
        <f>Données!A26</f>
        <v>5427</v>
      </c>
      <c r="B32" s="373" t="str">
        <f>Données!B26</f>
        <v>Féchy</v>
      </c>
      <c r="C32" s="30">
        <f>VPI!R26</f>
        <v>103018.21625</v>
      </c>
      <c r="D32" s="7">
        <f>Données!N26</f>
        <v>16404.099999999999</v>
      </c>
      <c r="E32" s="158">
        <f>Données!O26+Données!P26+Données!R26</f>
        <v>642841.10000000009</v>
      </c>
      <c r="F32" s="349">
        <f t="shared" si="0"/>
        <v>326341.78000000003</v>
      </c>
      <c r="G32" s="349">
        <f>Ecrêtage!M26</f>
        <v>1327609.0602444226</v>
      </c>
      <c r="H32" s="350">
        <f t="shared" si="1"/>
        <v>1137592.1170087007</v>
      </c>
      <c r="I32" s="222">
        <f t="shared" si="2"/>
        <v>2791542.9572531236</v>
      </c>
    </row>
    <row r="33" spans="1:9" s="34" customFormat="1" x14ac:dyDescent="0.25">
      <c r="A33" s="37">
        <f>Données!A27</f>
        <v>5428</v>
      </c>
      <c r="B33" s="373" t="str">
        <f>Données!B27</f>
        <v>Gimel</v>
      </c>
      <c r="C33" s="30">
        <f>VPI!R27</f>
        <v>75149.866461187237</v>
      </c>
      <c r="D33" s="7">
        <f>Données!N27</f>
        <v>202723.35</v>
      </c>
      <c r="E33" s="158">
        <f>Données!O27+Données!P27+Données!R27</f>
        <v>359450.4</v>
      </c>
      <c r="F33" s="349">
        <f t="shared" si="0"/>
        <v>240542.20500000002</v>
      </c>
      <c r="G33" s="349">
        <f>Ecrêtage!M27</f>
        <v>0</v>
      </c>
      <c r="H33" s="350">
        <f t="shared" si="1"/>
        <v>829852.22218408529</v>
      </c>
      <c r="I33" s="222">
        <f t="shared" si="2"/>
        <v>1070394.4271840854</v>
      </c>
    </row>
    <row r="34" spans="1:9" s="34" customFormat="1" x14ac:dyDescent="0.25">
      <c r="A34" s="37">
        <f>Données!A28</f>
        <v>5429</v>
      </c>
      <c r="B34" s="373" t="str">
        <f>Données!B28</f>
        <v>Longirod</v>
      </c>
      <c r="C34" s="30">
        <f>VPI!R28</f>
        <v>17947.478064516126</v>
      </c>
      <c r="D34" s="7">
        <f>Données!N28</f>
        <v>9146.9500000000007</v>
      </c>
      <c r="E34" s="158">
        <f>Données!O28+Données!P28+Données!R28</f>
        <v>60829.7</v>
      </c>
      <c r="F34" s="349">
        <f t="shared" si="0"/>
        <v>33158.934999999998</v>
      </c>
      <c r="G34" s="349">
        <f>Ecrêtage!M28</f>
        <v>0</v>
      </c>
      <c r="H34" s="350">
        <f t="shared" si="1"/>
        <v>198187.37219088781</v>
      </c>
      <c r="I34" s="222">
        <f t="shared" si="2"/>
        <v>231346.3071908878</v>
      </c>
    </row>
    <row r="35" spans="1:9" s="34" customFormat="1" x14ac:dyDescent="0.25">
      <c r="A35" s="37">
        <f>Données!A29</f>
        <v>5430</v>
      </c>
      <c r="B35" s="373" t="str">
        <f>Données!B29</f>
        <v>Marchissy</v>
      </c>
      <c r="C35" s="30">
        <f>VPI!R29</f>
        <v>16228.828774193547</v>
      </c>
      <c r="D35" s="7">
        <f>Données!N29</f>
        <v>14843</v>
      </c>
      <c r="E35" s="158">
        <f>Données!O29+Données!P29+Données!R29</f>
        <v>30587.599999999999</v>
      </c>
      <c r="F35" s="349">
        <f t="shared" si="0"/>
        <v>19746.699999999997</v>
      </c>
      <c r="G35" s="349">
        <f>Ecrêtage!M29</f>
        <v>0</v>
      </c>
      <c r="H35" s="350">
        <f t="shared" si="1"/>
        <v>179208.96278192502</v>
      </c>
      <c r="I35" s="222">
        <f t="shared" si="2"/>
        <v>198955.662781925</v>
      </c>
    </row>
    <row r="36" spans="1:9" s="34" customFormat="1" x14ac:dyDescent="0.25">
      <c r="A36" s="37">
        <f>Données!A30</f>
        <v>5431</v>
      </c>
      <c r="B36" s="373" t="str">
        <f>Données!B30</f>
        <v>Mollens</v>
      </c>
      <c r="C36" s="30">
        <f>VPI!R30</f>
        <v>10701.336756756757</v>
      </c>
      <c r="D36" s="7">
        <f>Données!N30</f>
        <v>0</v>
      </c>
      <c r="E36" s="158">
        <f>Données!O30+Données!P30+Données!R30</f>
        <v>115912.45</v>
      </c>
      <c r="F36" s="349">
        <f t="shared" si="0"/>
        <v>57956.224999999999</v>
      </c>
      <c r="G36" s="349">
        <f>Ecrêtage!M30</f>
        <v>0</v>
      </c>
      <c r="H36" s="350">
        <f t="shared" si="1"/>
        <v>118170.90975832094</v>
      </c>
      <c r="I36" s="222">
        <f t="shared" si="2"/>
        <v>176127.13475832093</v>
      </c>
    </row>
    <row r="37" spans="1:9" s="34" customFormat="1" x14ac:dyDescent="0.25">
      <c r="A37" s="37">
        <f>Données!A31</f>
        <v>5434</v>
      </c>
      <c r="B37" s="373" t="str">
        <f>Données!B31</f>
        <v>Saint-George</v>
      </c>
      <c r="C37" s="30">
        <f>VPI!R31</f>
        <v>50881.209304556367</v>
      </c>
      <c r="D37" s="7">
        <f>Données!N31</f>
        <v>33647.599999999999</v>
      </c>
      <c r="E37" s="158">
        <f>Données!O31+Données!P31+Données!R31</f>
        <v>138417.35</v>
      </c>
      <c r="F37" s="349">
        <f t="shared" si="0"/>
        <v>79302.955000000002</v>
      </c>
      <c r="G37" s="349">
        <f>Ecrêtage!M31</f>
        <v>0</v>
      </c>
      <c r="H37" s="350">
        <f t="shared" si="1"/>
        <v>561862.40371574159</v>
      </c>
      <c r="I37" s="222">
        <f t="shared" si="2"/>
        <v>641165.35871574155</v>
      </c>
    </row>
    <row r="38" spans="1:9" s="34" customFormat="1" x14ac:dyDescent="0.25">
      <c r="A38" s="37">
        <f>Données!A32</f>
        <v>5435</v>
      </c>
      <c r="B38" s="373" t="str">
        <f>Données!B32</f>
        <v>Saint-Livres</v>
      </c>
      <c r="C38" s="30">
        <f>VPI!R32</f>
        <v>27013.42144927536</v>
      </c>
      <c r="D38" s="7">
        <f>Données!N32</f>
        <v>4996.1499999999996</v>
      </c>
      <c r="E38" s="158">
        <f>Données!O32+Données!P32+Données!R32</f>
        <v>102129.65</v>
      </c>
      <c r="F38" s="349">
        <f t="shared" si="0"/>
        <v>52563.67</v>
      </c>
      <c r="G38" s="349">
        <f>Ecrêtage!M32</f>
        <v>0</v>
      </c>
      <c r="H38" s="350">
        <f t="shared" si="1"/>
        <v>298299.23689956532</v>
      </c>
      <c r="I38" s="222">
        <f t="shared" si="2"/>
        <v>350862.90689956531</v>
      </c>
    </row>
    <row r="39" spans="1:9" s="34" customFormat="1" x14ac:dyDescent="0.25">
      <c r="A39" s="37">
        <f>Données!A33</f>
        <v>5436</v>
      </c>
      <c r="B39" s="373" t="str">
        <f>Données!B33</f>
        <v>Saint-Oyens</v>
      </c>
      <c r="C39" s="30">
        <f>VPI!R33</f>
        <v>17587.95702531646</v>
      </c>
      <c r="D39" s="7">
        <f>Données!N33</f>
        <v>2310.6</v>
      </c>
      <c r="E39" s="158">
        <f>Données!O33+Données!P33+Données!R33</f>
        <v>193977.15</v>
      </c>
      <c r="F39" s="349">
        <f t="shared" si="0"/>
        <v>97681.75499999999</v>
      </c>
      <c r="G39" s="349">
        <f>Ecrêtage!M33</f>
        <v>0</v>
      </c>
      <c r="H39" s="350">
        <f t="shared" si="1"/>
        <v>194217.31412756626</v>
      </c>
      <c r="I39" s="222">
        <f t="shared" si="2"/>
        <v>291899.06912756624</v>
      </c>
    </row>
    <row r="40" spans="1:9" s="34" customFormat="1" x14ac:dyDescent="0.25">
      <c r="A40" s="37">
        <f>Données!A34</f>
        <v>5437</v>
      </c>
      <c r="B40" s="373" t="str">
        <f>Données!B34</f>
        <v>Saubraz</v>
      </c>
      <c r="C40" s="30">
        <f>VPI!R34</f>
        <v>13211.02075</v>
      </c>
      <c r="D40" s="7">
        <f>Données!N34</f>
        <v>1461.3</v>
      </c>
      <c r="E40" s="158">
        <f>Données!O34+Données!P34+Données!R34</f>
        <v>99288.55</v>
      </c>
      <c r="F40" s="349">
        <f t="shared" si="0"/>
        <v>50082.665000000001</v>
      </c>
      <c r="G40" s="349">
        <f>Ecrêtage!M34</f>
        <v>0</v>
      </c>
      <c r="H40" s="350">
        <f t="shared" si="1"/>
        <v>145884.4232593512</v>
      </c>
      <c r="I40" s="222">
        <f t="shared" si="2"/>
        <v>195967.08825935121</v>
      </c>
    </row>
    <row r="41" spans="1:9" s="34" customFormat="1" x14ac:dyDescent="0.25">
      <c r="A41" s="37">
        <f>Données!A35</f>
        <v>5451</v>
      </c>
      <c r="B41" s="373" t="str">
        <f>Données!B35</f>
        <v>Avenches</v>
      </c>
      <c r="C41" s="30">
        <f>VPI!R35</f>
        <v>142009.89482051283</v>
      </c>
      <c r="D41" s="7">
        <f>Données!N35</f>
        <v>613940.9</v>
      </c>
      <c r="E41" s="158">
        <f>Données!O35+Données!P35+Données!R35</f>
        <v>679397.75</v>
      </c>
      <c r="F41" s="349">
        <f t="shared" si="0"/>
        <v>523881.14500000002</v>
      </c>
      <c r="G41" s="349">
        <f>Ecrêtage!M35</f>
        <v>0</v>
      </c>
      <c r="H41" s="350">
        <f t="shared" si="1"/>
        <v>1568162.8236797403</v>
      </c>
      <c r="I41" s="222">
        <f t="shared" si="2"/>
        <v>2092043.9686797403</v>
      </c>
    </row>
    <row r="42" spans="1:9" s="34" customFormat="1" x14ac:dyDescent="0.25">
      <c r="A42" s="37">
        <f>Données!A36</f>
        <v>5456</v>
      </c>
      <c r="B42" s="373" t="str">
        <f>Données!B36</f>
        <v>Cudrefin</v>
      </c>
      <c r="C42" s="30">
        <f>VPI!R36</f>
        <v>69270.195988700565</v>
      </c>
      <c r="D42" s="7">
        <f>Données!N36</f>
        <v>0</v>
      </c>
      <c r="E42" s="158">
        <f>Données!O36+Données!P36+Données!R36</f>
        <v>316317.05</v>
      </c>
      <c r="F42" s="349">
        <f t="shared" si="0"/>
        <v>158158.52499999999</v>
      </c>
      <c r="G42" s="349">
        <f>Ecrêtage!M36</f>
        <v>0</v>
      </c>
      <c r="H42" s="350">
        <f t="shared" si="1"/>
        <v>764925.19254227995</v>
      </c>
      <c r="I42" s="222">
        <f t="shared" si="2"/>
        <v>923083.71754227998</v>
      </c>
    </row>
    <row r="43" spans="1:9" s="34" customFormat="1" x14ac:dyDescent="0.25">
      <c r="A43" s="37">
        <f>Données!A37</f>
        <v>5458</v>
      </c>
      <c r="B43" s="373" t="str">
        <f>Données!B37</f>
        <v>Faoug</v>
      </c>
      <c r="C43" s="30">
        <f>VPI!R37</f>
        <v>33300.633333333331</v>
      </c>
      <c r="D43" s="7">
        <f>Données!N37</f>
        <v>8395.4</v>
      </c>
      <c r="E43" s="158">
        <f>Données!O37+Données!P37+Données!R37</f>
        <v>157430.54999999999</v>
      </c>
      <c r="F43" s="349">
        <f t="shared" si="0"/>
        <v>81233.89499999999</v>
      </c>
      <c r="G43" s="349">
        <f>Ecrêtage!M37</f>
        <v>0</v>
      </c>
      <c r="H43" s="350">
        <f t="shared" si="1"/>
        <v>367726.59584267618</v>
      </c>
      <c r="I43" s="222">
        <f t="shared" si="2"/>
        <v>448960.49084267614</v>
      </c>
    </row>
    <row r="44" spans="1:9" s="34" customFormat="1" x14ac:dyDescent="0.25">
      <c r="A44" s="37">
        <f>Données!A38</f>
        <v>5464</v>
      </c>
      <c r="B44" s="373" t="str">
        <f>Données!B38</f>
        <v>Vully-les-Lacs</v>
      </c>
      <c r="C44" s="30">
        <f>VPI!R38</f>
        <v>124498.36985074625</v>
      </c>
      <c r="D44" s="7">
        <f>Données!N38</f>
        <v>2999.75</v>
      </c>
      <c r="E44" s="158">
        <f>Données!O38+Données!P38+Données!R38</f>
        <v>717601.45</v>
      </c>
      <c r="F44" s="349">
        <f t="shared" si="0"/>
        <v>359700.64999999997</v>
      </c>
      <c r="G44" s="349">
        <f>Ecrêtage!M38</f>
        <v>0</v>
      </c>
      <c r="H44" s="350">
        <f t="shared" si="1"/>
        <v>1374789.5205149469</v>
      </c>
      <c r="I44" s="222">
        <f t="shared" si="2"/>
        <v>1734490.1705149468</v>
      </c>
    </row>
    <row r="45" spans="1:9" s="34" customFormat="1" x14ac:dyDescent="0.25">
      <c r="A45" s="37">
        <f>Données!A39</f>
        <v>5471</v>
      </c>
      <c r="B45" s="373" t="str">
        <f>Données!B39</f>
        <v>Bettens</v>
      </c>
      <c r="C45" s="30">
        <f>VPI!R39</f>
        <v>23785.854190476188</v>
      </c>
      <c r="D45" s="7">
        <f>Données!N39</f>
        <v>7016.6</v>
      </c>
      <c r="E45" s="158">
        <f>Données!O39+Données!P39+Données!R39</f>
        <v>210978.34999999998</v>
      </c>
      <c r="F45" s="349">
        <f t="shared" si="0"/>
        <v>107594.15499999998</v>
      </c>
      <c r="G45" s="349">
        <f>Ecrêtage!M39</f>
        <v>0</v>
      </c>
      <c r="H45" s="350">
        <f t="shared" si="1"/>
        <v>262658.40361416742</v>
      </c>
      <c r="I45" s="222">
        <f t="shared" si="2"/>
        <v>370252.55861416738</v>
      </c>
    </row>
    <row r="46" spans="1:9" s="34" customFormat="1" x14ac:dyDescent="0.25">
      <c r="A46" s="37">
        <f>Données!A40</f>
        <v>5472</v>
      </c>
      <c r="B46" s="373" t="str">
        <f>Données!B40</f>
        <v>Bournens</v>
      </c>
      <c r="C46" s="30">
        <f>VPI!R40</f>
        <v>19794.03169230769</v>
      </c>
      <c r="D46" s="7">
        <f>Données!N40</f>
        <v>0</v>
      </c>
      <c r="E46" s="158">
        <f>Données!O40+Données!P40+Données!R40</f>
        <v>115179.6</v>
      </c>
      <c r="F46" s="349">
        <f t="shared" si="0"/>
        <v>57589.8</v>
      </c>
      <c r="G46" s="349">
        <f>Ecrêtage!M40</f>
        <v>0</v>
      </c>
      <c r="H46" s="350">
        <f t="shared" si="1"/>
        <v>218578.18196293627</v>
      </c>
      <c r="I46" s="222">
        <f t="shared" si="2"/>
        <v>276167.98196293629</v>
      </c>
    </row>
    <row r="47" spans="1:9" s="34" customFormat="1" x14ac:dyDescent="0.25">
      <c r="A47" s="37">
        <f>Données!A41</f>
        <v>5473</v>
      </c>
      <c r="B47" s="373" t="str">
        <f>Données!B41</f>
        <v>Boussens</v>
      </c>
      <c r="C47" s="30">
        <f>VPI!R41</f>
        <v>38638.005156250001</v>
      </c>
      <c r="D47" s="7">
        <f>Données!N41</f>
        <v>6281.35</v>
      </c>
      <c r="E47" s="158">
        <f>Données!O41+Données!P41+Données!R41</f>
        <v>131996.29999999999</v>
      </c>
      <c r="F47" s="349">
        <f t="shared" si="0"/>
        <v>67882.554999999993</v>
      </c>
      <c r="G47" s="349">
        <f>Ecrêtage!M41</f>
        <v>0</v>
      </c>
      <c r="H47" s="350">
        <f t="shared" si="1"/>
        <v>426665.22177034424</v>
      </c>
      <c r="I47" s="222">
        <f t="shared" si="2"/>
        <v>494547.77677034424</v>
      </c>
    </row>
    <row r="48" spans="1:9" s="34" customFormat="1" x14ac:dyDescent="0.25">
      <c r="A48" s="37">
        <f>Données!A42</f>
        <v>5474</v>
      </c>
      <c r="B48" s="373" t="str">
        <f>Données!B42</f>
        <v>La Chaux (Cossonay)</v>
      </c>
      <c r="C48" s="30">
        <f>VPI!R42</f>
        <v>13264.060789473682</v>
      </c>
      <c r="D48" s="7">
        <f>Données!N42</f>
        <v>3549.4</v>
      </c>
      <c r="E48" s="158">
        <f>Données!O42+Données!P42+Données!R42</f>
        <v>95032.6</v>
      </c>
      <c r="F48" s="349">
        <f t="shared" si="0"/>
        <v>48581.120000000003</v>
      </c>
      <c r="G48" s="349">
        <f>Ecrêtage!M42</f>
        <v>0</v>
      </c>
      <c r="H48" s="350">
        <f t="shared" si="1"/>
        <v>146470.12482735998</v>
      </c>
      <c r="I48" s="222">
        <f t="shared" si="2"/>
        <v>195051.24482735997</v>
      </c>
    </row>
    <row r="49" spans="1:9" s="34" customFormat="1" x14ac:dyDescent="0.25">
      <c r="A49" s="37">
        <f>Données!A43</f>
        <v>5475</v>
      </c>
      <c r="B49" s="373" t="str">
        <f>Données!B43</f>
        <v>Chavannes-le-Veyron</v>
      </c>
      <c r="C49" s="30">
        <f>VPI!R43</f>
        <v>4088.5965333333334</v>
      </c>
      <c r="D49" s="7">
        <f>Données!N43</f>
        <v>0</v>
      </c>
      <c r="E49" s="158">
        <f>Données!O43+Données!P43+Données!R43</f>
        <v>122327.9</v>
      </c>
      <c r="F49" s="349">
        <f t="shared" si="0"/>
        <v>61163.95</v>
      </c>
      <c r="G49" s="349">
        <f>Ecrêtage!M43</f>
        <v>0</v>
      </c>
      <c r="H49" s="350">
        <f t="shared" si="1"/>
        <v>45148.861582517464</v>
      </c>
      <c r="I49" s="222">
        <f t="shared" si="2"/>
        <v>106312.81158251746</v>
      </c>
    </row>
    <row r="50" spans="1:9" s="34" customFormat="1" x14ac:dyDescent="0.25">
      <c r="A50" s="37">
        <f>Données!A44</f>
        <v>5476</v>
      </c>
      <c r="B50" s="373" t="str">
        <f>Données!B44</f>
        <v>Chevilly</v>
      </c>
      <c r="C50" s="30">
        <f>VPI!R44</f>
        <v>11956.878714285715</v>
      </c>
      <c r="D50" s="7">
        <f>Données!N44</f>
        <v>0</v>
      </c>
      <c r="E50" s="158">
        <f>Données!O44+Données!P44+Données!R44</f>
        <v>61193.35</v>
      </c>
      <c r="F50" s="349">
        <f t="shared" si="0"/>
        <v>30596.674999999999</v>
      </c>
      <c r="G50" s="349">
        <f>Ecrêtage!M44</f>
        <v>0</v>
      </c>
      <c r="H50" s="350">
        <f t="shared" si="1"/>
        <v>132035.39591863743</v>
      </c>
      <c r="I50" s="222">
        <f t="shared" si="2"/>
        <v>162632.07091863742</v>
      </c>
    </row>
    <row r="51" spans="1:9" s="34" customFormat="1" x14ac:dyDescent="0.25">
      <c r="A51" s="37">
        <f>Données!A45</f>
        <v>5477</v>
      </c>
      <c r="B51" s="373" t="str">
        <f>Données!B45</f>
        <v>Cossonay</v>
      </c>
      <c r="C51" s="30">
        <f>VPI!R45</f>
        <v>181500.7204411765</v>
      </c>
      <c r="D51" s="7">
        <f>Données!N45</f>
        <v>203349.35</v>
      </c>
      <c r="E51" s="158">
        <f>Données!O45+Données!P45+Données!R45</f>
        <v>2073397.45</v>
      </c>
      <c r="F51" s="349">
        <f t="shared" si="0"/>
        <v>1097703.53</v>
      </c>
      <c r="G51" s="349">
        <f>Ecrêtage!M45</f>
        <v>0</v>
      </c>
      <c r="H51" s="350">
        <f t="shared" si="1"/>
        <v>2004245.42688859</v>
      </c>
      <c r="I51" s="222">
        <f t="shared" si="2"/>
        <v>3101948.95688859</v>
      </c>
    </row>
    <row r="52" spans="1:9" s="34" customFormat="1" x14ac:dyDescent="0.25">
      <c r="A52" s="37">
        <f>Données!A46</f>
        <v>5479</v>
      </c>
      <c r="B52" s="373" t="str">
        <f>Données!B46</f>
        <v>Cuarnens</v>
      </c>
      <c r="C52" s="30">
        <f>VPI!R46</f>
        <v>19152.633421052633</v>
      </c>
      <c r="D52" s="7">
        <f>Données!N46</f>
        <v>1838.5</v>
      </c>
      <c r="E52" s="158">
        <f>Données!O46+Données!P46+Données!R46</f>
        <v>38498.550000000003</v>
      </c>
      <c r="F52" s="349">
        <f t="shared" si="0"/>
        <v>19800.825000000001</v>
      </c>
      <c r="G52" s="349">
        <f>Ecrêtage!M46</f>
        <v>0</v>
      </c>
      <c r="H52" s="350">
        <f t="shared" si="1"/>
        <v>211495.45772441829</v>
      </c>
      <c r="I52" s="222">
        <f t="shared" si="2"/>
        <v>231296.2827244183</v>
      </c>
    </row>
    <row r="53" spans="1:9" s="34" customFormat="1" x14ac:dyDescent="0.25">
      <c r="A53" s="37">
        <f>Données!A47</f>
        <v>5480</v>
      </c>
      <c r="B53" s="373" t="str">
        <f>Données!B47</f>
        <v>Daillens</v>
      </c>
      <c r="C53" s="30">
        <f>VPI!R47</f>
        <v>49509.108484848482</v>
      </c>
      <c r="D53" s="7">
        <f>Données!N47</f>
        <v>169170.25</v>
      </c>
      <c r="E53" s="158">
        <f>Données!O47+Données!P47+Données!R47</f>
        <v>367711.15</v>
      </c>
      <c r="F53" s="349">
        <f t="shared" si="0"/>
        <v>234606.65000000002</v>
      </c>
      <c r="G53" s="349">
        <f>Ecrêtage!M47</f>
        <v>0</v>
      </c>
      <c r="H53" s="350">
        <f t="shared" si="1"/>
        <v>546710.80108603812</v>
      </c>
      <c r="I53" s="222">
        <f t="shared" si="2"/>
        <v>781317.45108603814</v>
      </c>
    </row>
    <row r="54" spans="1:9" s="34" customFormat="1" x14ac:dyDescent="0.25">
      <c r="A54" s="37">
        <f>Données!A48</f>
        <v>5481</v>
      </c>
      <c r="B54" s="373" t="str">
        <f>Données!B48</f>
        <v>Dizy</v>
      </c>
      <c r="C54" s="30">
        <f>VPI!R48</f>
        <v>12384.965733333334</v>
      </c>
      <c r="D54" s="7">
        <f>Données!N48</f>
        <v>0</v>
      </c>
      <c r="E54" s="158">
        <f>Données!O48+Données!P48+Données!R48</f>
        <v>41990</v>
      </c>
      <c r="F54" s="349">
        <f t="shared" si="0"/>
        <v>20995</v>
      </c>
      <c r="G54" s="349">
        <f>Ecrêtage!M48</f>
        <v>7397.8873049700787</v>
      </c>
      <c r="H54" s="350">
        <f t="shared" si="1"/>
        <v>136762.60277572882</v>
      </c>
      <c r="I54" s="222">
        <f t="shared" si="2"/>
        <v>165155.49008069892</v>
      </c>
    </row>
    <row r="55" spans="1:9" s="34" customFormat="1" x14ac:dyDescent="0.25">
      <c r="A55" s="37">
        <f>Données!A49</f>
        <v>5482</v>
      </c>
      <c r="B55" s="373" t="str">
        <f>Données!B49</f>
        <v>Eclépens</v>
      </c>
      <c r="C55" s="30">
        <f>VPI!R49</f>
        <v>54393.337391304347</v>
      </c>
      <c r="D55" s="7">
        <f>Données!N49</f>
        <v>562868</v>
      </c>
      <c r="E55" s="158">
        <f>Données!O49+Données!P49+Données!R49</f>
        <v>87445.6</v>
      </c>
      <c r="F55" s="349">
        <f t="shared" si="0"/>
        <v>212583.2</v>
      </c>
      <c r="G55" s="349">
        <f>Ecrêtage!M49</f>
        <v>0</v>
      </c>
      <c r="H55" s="350">
        <f t="shared" si="1"/>
        <v>600645.5371347242</v>
      </c>
      <c r="I55" s="222">
        <f t="shared" si="2"/>
        <v>813228.73713472416</v>
      </c>
    </row>
    <row r="56" spans="1:9" s="34" customFormat="1" x14ac:dyDescent="0.25">
      <c r="A56" s="37">
        <f>Données!A50</f>
        <v>5483</v>
      </c>
      <c r="B56" s="373" t="str">
        <f>Données!B50</f>
        <v>Ferreyres</v>
      </c>
      <c r="C56" s="30">
        <f>VPI!R50</f>
        <v>11195.615526315791</v>
      </c>
      <c r="D56" s="7">
        <f>Données!N50</f>
        <v>2280.15</v>
      </c>
      <c r="E56" s="158">
        <f>Données!O50+Données!P50+Données!R50</f>
        <v>30506.45</v>
      </c>
      <c r="F56" s="349">
        <f t="shared" si="0"/>
        <v>15937.27</v>
      </c>
      <c r="G56" s="349">
        <f>Ecrêtage!M50</f>
        <v>0</v>
      </c>
      <c r="H56" s="350">
        <f t="shared" si="1"/>
        <v>123629.04767143121</v>
      </c>
      <c r="I56" s="222">
        <f t="shared" si="2"/>
        <v>139566.3176714312</v>
      </c>
    </row>
    <row r="57" spans="1:9" s="34" customFormat="1" x14ac:dyDescent="0.25">
      <c r="A57" s="37">
        <f>Données!A51</f>
        <v>5484</v>
      </c>
      <c r="B57" s="373" t="str">
        <f>Données!B51</f>
        <v>Gollion</v>
      </c>
      <c r="C57" s="30">
        <f>VPI!R51</f>
        <v>33718.962837837833</v>
      </c>
      <c r="D57" s="7">
        <f>Données!N51</f>
        <v>45273.95</v>
      </c>
      <c r="E57" s="158">
        <f>Données!O51+Données!P51+Données!R51</f>
        <v>226308.55</v>
      </c>
      <c r="F57" s="349">
        <f t="shared" si="0"/>
        <v>126736.45999999999</v>
      </c>
      <c r="G57" s="349">
        <f>Ecrêtage!M51</f>
        <v>0</v>
      </c>
      <c r="H57" s="350">
        <f t="shared" si="1"/>
        <v>372346.05407015717</v>
      </c>
      <c r="I57" s="222">
        <f t="shared" si="2"/>
        <v>499082.51407015719</v>
      </c>
    </row>
    <row r="58" spans="1:9" s="34" customFormat="1" x14ac:dyDescent="0.25">
      <c r="A58" s="37">
        <f>Données!A52</f>
        <v>5485</v>
      </c>
      <c r="B58" s="373" t="str">
        <f>Données!B52</f>
        <v>Grancy</v>
      </c>
      <c r="C58" s="30">
        <f>VPI!R52</f>
        <v>26449.499428571431</v>
      </c>
      <c r="D58" s="7">
        <f>Données!N52</f>
        <v>6368.85</v>
      </c>
      <c r="E58" s="158">
        <f>Données!O52+Données!P52+Données!R52</f>
        <v>141827.75</v>
      </c>
      <c r="F58" s="349">
        <f t="shared" si="0"/>
        <v>72824.53</v>
      </c>
      <c r="G58" s="349">
        <f>Ecrêtage!M52</f>
        <v>0</v>
      </c>
      <c r="H58" s="350">
        <f t="shared" si="1"/>
        <v>292072.05428359366</v>
      </c>
      <c r="I58" s="222">
        <f t="shared" si="2"/>
        <v>364896.58428359369</v>
      </c>
    </row>
    <row r="59" spans="1:9" s="34" customFormat="1" x14ac:dyDescent="0.25">
      <c r="A59" s="37">
        <f>Données!A53</f>
        <v>5486</v>
      </c>
      <c r="B59" s="373" t="str">
        <f>Données!B53</f>
        <v>L'Isle</v>
      </c>
      <c r="C59" s="30">
        <f>VPI!R53</f>
        <v>36962.66320000001</v>
      </c>
      <c r="D59" s="7">
        <f>Données!N53</f>
        <v>48981.1</v>
      </c>
      <c r="E59" s="158">
        <f>Données!O53+Données!P53+Données!R53</f>
        <v>257407.85</v>
      </c>
      <c r="F59" s="349">
        <f t="shared" si="0"/>
        <v>143398.255</v>
      </c>
      <c r="G59" s="349">
        <f>Ecrêtage!M53</f>
        <v>0</v>
      </c>
      <c r="H59" s="350">
        <f t="shared" si="1"/>
        <v>408165.03925797303</v>
      </c>
      <c r="I59" s="222">
        <f t="shared" si="2"/>
        <v>551563.29425797309</v>
      </c>
    </row>
    <row r="60" spans="1:9" s="34" customFormat="1" x14ac:dyDescent="0.25">
      <c r="A60" s="37">
        <f>Données!A54</f>
        <v>5487</v>
      </c>
      <c r="B60" s="373" t="str">
        <f>Données!B54</f>
        <v>Lussery-Villars</v>
      </c>
      <c r="C60" s="30">
        <f>VPI!R54</f>
        <v>15075.076666666666</v>
      </c>
      <c r="D60" s="7">
        <f>Données!N54</f>
        <v>0</v>
      </c>
      <c r="E60" s="158">
        <f>Données!O54+Données!P54+Données!R54</f>
        <v>84870.25</v>
      </c>
      <c r="F60" s="349">
        <f t="shared" si="0"/>
        <v>42435.125</v>
      </c>
      <c r="G60" s="349">
        <f>Ecrêtage!M54</f>
        <v>0</v>
      </c>
      <c r="H60" s="350">
        <f t="shared" si="1"/>
        <v>166468.504343782</v>
      </c>
      <c r="I60" s="222">
        <f t="shared" si="2"/>
        <v>208903.629343782</v>
      </c>
    </row>
    <row r="61" spans="1:9" s="34" customFormat="1" x14ac:dyDescent="0.25">
      <c r="A61" s="37">
        <f>Données!A55</f>
        <v>5488</v>
      </c>
      <c r="B61" s="373" t="str">
        <f>Données!B55</f>
        <v>Mauraz</v>
      </c>
      <c r="C61" s="30">
        <f>VPI!R55</f>
        <v>1889.5633766233766</v>
      </c>
      <c r="D61" s="7">
        <f>Données!N55</f>
        <v>0</v>
      </c>
      <c r="E61" s="158">
        <f>Données!O55+Données!P55+Données!R55</f>
        <v>0</v>
      </c>
      <c r="F61" s="349">
        <f t="shared" si="0"/>
        <v>0</v>
      </c>
      <c r="G61" s="349">
        <f>Ecrêtage!M55</f>
        <v>0</v>
      </c>
      <c r="H61" s="350">
        <f t="shared" si="1"/>
        <v>20865.750544725586</v>
      </c>
      <c r="I61" s="222">
        <f t="shared" si="2"/>
        <v>20865.750544725586</v>
      </c>
    </row>
    <row r="62" spans="1:9" s="34" customFormat="1" x14ac:dyDescent="0.25">
      <c r="A62" s="37">
        <f>Données!A56</f>
        <v>5489</v>
      </c>
      <c r="B62" s="373" t="str">
        <f>Données!B56</f>
        <v>Mex</v>
      </c>
      <c r="C62" s="30">
        <f>VPI!R56</f>
        <v>77108.405546218492</v>
      </c>
      <c r="D62" s="7">
        <f>Données!N56</f>
        <v>226939.06</v>
      </c>
      <c r="E62" s="158">
        <f>Données!O56+Données!P56+Données!R56</f>
        <v>70409.05</v>
      </c>
      <c r="F62" s="349">
        <f t="shared" si="0"/>
        <v>103286.24299999999</v>
      </c>
      <c r="G62" s="349">
        <f>Ecrêtage!M56</f>
        <v>704777.81663647969</v>
      </c>
      <c r="H62" s="350">
        <f t="shared" si="1"/>
        <v>851479.64600375353</v>
      </c>
      <c r="I62" s="222">
        <f t="shared" si="2"/>
        <v>1659543.7056402331</v>
      </c>
    </row>
    <row r="63" spans="1:9" s="34" customFormat="1" x14ac:dyDescent="0.25">
      <c r="A63" s="37">
        <f>Données!A57</f>
        <v>5490</v>
      </c>
      <c r="B63" s="373" t="str">
        <f>Données!B57</f>
        <v>Moiry</v>
      </c>
      <c r="C63" s="30">
        <f>VPI!R57</f>
        <v>8086.7260526315777</v>
      </c>
      <c r="D63" s="7">
        <f>Données!N57</f>
        <v>0</v>
      </c>
      <c r="E63" s="158">
        <f>Données!O57+Données!P57+Données!R57</f>
        <v>177474</v>
      </c>
      <c r="F63" s="349">
        <f t="shared" si="0"/>
        <v>88737</v>
      </c>
      <c r="G63" s="349">
        <f>Ecrêtage!M57</f>
        <v>0</v>
      </c>
      <c r="H63" s="350">
        <f t="shared" si="1"/>
        <v>89298.729338876219</v>
      </c>
      <c r="I63" s="222">
        <f t="shared" si="2"/>
        <v>178035.7293388762</v>
      </c>
    </row>
    <row r="64" spans="1:9" s="34" customFormat="1" x14ac:dyDescent="0.25">
      <c r="A64" s="37">
        <f>Données!A58</f>
        <v>5491</v>
      </c>
      <c r="B64" s="373" t="str">
        <f>Données!B58</f>
        <v>Mont-la-Ville</v>
      </c>
      <c r="C64" s="30">
        <f>VPI!R58</f>
        <v>14059.996578947368</v>
      </c>
      <c r="D64" s="7">
        <f>Données!N58</f>
        <v>777.55</v>
      </c>
      <c r="E64" s="158">
        <f>Données!O58+Données!P58+Données!R58</f>
        <v>98806.450000000012</v>
      </c>
      <c r="F64" s="349">
        <f t="shared" si="0"/>
        <v>49636.490000000005</v>
      </c>
      <c r="G64" s="349">
        <f>Ecrêtage!M58</f>
        <v>0</v>
      </c>
      <c r="H64" s="350">
        <f t="shared" si="1"/>
        <v>155259.34980824156</v>
      </c>
      <c r="I64" s="222">
        <f t="shared" si="2"/>
        <v>204895.83980824158</v>
      </c>
    </row>
    <row r="65" spans="1:9" s="34" customFormat="1" x14ac:dyDescent="0.25">
      <c r="A65" s="37">
        <f>Données!A59</f>
        <v>5492</v>
      </c>
      <c r="B65" s="373" t="str">
        <f>Données!B59</f>
        <v>Montricher</v>
      </c>
      <c r="C65" s="30">
        <f>VPI!R59</f>
        <v>198155.03156250002</v>
      </c>
      <c r="D65" s="7">
        <f>Données!N59</f>
        <v>5271.85</v>
      </c>
      <c r="E65" s="158">
        <f>Données!O59+Données!P59+Données!R59</f>
        <v>2957571.75</v>
      </c>
      <c r="F65" s="349">
        <f t="shared" si="0"/>
        <v>1480367.43</v>
      </c>
      <c r="G65" s="349">
        <f>Ecrêtage!M59</f>
        <v>4684104.7666472914</v>
      </c>
      <c r="H65" s="350">
        <f t="shared" si="1"/>
        <v>2188152.8340975358</v>
      </c>
      <c r="I65" s="222">
        <f t="shared" si="2"/>
        <v>8352625.0307448274</v>
      </c>
    </row>
    <row r="66" spans="1:9" s="34" customFormat="1" x14ac:dyDescent="0.25">
      <c r="A66" s="37">
        <f>Données!A60</f>
        <v>5493</v>
      </c>
      <c r="B66" s="373" t="str">
        <f>Données!B60</f>
        <v>Orny</v>
      </c>
      <c r="C66" s="30">
        <f>VPI!R60</f>
        <v>16121.406280295052</v>
      </c>
      <c r="D66" s="7">
        <f>Données!N60</f>
        <v>63177.25</v>
      </c>
      <c r="E66" s="158">
        <f>Données!O60+Données!P60+Données!R60</f>
        <v>58060.149999999994</v>
      </c>
      <c r="F66" s="349">
        <f t="shared" si="0"/>
        <v>47983.25</v>
      </c>
      <c r="G66" s="349">
        <f>Ecrêtage!M60</f>
        <v>0</v>
      </c>
      <c r="H66" s="350">
        <f t="shared" si="1"/>
        <v>178022.73585336137</v>
      </c>
      <c r="I66" s="222">
        <f t="shared" si="2"/>
        <v>226005.98585336137</v>
      </c>
    </row>
    <row r="67" spans="1:9" s="34" customFormat="1" x14ac:dyDescent="0.25">
      <c r="A67" s="37">
        <f>Données!A61</f>
        <v>5495</v>
      </c>
      <c r="B67" s="373" t="str">
        <f>Données!B61</f>
        <v>Penthalaz</v>
      </c>
      <c r="C67" s="30">
        <f>VPI!R61</f>
        <v>96624.252827586228</v>
      </c>
      <c r="D67" s="7">
        <f>Données!N61</f>
        <v>390397.05</v>
      </c>
      <c r="E67" s="158">
        <f>Données!O61+Données!P61+Données!R61</f>
        <v>390313.35</v>
      </c>
      <c r="F67" s="349">
        <f t="shared" si="0"/>
        <v>312275.78999999998</v>
      </c>
      <c r="G67" s="349">
        <f>Ecrêtage!M61</f>
        <v>0</v>
      </c>
      <c r="H67" s="350">
        <f t="shared" si="1"/>
        <v>1066985.9402512976</v>
      </c>
      <c r="I67" s="222">
        <f t="shared" si="2"/>
        <v>1379261.7302512976</v>
      </c>
    </row>
    <row r="68" spans="1:9" s="34" customFormat="1" x14ac:dyDescent="0.25">
      <c r="A68" s="37">
        <f>Données!A62</f>
        <v>5496</v>
      </c>
      <c r="B68" s="373" t="str">
        <f>Données!B62</f>
        <v>Penthaz</v>
      </c>
      <c r="C68" s="30">
        <f>VPI!R62</f>
        <v>63424.403453237413</v>
      </c>
      <c r="D68" s="7">
        <f>Données!N62</f>
        <v>89105.3</v>
      </c>
      <c r="E68" s="158">
        <f>Données!O62+Données!P62+Données!R62</f>
        <v>79629.400000000009</v>
      </c>
      <c r="F68" s="349">
        <f t="shared" si="0"/>
        <v>66546.290000000008</v>
      </c>
      <c r="G68" s="349">
        <f>Ecrêtage!M62</f>
        <v>0</v>
      </c>
      <c r="H68" s="350">
        <f t="shared" si="1"/>
        <v>700372.2644477674</v>
      </c>
      <c r="I68" s="222">
        <f t="shared" si="2"/>
        <v>766918.55444776744</v>
      </c>
    </row>
    <row r="69" spans="1:9" s="34" customFormat="1" x14ac:dyDescent="0.25">
      <c r="A69" s="37">
        <f>Données!A63</f>
        <v>5497</v>
      </c>
      <c r="B69" s="373" t="str">
        <f>Données!B63</f>
        <v>Pompaples</v>
      </c>
      <c r="C69" s="30">
        <f>VPI!R63</f>
        <v>29282.771666666667</v>
      </c>
      <c r="D69" s="7">
        <f>Données!N63</f>
        <v>246282.7</v>
      </c>
      <c r="E69" s="158">
        <f>Données!O63+Données!P63+Données!R63</f>
        <v>121863.25</v>
      </c>
      <c r="F69" s="349">
        <f t="shared" si="0"/>
        <v>134816.435</v>
      </c>
      <c r="G69" s="349">
        <f>Ecrêtage!M63</f>
        <v>0</v>
      </c>
      <c r="H69" s="350">
        <f t="shared" si="1"/>
        <v>323358.83327008906</v>
      </c>
      <c r="I69" s="222">
        <f t="shared" si="2"/>
        <v>458175.26827008906</v>
      </c>
    </row>
    <row r="70" spans="1:9" s="34" customFormat="1" x14ac:dyDescent="0.25">
      <c r="A70" s="37">
        <f>Données!A64</f>
        <v>5498</v>
      </c>
      <c r="B70" s="373" t="str">
        <f>Données!B64</f>
        <v>La Sarraz</v>
      </c>
      <c r="C70" s="30">
        <f>VPI!R64</f>
        <v>76599.208428571437</v>
      </c>
      <c r="D70" s="7">
        <f>Données!N64</f>
        <v>106740.45</v>
      </c>
      <c r="E70" s="158">
        <f>Données!O64+Données!P64+Données!R64</f>
        <v>432125.94999999995</v>
      </c>
      <c r="F70" s="349">
        <f t="shared" si="0"/>
        <v>248085.11</v>
      </c>
      <c r="G70" s="349">
        <f>Ecrêtage!M64</f>
        <v>0</v>
      </c>
      <c r="H70" s="350">
        <f t="shared" si="1"/>
        <v>845856.77028211299</v>
      </c>
      <c r="I70" s="222">
        <f t="shared" si="2"/>
        <v>1093941.8802821129</v>
      </c>
    </row>
    <row r="71" spans="1:9" s="34" customFormat="1" x14ac:dyDescent="0.25">
      <c r="A71" s="37">
        <f>Données!A65</f>
        <v>5499</v>
      </c>
      <c r="B71" s="373" t="str">
        <f>Données!B65</f>
        <v>Senarclens</v>
      </c>
      <c r="C71" s="30">
        <f>VPI!R65</f>
        <v>21136.176934306572</v>
      </c>
      <c r="D71" s="7">
        <f>Données!N65</f>
        <v>24945.95</v>
      </c>
      <c r="E71" s="158">
        <f>Données!O65+Données!P65+Données!R65</f>
        <v>116439.6</v>
      </c>
      <c r="F71" s="349">
        <f t="shared" si="0"/>
        <v>65703.585000000006</v>
      </c>
      <c r="G71" s="349">
        <f>Ecrêtage!M65</f>
        <v>0</v>
      </c>
      <c r="H71" s="350">
        <f t="shared" si="1"/>
        <v>233398.99621071416</v>
      </c>
      <c r="I71" s="222">
        <f t="shared" si="2"/>
        <v>299102.58121071418</v>
      </c>
    </row>
    <row r="72" spans="1:9" s="34" customFormat="1" x14ac:dyDescent="0.25">
      <c r="A72" s="37">
        <f>Données!A66</f>
        <v>5501</v>
      </c>
      <c r="B72" s="373" t="str">
        <f>Données!B66</f>
        <v>Sullens</v>
      </c>
      <c r="C72" s="30">
        <f>VPI!R66</f>
        <v>57751.835468749996</v>
      </c>
      <c r="D72" s="7">
        <f>Données!N66</f>
        <v>20374.349999999999</v>
      </c>
      <c r="E72" s="158">
        <f>Données!O66+Données!P66+Données!R66</f>
        <v>490325.35</v>
      </c>
      <c r="F72" s="349">
        <f t="shared" si="0"/>
        <v>251274.97999999998</v>
      </c>
      <c r="G72" s="349">
        <f>Ecrêtage!M66</f>
        <v>0</v>
      </c>
      <c r="H72" s="350">
        <f t="shared" si="1"/>
        <v>637732.19109715917</v>
      </c>
      <c r="I72" s="222">
        <f t="shared" si="2"/>
        <v>889007.17109715915</v>
      </c>
    </row>
    <row r="73" spans="1:9" s="34" customFormat="1" x14ac:dyDescent="0.25">
      <c r="A73" s="37">
        <f>Données!A67</f>
        <v>5503</v>
      </c>
      <c r="B73" s="373" t="str">
        <f>Données!B67</f>
        <v>Vufflens-la-Ville</v>
      </c>
      <c r="C73" s="30">
        <f>VPI!R67</f>
        <v>68821.666815920398</v>
      </c>
      <c r="D73" s="7">
        <f>Données!N67</f>
        <v>362996.79</v>
      </c>
      <c r="E73" s="158">
        <f>Données!O67+Données!P67+Données!R67</f>
        <v>376863.4</v>
      </c>
      <c r="F73" s="349">
        <f t="shared" si="0"/>
        <v>297330.73700000002</v>
      </c>
      <c r="G73" s="349">
        <f>Ecrêtage!M67</f>
        <v>23691.932248463763</v>
      </c>
      <c r="H73" s="350">
        <f t="shared" si="1"/>
        <v>759972.25053088926</v>
      </c>
      <c r="I73" s="222">
        <f t="shared" si="2"/>
        <v>1080994.9197793531</v>
      </c>
    </row>
    <row r="74" spans="1:9" s="34" customFormat="1" x14ac:dyDescent="0.25">
      <c r="A74" s="37">
        <f>Données!A68</f>
        <v>5511</v>
      </c>
      <c r="B74" s="373" t="str">
        <f>Données!B68</f>
        <v>Assens</v>
      </c>
      <c r="C74" s="30">
        <f>VPI!R68</f>
        <v>69828.319999999992</v>
      </c>
      <c r="D74" s="7">
        <f>Données!N68</f>
        <v>441109.15</v>
      </c>
      <c r="E74" s="158">
        <f>Données!O68+Données!P68+Données!R68</f>
        <v>367244.45</v>
      </c>
      <c r="F74" s="349">
        <f t="shared" si="0"/>
        <v>315954.96999999997</v>
      </c>
      <c r="G74" s="349">
        <f>Ecrêtage!M68</f>
        <v>0</v>
      </c>
      <c r="H74" s="350">
        <f t="shared" si="1"/>
        <v>771088.34988162573</v>
      </c>
      <c r="I74" s="222">
        <f t="shared" si="2"/>
        <v>1087043.3198816257</v>
      </c>
    </row>
    <row r="75" spans="1:9" s="34" customFormat="1" x14ac:dyDescent="0.25">
      <c r="A75" s="37">
        <f>Données!A69</f>
        <v>5512</v>
      </c>
      <c r="B75" s="373" t="str">
        <f>Données!B69</f>
        <v>Bercher</v>
      </c>
      <c r="C75" s="30">
        <f>VPI!R69</f>
        <v>41189.844430379737</v>
      </c>
      <c r="D75" s="7">
        <f>Données!N69</f>
        <v>120181.85</v>
      </c>
      <c r="E75" s="158">
        <f>Données!O69+Données!P69+Données!R69</f>
        <v>287537.75</v>
      </c>
      <c r="F75" s="349">
        <f t="shared" si="0"/>
        <v>179823.43</v>
      </c>
      <c r="G75" s="349">
        <f>Ecrêtage!M69</f>
        <v>0</v>
      </c>
      <c r="H75" s="350">
        <f t="shared" si="1"/>
        <v>454844.24047008989</v>
      </c>
      <c r="I75" s="222">
        <f t="shared" si="2"/>
        <v>634667.67047008988</v>
      </c>
    </row>
    <row r="76" spans="1:9" s="34" customFormat="1" x14ac:dyDescent="0.25">
      <c r="A76" s="37">
        <f>Données!A70</f>
        <v>5514</v>
      </c>
      <c r="B76" s="373" t="str">
        <f>Données!B70</f>
        <v>Bottens</v>
      </c>
      <c r="C76" s="30">
        <f>VPI!R70</f>
        <v>45955.362896551727</v>
      </c>
      <c r="D76" s="7">
        <f>Données!N70</f>
        <v>16360.7</v>
      </c>
      <c r="E76" s="158">
        <f>Données!O70+Données!P70+Données!R70</f>
        <v>221463.34999999998</v>
      </c>
      <c r="F76" s="349">
        <f t="shared" si="0"/>
        <v>115639.88499999999</v>
      </c>
      <c r="G76" s="349">
        <f>Ecrêtage!M70</f>
        <v>0</v>
      </c>
      <c r="H76" s="350">
        <f t="shared" si="1"/>
        <v>507468.10096696246</v>
      </c>
      <c r="I76" s="222">
        <f t="shared" si="2"/>
        <v>623107.98596696241</v>
      </c>
    </row>
    <row r="77" spans="1:9" s="34" customFormat="1" x14ac:dyDescent="0.25">
      <c r="A77" s="37">
        <f>Données!A71</f>
        <v>5515</v>
      </c>
      <c r="B77" s="373" t="str">
        <f>Données!B71</f>
        <v>Bretigny-sur-Morrens</v>
      </c>
      <c r="C77" s="30">
        <f>VPI!R71</f>
        <v>32116.031538461531</v>
      </c>
      <c r="D77" s="7">
        <f>Données!N71</f>
        <v>23609.3</v>
      </c>
      <c r="E77" s="158">
        <f>Données!O71+Données!P71+Données!R71</f>
        <v>83672.600000000006</v>
      </c>
      <c r="F77" s="349">
        <f t="shared" ref="F77:F140" si="3">D77*$D$11+E77*$E$11</f>
        <v>48919.090000000004</v>
      </c>
      <c r="G77" s="349">
        <f>Ecrêtage!M71</f>
        <v>0</v>
      </c>
      <c r="H77" s="350">
        <f t="shared" ref="H77:H140" si="4">$H$11*C77</f>
        <v>354645.4757000964</v>
      </c>
      <c r="I77" s="222">
        <f t="shared" ref="I77:I140" si="5">F77+H77+G77</f>
        <v>403564.56570009643</v>
      </c>
    </row>
    <row r="78" spans="1:9" s="34" customFormat="1" x14ac:dyDescent="0.25">
      <c r="A78" s="37">
        <f>Données!A72</f>
        <v>5516</v>
      </c>
      <c r="B78" s="373" t="str">
        <f>Données!B72</f>
        <v>Cugy</v>
      </c>
      <c r="C78" s="30">
        <f>VPI!R72</f>
        <v>112038.1875</v>
      </c>
      <c r="D78" s="7">
        <f>Données!N72</f>
        <v>108883.05</v>
      </c>
      <c r="E78" s="158">
        <f>Données!O72+Données!P72+Données!R72</f>
        <v>614503</v>
      </c>
      <c r="F78" s="349">
        <f t="shared" si="3"/>
        <v>339916.41499999998</v>
      </c>
      <c r="G78" s="349">
        <f>Ecrêtage!M72</f>
        <v>0</v>
      </c>
      <c r="H78" s="350">
        <f t="shared" si="4"/>
        <v>1237196.3284109256</v>
      </c>
      <c r="I78" s="222">
        <f t="shared" si="5"/>
        <v>1577112.7434109256</v>
      </c>
    </row>
    <row r="79" spans="1:9" s="34" customFormat="1" x14ac:dyDescent="0.25">
      <c r="A79" s="37">
        <f>Données!A73</f>
        <v>5518</v>
      </c>
      <c r="B79" s="373" t="str">
        <f>Données!B73</f>
        <v>Echallens</v>
      </c>
      <c r="C79" s="30">
        <f>VPI!R73</f>
        <v>216867.084137931</v>
      </c>
      <c r="D79" s="7">
        <f>Données!N73</f>
        <v>261688.55</v>
      </c>
      <c r="E79" s="158">
        <f>Données!O73+Données!P73+Données!R73</f>
        <v>1160110</v>
      </c>
      <c r="F79" s="349">
        <f t="shared" si="3"/>
        <v>658561.56499999994</v>
      </c>
      <c r="G79" s="349">
        <f>Ecrêtage!M73</f>
        <v>0</v>
      </c>
      <c r="H79" s="350">
        <f t="shared" si="4"/>
        <v>2394783.1202520258</v>
      </c>
      <c r="I79" s="222">
        <f t="shared" si="5"/>
        <v>3053344.6852520257</v>
      </c>
    </row>
    <row r="80" spans="1:9" s="34" customFormat="1" x14ac:dyDescent="0.25">
      <c r="A80" s="37">
        <f>Données!A74</f>
        <v>5520</v>
      </c>
      <c r="B80" s="373" t="str">
        <f>Données!B74</f>
        <v>Essertines-sur-Yverdon</v>
      </c>
      <c r="C80" s="30">
        <f>VPI!R74</f>
        <v>35335.874054054053</v>
      </c>
      <c r="D80" s="7">
        <f>Données!N74</f>
        <v>19146</v>
      </c>
      <c r="E80" s="158">
        <f>Données!O74+Données!P74+Données!R74</f>
        <v>174608.7</v>
      </c>
      <c r="F80" s="349">
        <f t="shared" si="3"/>
        <v>93048.150000000009</v>
      </c>
      <c r="G80" s="349">
        <f>Ecrêtage!M74</f>
        <v>0</v>
      </c>
      <c r="H80" s="350">
        <f t="shared" si="4"/>
        <v>390201.00749904185</v>
      </c>
      <c r="I80" s="222">
        <f t="shared" si="5"/>
        <v>483249.15749904187</v>
      </c>
    </row>
    <row r="81" spans="1:9" s="34" customFormat="1" x14ac:dyDescent="0.25">
      <c r="A81" s="37">
        <f>Données!A75</f>
        <v>5521</v>
      </c>
      <c r="B81" s="373" t="str">
        <f>Données!B75</f>
        <v>Etagnières</v>
      </c>
      <c r="C81" s="30">
        <f>VPI!R75</f>
        <v>46868.677397260268</v>
      </c>
      <c r="D81" s="7">
        <f>Données!N75</f>
        <v>111700.8</v>
      </c>
      <c r="E81" s="158">
        <f>Données!O75+Données!P75+Données!R75</f>
        <v>506916.4</v>
      </c>
      <c r="F81" s="349">
        <f t="shared" si="3"/>
        <v>286968.44</v>
      </c>
      <c r="G81" s="349">
        <f>Ecrêtage!M75</f>
        <v>0</v>
      </c>
      <c r="H81" s="350">
        <f t="shared" si="4"/>
        <v>517553.49570758216</v>
      </c>
      <c r="I81" s="222">
        <f t="shared" si="5"/>
        <v>804521.93570758216</v>
      </c>
    </row>
    <row r="82" spans="1:9" s="34" customFormat="1" x14ac:dyDescent="0.25">
      <c r="A82" s="37">
        <f>Données!A76</f>
        <v>5522</v>
      </c>
      <c r="B82" s="373" t="str">
        <f>Données!B76</f>
        <v>Fey</v>
      </c>
      <c r="C82" s="30">
        <f>VPI!R76</f>
        <v>25183.4012</v>
      </c>
      <c r="D82" s="7">
        <f>Données!N76</f>
        <v>38593.75</v>
      </c>
      <c r="E82" s="158">
        <f>Données!O76+Données!P76+Données!R76</f>
        <v>108798.25</v>
      </c>
      <c r="F82" s="349">
        <f t="shared" si="3"/>
        <v>65977.25</v>
      </c>
      <c r="G82" s="349">
        <f>Ecrêtage!M76</f>
        <v>0</v>
      </c>
      <c r="H82" s="350">
        <f t="shared" si="4"/>
        <v>278090.99912062834</v>
      </c>
      <c r="I82" s="222">
        <f t="shared" si="5"/>
        <v>344068.24912062834</v>
      </c>
    </row>
    <row r="83" spans="1:9" s="34" customFormat="1" x14ac:dyDescent="0.25">
      <c r="A83" s="37">
        <f>Données!A77</f>
        <v>5523</v>
      </c>
      <c r="B83" s="373" t="str">
        <f>Données!B77</f>
        <v>Froideville</v>
      </c>
      <c r="C83" s="30">
        <f>VPI!R77</f>
        <v>89218.615555555531</v>
      </c>
      <c r="D83" s="7">
        <f>Données!N77</f>
        <v>5631.65</v>
      </c>
      <c r="E83" s="158">
        <f>Données!O77+Données!P77+Données!R77</f>
        <v>154406.5</v>
      </c>
      <c r="F83" s="349">
        <f t="shared" si="3"/>
        <v>78892.744999999995</v>
      </c>
      <c r="G83" s="349">
        <f>Ecrêtage!M77</f>
        <v>0</v>
      </c>
      <c r="H83" s="350">
        <f t="shared" si="4"/>
        <v>985208.22278778104</v>
      </c>
      <c r="I83" s="222">
        <f t="shared" si="5"/>
        <v>1064100.967787781</v>
      </c>
    </row>
    <row r="84" spans="1:9" s="34" customFormat="1" x14ac:dyDescent="0.25">
      <c r="A84" s="37">
        <f>Données!A78</f>
        <v>5527</v>
      </c>
      <c r="B84" s="373" t="str">
        <f>Données!B78</f>
        <v>Morrens</v>
      </c>
      <c r="C84" s="30">
        <f>VPI!R78</f>
        <v>42618.641486486493</v>
      </c>
      <c r="D84" s="7">
        <f>Données!N78</f>
        <v>6014.2</v>
      </c>
      <c r="E84" s="158">
        <f>Données!O78+Données!P78+Données!R78</f>
        <v>261477.6</v>
      </c>
      <c r="F84" s="349">
        <f t="shared" si="3"/>
        <v>132543.06</v>
      </c>
      <c r="G84" s="349">
        <f>Ecrêtage!M78</f>
        <v>0</v>
      </c>
      <c r="H84" s="350">
        <f t="shared" si="4"/>
        <v>470621.91870019888</v>
      </c>
      <c r="I84" s="222">
        <f t="shared" si="5"/>
        <v>603164.97870019893</v>
      </c>
    </row>
    <row r="85" spans="1:9" s="34" customFormat="1" x14ac:dyDescent="0.25">
      <c r="A85" s="37">
        <f>Données!A79</f>
        <v>5529</v>
      </c>
      <c r="B85" s="373" t="str">
        <f>Données!B79</f>
        <v>Oulens-sous-Echallens</v>
      </c>
      <c r="C85" s="30">
        <f>VPI!R79</f>
        <v>21320.008028169017</v>
      </c>
      <c r="D85" s="7">
        <f>Données!N79</f>
        <v>5452.15</v>
      </c>
      <c r="E85" s="158">
        <f>Données!O79+Données!P79+Données!R79</f>
        <v>145417.85</v>
      </c>
      <c r="F85" s="349">
        <f t="shared" si="3"/>
        <v>74344.570000000007</v>
      </c>
      <c r="G85" s="349">
        <f>Ecrêtage!M79</f>
        <v>0</v>
      </c>
      <c r="H85" s="350">
        <f t="shared" si="4"/>
        <v>235428.97509067759</v>
      </c>
      <c r="I85" s="222">
        <f t="shared" si="5"/>
        <v>309773.54509067757</v>
      </c>
    </row>
    <row r="86" spans="1:9" s="34" customFormat="1" x14ac:dyDescent="0.25">
      <c r="A86" s="37">
        <f>Données!A80</f>
        <v>5530</v>
      </c>
      <c r="B86" s="373" t="str">
        <f>Données!B80</f>
        <v>Pailly</v>
      </c>
      <c r="C86" s="30">
        <f>VPI!R80</f>
        <v>18985.526425438595</v>
      </c>
      <c r="D86" s="7">
        <f>Données!N80</f>
        <v>15216.85</v>
      </c>
      <c r="E86" s="158">
        <f>Données!O80+Données!P80+Données!R80</f>
        <v>104628.85</v>
      </c>
      <c r="F86" s="349">
        <f t="shared" si="3"/>
        <v>56879.48</v>
      </c>
      <c r="G86" s="349">
        <f>Ecrêtage!M80</f>
        <v>0</v>
      </c>
      <c r="H86" s="350">
        <f t="shared" si="4"/>
        <v>209650.15688513554</v>
      </c>
      <c r="I86" s="222">
        <f t="shared" si="5"/>
        <v>266529.63688513555</v>
      </c>
    </row>
    <row r="87" spans="1:9" s="34" customFormat="1" x14ac:dyDescent="0.25">
      <c r="A87" s="37">
        <f>Données!A81</f>
        <v>5531</v>
      </c>
      <c r="B87" s="373" t="str">
        <f>Données!B81</f>
        <v>Penthéréaz</v>
      </c>
      <c r="C87" s="30">
        <f>VPI!R81</f>
        <v>16979.020135135139</v>
      </c>
      <c r="D87" s="7">
        <f>Données!N81</f>
        <v>16766.75</v>
      </c>
      <c r="E87" s="158">
        <f>Données!O81+Données!P81+Données!R81</f>
        <v>55556.700000000004</v>
      </c>
      <c r="F87" s="349">
        <f t="shared" si="3"/>
        <v>32808.375</v>
      </c>
      <c r="G87" s="349">
        <f>Ecrêtage!M81</f>
        <v>0</v>
      </c>
      <c r="H87" s="350">
        <f t="shared" si="4"/>
        <v>187493.04893212745</v>
      </c>
      <c r="I87" s="222">
        <f t="shared" si="5"/>
        <v>220301.42393212745</v>
      </c>
    </row>
    <row r="88" spans="1:9" s="34" customFormat="1" x14ac:dyDescent="0.25">
      <c r="A88" s="37">
        <f>Données!A82</f>
        <v>5533</v>
      </c>
      <c r="B88" s="373" t="str">
        <f>Données!B82</f>
        <v>Poliez-Pittet</v>
      </c>
      <c r="C88" s="30">
        <f>VPI!R82</f>
        <v>27367.358493150681</v>
      </c>
      <c r="D88" s="7">
        <f>Données!N82</f>
        <v>11388.8</v>
      </c>
      <c r="E88" s="158">
        <f>Données!O82+Données!P82+Données!R82</f>
        <v>226150.5</v>
      </c>
      <c r="F88" s="349">
        <f t="shared" si="3"/>
        <v>116491.89</v>
      </c>
      <c r="G88" s="349">
        <f>Ecrêtage!M82</f>
        <v>0</v>
      </c>
      <c r="H88" s="350">
        <f t="shared" si="4"/>
        <v>302207.63296471199</v>
      </c>
      <c r="I88" s="222">
        <f t="shared" si="5"/>
        <v>418699.522964712</v>
      </c>
    </row>
    <row r="89" spans="1:9" s="34" customFormat="1" x14ac:dyDescent="0.25">
      <c r="A89" s="37">
        <f>Données!A83</f>
        <v>5534</v>
      </c>
      <c r="B89" s="373" t="str">
        <f>Données!B83</f>
        <v>Rueyres</v>
      </c>
      <c r="C89" s="30">
        <f>VPI!R83</f>
        <v>17982.384452054797</v>
      </c>
      <c r="D89" s="7">
        <f>Données!N83</f>
        <v>25302.05</v>
      </c>
      <c r="E89" s="158">
        <f>Données!O83+Données!P83+Données!R83</f>
        <v>73860.800000000003</v>
      </c>
      <c r="F89" s="349">
        <f t="shared" si="3"/>
        <v>44521.014999999999</v>
      </c>
      <c r="G89" s="349">
        <f>Ecrêtage!M83</f>
        <v>40776.231585988578</v>
      </c>
      <c r="H89" s="350">
        <f t="shared" si="4"/>
        <v>198572.83053740856</v>
      </c>
      <c r="I89" s="222">
        <f t="shared" si="5"/>
        <v>283870.07712339715</v>
      </c>
    </row>
    <row r="90" spans="1:9" s="34" customFormat="1" x14ac:dyDescent="0.25">
      <c r="A90" s="37">
        <f>Données!A84</f>
        <v>5535</v>
      </c>
      <c r="B90" s="373" t="str">
        <f>Données!B84</f>
        <v>Saint-Barthélemy</v>
      </c>
      <c r="C90" s="30">
        <f>VPI!R84</f>
        <v>26523.088000000003</v>
      </c>
      <c r="D90" s="7">
        <f>Données!N84</f>
        <v>69730.95</v>
      </c>
      <c r="E90" s="158">
        <f>Données!O84+Données!P84+Données!R84</f>
        <v>126293.7</v>
      </c>
      <c r="F90" s="349">
        <f t="shared" si="3"/>
        <v>84066.134999999995</v>
      </c>
      <c r="G90" s="349">
        <f>Ecrêtage!M84</f>
        <v>0</v>
      </c>
      <c r="H90" s="350">
        <f t="shared" si="4"/>
        <v>292884.66570132511</v>
      </c>
      <c r="I90" s="222">
        <f t="shared" si="5"/>
        <v>376950.80070132512</v>
      </c>
    </row>
    <row r="91" spans="1:9" s="34" customFormat="1" x14ac:dyDescent="0.25">
      <c r="A91" s="37">
        <f>Données!A85</f>
        <v>5537</v>
      </c>
      <c r="B91" s="373" t="str">
        <f>Données!B85</f>
        <v>Villars-le-Terroir</v>
      </c>
      <c r="C91" s="30">
        <f>VPI!R85</f>
        <v>36821.563947368428</v>
      </c>
      <c r="D91" s="7">
        <f>Données!N85</f>
        <v>13831.85</v>
      </c>
      <c r="E91" s="158">
        <f>Données!O85+Données!P85+Données!R85</f>
        <v>177694.65</v>
      </c>
      <c r="F91" s="349">
        <f t="shared" si="3"/>
        <v>92996.88</v>
      </c>
      <c r="G91" s="349">
        <f>Ecrêtage!M85</f>
        <v>0</v>
      </c>
      <c r="H91" s="350">
        <f t="shared" si="4"/>
        <v>406606.93231968186</v>
      </c>
      <c r="I91" s="222">
        <f t="shared" si="5"/>
        <v>499603.81231968186</v>
      </c>
    </row>
    <row r="92" spans="1:9" s="34" customFormat="1" x14ac:dyDescent="0.25">
      <c r="A92" s="37">
        <f>Données!A86</f>
        <v>5539</v>
      </c>
      <c r="B92" s="373" t="str">
        <f>Données!B86</f>
        <v>Vuarrens</v>
      </c>
      <c r="C92" s="30">
        <f>VPI!R86</f>
        <v>34903.7481632653</v>
      </c>
      <c r="D92" s="7">
        <f>Données!N86</f>
        <v>25755.25</v>
      </c>
      <c r="E92" s="158">
        <f>Données!O86+Données!P86+Données!R86</f>
        <v>272729.8</v>
      </c>
      <c r="F92" s="349">
        <f t="shared" si="3"/>
        <v>144091.47500000001</v>
      </c>
      <c r="G92" s="349">
        <f>Ecrêtage!M86</f>
        <v>0</v>
      </c>
      <c r="H92" s="350">
        <f t="shared" si="4"/>
        <v>385429.20087288466</v>
      </c>
      <c r="I92" s="222">
        <f t="shared" si="5"/>
        <v>529520.67587288469</v>
      </c>
    </row>
    <row r="93" spans="1:9" s="34" customFormat="1" x14ac:dyDescent="0.25">
      <c r="A93" s="37">
        <f>Données!A87</f>
        <v>5540</v>
      </c>
      <c r="B93" s="373" t="str">
        <f>Données!B87</f>
        <v>Montilliez</v>
      </c>
      <c r="C93" s="30">
        <f>VPI!R87</f>
        <v>65033.644896551712</v>
      </c>
      <c r="D93" s="7">
        <f>Données!N87</f>
        <v>14367.55</v>
      </c>
      <c r="E93" s="158">
        <f>Données!O87+Données!P87+Données!R87</f>
        <v>193012.5</v>
      </c>
      <c r="F93" s="349">
        <f t="shared" si="3"/>
        <v>100816.515</v>
      </c>
      <c r="G93" s="349">
        <f>Ecrêtage!M87</f>
        <v>0</v>
      </c>
      <c r="H93" s="350">
        <f t="shared" si="4"/>
        <v>718142.52340697404</v>
      </c>
      <c r="I93" s="222">
        <f t="shared" si="5"/>
        <v>818959.03840697405</v>
      </c>
    </row>
    <row r="94" spans="1:9" s="34" customFormat="1" x14ac:dyDescent="0.25">
      <c r="A94" s="37">
        <f>Données!A88</f>
        <v>5541</v>
      </c>
      <c r="B94" s="373" t="str">
        <f>Données!B88</f>
        <v>Goumoëns</v>
      </c>
      <c r="C94" s="30">
        <f>VPI!R88</f>
        <v>41006.934834437088</v>
      </c>
      <c r="D94" s="7">
        <f>Données!N88</f>
        <v>15859.35</v>
      </c>
      <c r="E94" s="158">
        <f>Données!O88+Données!P88+Données!R88</f>
        <v>56675.7</v>
      </c>
      <c r="F94" s="349">
        <f t="shared" si="3"/>
        <v>33095.654999999999</v>
      </c>
      <c r="G94" s="349">
        <f>Ecrêtage!M88</f>
        <v>0</v>
      </c>
      <c r="H94" s="350">
        <f t="shared" si="4"/>
        <v>452824.43735134194</v>
      </c>
      <c r="I94" s="222">
        <f t="shared" si="5"/>
        <v>485920.09235134197</v>
      </c>
    </row>
    <row r="95" spans="1:9" s="34" customFormat="1" x14ac:dyDescent="0.25">
      <c r="A95" s="37">
        <f>Données!A89</f>
        <v>5551</v>
      </c>
      <c r="B95" s="373" t="str">
        <f>Données!B89</f>
        <v>Bonvillars</v>
      </c>
      <c r="C95" s="30">
        <f>VPI!R89</f>
        <v>19467.158771929826</v>
      </c>
      <c r="D95" s="7">
        <f>Données!N89</f>
        <v>15353.85</v>
      </c>
      <c r="E95" s="158">
        <f>Données!O89+Données!P89+Données!R89</f>
        <v>140015.45000000001</v>
      </c>
      <c r="F95" s="349">
        <f t="shared" si="3"/>
        <v>74613.88</v>
      </c>
      <c r="G95" s="349">
        <f>Ecrêtage!M89</f>
        <v>0</v>
      </c>
      <c r="H95" s="350">
        <f t="shared" si="4"/>
        <v>214968.64501868279</v>
      </c>
      <c r="I95" s="222">
        <f t="shared" si="5"/>
        <v>289582.52501868282</v>
      </c>
    </row>
    <row r="96" spans="1:9" s="34" customFormat="1" x14ac:dyDescent="0.25">
      <c r="A96" s="37">
        <f>Données!A90</f>
        <v>5552</v>
      </c>
      <c r="B96" s="373" t="str">
        <f>Données!B90</f>
        <v>Bullet</v>
      </c>
      <c r="C96" s="30">
        <f>VPI!R90</f>
        <v>20081.650000000001</v>
      </c>
      <c r="D96" s="7">
        <f>Données!N90</f>
        <v>88690.1</v>
      </c>
      <c r="E96" s="158">
        <f>Données!O90+Données!P90+Données!R90</f>
        <v>199954.05</v>
      </c>
      <c r="F96" s="349">
        <f t="shared" si="3"/>
        <v>126584.05499999999</v>
      </c>
      <c r="G96" s="349">
        <f>Ecrêtage!M90</f>
        <v>0</v>
      </c>
      <c r="H96" s="350">
        <f t="shared" si="4"/>
        <v>221754.24471618896</v>
      </c>
      <c r="I96" s="222">
        <f t="shared" si="5"/>
        <v>348338.29971618892</v>
      </c>
    </row>
    <row r="97" spans="1:9" s="34" customFormat="1" x14ac:dyDescent="0.25">
      <c r="A97" s="37">
        <f>Données!A91</f>
        <v>5553</v>
      </c>
      <c r="B97" s="373" t="str">
        <f>Données!B91</f>
        <v>Champagne</v>
      </c>
      <c r="C97" s="30">
        <f>VPI!R91</f>
        <v>38368.423846153841</v>
      </c>
      <c r="D97" s="7">
        <f>Données!N91</f>
        <v>277657.75</v>
      </c>
      <c r="E97" s="158">
        <f>Données!O91+Données!P91+Données!R91</f>
        <v>244230.5</v>
      </c>
      <c r="F97" s="349">
        <f t="shared" si="3"/>
        <v>205412.57500000001</v>
      </c>
      <c r="G97" s="349">
        <f>Ecrêtage!M91</f>
        <v>0</v>
      </c>
      <c r="H97" s="350">
        <f t="shared" si="4"/>
        <v>423688.33492041036</v>
      </c>
      <c r="I97" s="222">
        <f t="shared" si="5"/>
        <v>629100.90992041037</v>
      </c>
    </row>
    <row r="98" spans="1:9" s="34" customFormat="1" x14ac:dyDescent="0.25">
      <c r="A98" s="37">
        <f>Données!A92</f>
        <v>5554</v>
      </c>
      <c r="B98" s="373" t="str">
        <f>Données!B92</f>
        <v>Concise</v>
      </c>
      <c r="C98" s="30">
        <f>VPI!R92</f>
        <v>33009.838309859158</v>
      </c>
      <c r="D98" s="7">
        <f>Données!N92</f>
        <v>31530.2</v>
      </c>
      <c r="E98" s="158">
        <f>Données!O92+Données!P92+Données!R92</f>
        <v>246540.45</v>
      </c>
      <c r="F98" s="349">
        <f t="shared" si="3"/>
        <v>132729.285</v>
      </c>
      <c r="G98" s="349">
        <f>Ecrêtage!M92</f>
        <v>0</v>
      </c>
      <c r="H98" s="350">
        <f t="shared" si="4"/>
        <v>364515.45379021828</v>
      </c>
      <c r="I98" s="222">
        <f t="shared" si="5"/>
        <v>497244.73879021825</v>
      </c>
    </row>
    <row r="99" spans="1:9" s="34" customFormat="1" x14ac:dyDescent="0.25">
      <c r="A99" s="37">
        <f>Données!A93</f>
        <v>5555</v>
      </c>
      <c r="B99" s="373" t="str">
        <f>Données!B93</f>
        <v>Corcelles-près-Concise</v>
      </c>
      <c r="C99" s="30">
        <f>VPI!R93</f>
        <v>14189.979565217391</v>
      </c>
      <c r="D99" s="7">
        <f>Données!N93</f>
        <v>7206.1</v>
      </c>
      <c r="E99" s="158">
        <f>Données!O93+Données!P93+Données!R93</f>
        <v>143280.40000000002</v>
      </c>
      <c r="F99" s="349">
        <f t="shared" si="3"/>
        <v>73802.030000000013</v>
      </c>
      <c r="G99" s="349">
        <f>Ecrêtage!M93</f>
        <v>0</v>
      </c>
      <c r="H99" s="350">
        <f t="shared" si="4"/>
        <v>156694.70392238375</v>
      </c>
      <c r="I99" s="222">
        <f t="shared" si="5"/>
        <v>230496.73392238375</v>
      </c>
    </row>
    <row r="100" spans="1:9" s="34" customFormat="1" x14ac:dyDescent="0.25">
      <c r="A100" s="37">
        <f>Données!A94</f>
        <v>5556</v>
      </c>
      <c r="B100" s="373" t="str">
        <f>Données!B94</f>
        <v>Fiez</v>
      </c>
      <c r="C100" s="30">
        <f>VPI!R94</f>
        <v>12811.352608695654</v>
      </c>
      <c r="D100" s="7">
        <f>Données!N94</f>
        <v>588.25</v>
      </c>
      <c r="E100" s="158">
        <f>Données!O94+Données!P94+Données!R94</f>
        <v>162167</v>
      </c>
      <c r="F100" s="349">
        <f t="shared" si="3"/>
        <v>81259.975000000006</v>
      </c>
      <c r="G100" s="349">
        <f>Ecrêtage!M94</f>
        <v>0</v>
      </c>
      <c r="H100" s="350">
        <f t="shared" si="4"/>
        <v>141471.03557397335</v>
      </c>
      <c r="I100" s="222">
        <f t="shared" si="5"/>
        <v>222731.01057397336</v>
      </c>
    </row>
    <row r="101" spans="1:9" s="34" customFormat="1" x14ac:dyDescent="0.25">
      <c r="A101" s="37">
        <f>Données!A95</f>
        <v>5557</v>
      </c>
      <c r="B101" s="373" t="str">
        <f>Données!B95</f>
        <v>Fontaines-sur-Grandson</v>
      </c>
      <c r="C101" s="30">
        <f>VPI!R95</f>
        <v>5164.2157971014494</v>
      </c>
      <c r="D101" s="7">
        <f>Données!N95</f>
        <v>0</v>
      </c>
      <c r="E101" s="158">
        <f>Données!O95+Données!P95+Données!R95</f>
        <v>19894.800000000003</v>
      </c>
      <c r="F101" s="349">
        <f t="shared" si="3"/>
        <v>9947.4000000000015</v>
      </c>
      <c r="G101" s="349">
        <f>Ecrêtage!M95</f>
        <v>0</v>
      </c>
      <c r="H101" s="350">
        <f t="shared" si="4"/>
        <v>57026.527881804715</v>
      </c>
      <c r="I101" s="222">
        <f t="shared" si="5"/>
        <v>66973.927881804717</v>
      </c>
    </row>
    <row r="102" spans="1:9" s="34" customFormat="1" x14ac:dyDescent="0.25">
      <c r="A102" s="37">
        <f>Données!A96</f>
        <v>5559</v>
      </c>
      <c r="B102" s="373" t="str">
        <f>Données!B96</f>
        <v>Giez</v>
      </c>
      <c r="C102" s="30">
        <f>VPI!R96</f>
        <v>23273.261029411766</v>
      </c>
      <c r="D102" s="7">
        <f>Données!N96</f>
        <v>8772.9500000000007</v>
      </c>
      <c r="E102" s="158">
        <f>Données!O96+Données!P96+Données!R96</f>
        <v>66712</v>
      </c>
      <c r="F102" s="349">
        <f t="shared" si="3"/>
        <v>35987.885000000002</v>
      </c>
      <c r="G102" s="349">
        <f>Ecrêtage!M96</f>
        <v>1214.4764971661427</v>
      </c>
      <c r="H102" s="350">
        <f t="shared" si="4"/>
        <v>256998.02663924132</v>
      </c>
      <c r="I102" s="222">
        <f t="shared" si="5"/>
        <v>294200.38813640748</v>
      </c>
    </row>
    <row r="103" spans="1:9" s="34" customFormat="1" x14ac:dyDescent="0.25">
      <c r="A103" s="37">
        <f>Données!A97</f>
        <v>5560</v>
      </c>
      <c r="B103" s="373" t="str">
        <f>Données!B97</f>
        <v>Grandevent</v>
      </c>
      <c r="C103" s="30">
        <f>VPI!R97</f>
        <v>8016.4264285714298</v>
      </c>
      <c r="D103" s="7">
        <f>Données!N97</f>
        <v>0</v>
      </c>
      <c r="E103" s="158">
        <f>Données!O97+Données!P97+Données!R97</f>
        <v>31888.6</v>
      </c>
      <c r="F103" s="349">
        <f t="shared" si="3"/>
        <v>15944.3</v>
      </c>
      <c r="G103" s="349">
        <f>Ecrêtage!M97</f>
        <v>0</v>
      </c>
      <c r="H103" s="350">
        <f t="shared" si="4"/>
        <v>88522.436552312851</v>
      </c>
      <c r="I103" s="222">
        <f t="shared" si="5"/>
        <v>104466.73655231285</v>
      </c>
    </row>
    <row r="104" spans="1:9" s="34" customFormat="1" x14ac:dyDescent="0.25">
      <c r="A104" s="37">
        <f>Données!A98</f>
        <v>5561</v>
      </c>
      <c r="B104" s="373" t="str">
        <f>Données!B98</f>
        <v>Grandson</v>
      </c>
      <c r="C104" s="30">
        <f>VPI!R98</f>
        <v>125721.38057971014</v>
      </c>
      <c r="D104" s="7">
        <f>Données!N98</f>
        <v>289118.05</v>
      </c>
      <c r="E104" s="158">
        <f>Données!O98+Données!P98+Données!R98</f>
        <v>799747.79999999993</v>
      </c>
      <c r="F104" s="349">
        <f t="shared" si="3"/>
        <v>486609.31499999994</v>
      </c>
      <c r="G104" s="349">
        <f>Ecrêtage!M98</f>
        <v>0</v>
      </c>
      <c r="H104" s="350">
        <f t="shared" si="4"/>
        <v>1388294.7763321325</v>
      </c>
      <c r="I104" s="222">
        <f t="shared" si="5"/>
        <v>1874904.0913321325</v>
      </c>
    </row>
    <row r="105" spans="1:9" s="34" customFormat="1" x14ac:dyDescent="0.25">
      <c r="A105" s="37">
        <f>Données!A99</f>
        <v>5562</v>
      </c>
      <c r="B105" s="373" t="str">
        <f>Données!B99</f>
        <v>Mauborget</v>
      </c>
      <c r="C105" s="30">
        <f>VPI!R99</f>
        <v>4554.1072619047618</v>
      </c>
      <c r="D105" s="7">
        <f>Données!N99</f>
        <v>741.95</v>
      </c>
      <c r="E105" s="158">
        <f>Données!O99+Données!P99+Données!R99</f>
        <v>47277.55</v>
      </c>
      <c r="F105" s="349">
        <f t="shared" si="3"/>
        <v>23861.360000000001</v>
      </c>
      <c r="G105" s="349">
        <f>Ecrêtage!M99</f>
        <v>0</v>
      </c>
      <c r="H105" s="350">
        <f t="shared" si="4"/>
        <v>50289.32464315441</v>
      </c>
      <c r="I105" s="222">
        <f t="shared" si="5"/>
        <v>74150.684643154411</v>
      </c>
    </row>
    <row r="106" spans="1:9" s="34" customFormat="1" x14ac:dyDescent="0.25">
      <c r="A106" s="37">
        <f>Données!A100</f>
        <v>5563</v>
      </c>
      <c r="B106" s="373" t="str">
        <f>Données!B100</f>
        <v>Mutrux</v>
      </c>
      <c r="C106" s="30">
        <f>VPI!R100</f>
        <v>4029.343875</v>
      </c>
      <c r="D106" s="7">
        <f>Données!N100</f>
        <v>0</v>
      </c>
      <c r="E106" s="158">
        <f>Données!O100+Données!P100+Données!R100</f>
        <v>40660.550000000003</v>
      </c>
      <c r="F106" s="349">
        <f t="shared" si="3"/>
        <v>20330.275000000001</v>
      </c>
      <c r="G106" s="349">
        <f>Ecrêtage!M100</f>
        <v>0</v>
      </c>
      <c r="H106" s="350">
        <f t="shared" si="4"/>
        <v>44494.556358786605</v>
      </c>
      <c r="I106" s="222">
        <f t="shared" si="5"/>
        <v>64824.831358786607</v>
      </c>
    </row>
    <row r="107" spans="1:9" s="34" customFormat="1" x14ac:dyDescent="0.25">
      <c r="A107" s="37">
        <f>Données!A101</f>
        <v>5564</v>
      </c>
      <c r="B107" s="373" t="str">
        <f>Données!B101</f>
        <v>Novalles</v>
      </c>
      <c r="C107" s="30">
        <f>VPI!R101</f>
        <v>2464.3180592105264</v>
      </c>
      <c r="D107" s="7">
        <f>Données!N101</f>
        <v>0</v>
      </c>
      <c r="E107" s="158">
        <f>Données!O101+Données!P101+Données!R101</f>
        <v>14047</v>
      </c>
      <c r="F107" s="349">
        <f t="shared" si="3"/>
        <v>7023.5</v>
      </c>
      <c r="G107" s="349">
        <f>Ecrêtage!M101</f>
        <v>0</v>
      </c>
      <c r="H107" s="350">
        <f t="shared" si="4"/>
        <v>27212.554245328192</v>
      </c>
      <c r="I107" s="222">
        <f t="shared" si="5"/>
        <v>34236.054245328196</v>
      </c>
    </row>
    <row r="108" spans="1:9" s="34" customFormat="1" x14ac:dyDescent="0.25">
      <c r="A108" s="37">
        <f>Données!A102</f>
        <v>5565</v>
      </c>
      <c r="B108" s="373" t="str">
        <f>Données!B102</f>
        <v>Onnens</v>
      </c>
      <c r="C108" s="30">
        <f>VPI!R102</f>
        <v>20188.105039370083</v>
      </c>
      <c r="D108" s="7">
        <f>Données!N102</f>
        <v>56253.35</v>
      </c>
      <c r="E108" s="158">
        <f>Données!O102+Données!P102+Données!R102</f>
        <v>130397.7</v>
      </c>
      <c r="F108" s="349">
        <f t="shared" si="3"/>
        <v>82074.854999999996</v>
      </c>
      <c r="G108" s="349">
        <f>Ecrêtage!M102</f>
        <v>0</v>
      </c>
      <c r="H108" s="350">
        <f t="shared" si="4"/>
        <v>222929.78840168018</v>
      </c>
      <c r="I108" s="222">
        <f t="shared" si="5"/>
        <v>305004.64340168016</v>
      </c>
    </row>
    <row r="109" spans="1:9" s="34" customFormat="1" x14ac:dyDescent="0.25">
      <c r="A109" s="37">
        <f>Données!A103</f>
        <v>5566</v>
      </c>
      <c r="B109" s="373" t="str">
        <f>Données!B103</f>
        <v>Provence</v>
      </c>
      <c r="C109" s="30">
        <f>VPI!R103</f>
        <v>11354.81353909465</v>
      </c>
      <c r="D109" s="7">
        <f>Données!N103</f>
        <v>49491.15</v>
      </c>
      <c r="E109" s="158">
        <f>Données!O103+Données!P103+Données!R103</f>
        <v>139413.30000000002</v>
      </c>
      <c r="F109" s="349">
        <f t="shared" si="3"/>
        <v>84553.99500000001</v>
      </c>
      <c r="G109" s="349">
        <f>Ecrêtage!M103</f>
        <v>0</v>
      </c>
      <c r="H109" s="350">
        <f t="shared" si="4"/>
        <v>125387.01253408413</v>
      </c>
      <c r="I109" s="222">
        <f t="shared" si="5"/>
        <v>209941.00753408414</v>
      </c>
    </row>
    <row r="110" spans="1:9" s="34" customFormat="1" x14ac:dyDescent="0.25">
      <c r="A110" s="37">
        <f>Données!A104</f>
        <v>5568</v>
      </c>
      <c r="B110" s="373" t="str">
        <f>Données!B104</f>
        <v>Sainte-Croix</v>
      </c>
      <c r="C110" s="30">
        <f>VPI!R104</f>
        <v>114571.34028571429</v>
      </c>
      <c r="D110" s="7">
        <f>Données!N104</f>
        <v>2781681.25</v>
      </c>
      <c r="E110" s="158">
        <f>Données!O104+Données!P104+Données!R104</f>
        <v>719474.6</v>
      </c>
      <c r="F110" s="349">
        <f t="shared" si="3"/>
        <v>1194241.675</v>
      </c>
      <c r="G110" s="349">
        <f>Ecrêtage!M104</f>
        <v>0</v>
      </c>
      <c r="H110" s="350">
        <f t="shared" si="4"/>
        <v>1265168.9991200946</v>
      </c>
      <c r="I110" s="222">
        <f t="shared" si="5"/>
        <v>2459410.6741200946</v>
      </c>
    </row>
    <row r="111" spans="1:9" s="34" customFormat="1" x14ac:dyDescent="0.25">
      <c r="A111" s="37">
        <f>Données!A105</f>
        <v>5571</v>
      </c>
      <c r="B111" s="373" t="str">
        <f>Données!B105</f>
        <v>Tévenon</v>
      </c>
      <c r="C111" s="30">
        <f>VPI!R105</f>
        <v>26145.544382284381</v>
      </c>
      <c r="D111" s="7">
        <f>Données!N105</f>
        <v>39035.800000000003</v>
      </c>
      <c r="E111" s="158">
        <f>Données!O105+Données!P105+Données!R105</f>
        <v>262826.40000000002</v>
      </c>
      <c r="F111" s="349">
        <f t="shared" si="3"/>
        <v>143123.94</v>
      </c>
      <c r="G111" s="349">
        <f>Ecrêtage!M105</f>
        <v>0</v>
      </c>
      <c r="H111" s="350">
        <f t="shared" si="4"/>
        <v>288715.59095926234</v>
      </c>
      <c r="I111" s="222">
        <f t="shared" si="5"/>
        <v>431839.53095926234</v>
      </c>
    </row>
    <row r="112" spans="1:9" s="34" customFormat="1" x14ac:dyDescent="0.25">
      <c r="A112" s="37">
        <f>Données!A106</f>
        <v>5581</v>
      </c>
      <c r="B112" s="373" t="str">
        <f>Données!B106</f>
        <v>Belmont-sur-Lausanne</v>
      </c>
      <c r="C112" s="30">
        <f>VPI!R106</f>
        <v>246930.40333333338</v>
      </c>
      <c r="D112" s="7">
        <f>Données!N106</f>
        <v>27046.7</v>
      </c>
      <c r="E112" s="158">
        <f>Données!O106+Données!P106+Données!R106</f>
        <v>1273725.25</v>
      </c>
      <c r="F112" s="349">
        <f t="shared" si="3"/>
        <v>644976.63500000001</v>
      </c>
      <c r="G112" s="349">
        <f>Ecrêtage!M106</f>
        <v>818676.21264785889</v>
      </c>
      <c r="H112" s="350">
        <f t="shared" si="4"/>
        <v>2726761.2516226131</v>
      </c>
      <c r="I112" s="222">
        <f t="shared" si="5"/>
        <v>4190414.0992704723</v>
      </c>
    </row>
    <row r="113" spans="1:9" s="34" customFormat="1" x14ac:dyDescent="0.25">
      <c r="A113" s="37">
        <f>Données!A107</f>
        <v>5582</v>
      </c>
      <c r="B113" s="373" t="str">
        <f>Données!B107</f>
        <v>Cheseaux-sur-Lausanne</v>
      </c>
      <c r="C113" s="30">
        <f>VPI!R107</f>
        <v>179580.92342465755</v>
      </c>
      <c r="D113" s="7">
        <f>Données!N107</f>
        <v>462952.75</v>
      </c>
      <c r="E113" s="158">
        <f>Données!O107+Données!P107+Données!R107</f>
        <v>805348.3</v>
      </c>
      <c r="F113" s="349">
        <f t="shared" si="3"/>
        <v>541559.97499999998</v>
      </c>
      <c r="G113" s="349">
        <f>Ecrêtage!M107</f>
        <v>0</v>
      </c>
      <c r="H113" s="350">
        <f t="shared" si="4"/>
        <v>1983045.817423902</v>
      </c>
      <c r="I113" s="222">
        <f t="shared" si="5"/>
        <v>2524605.7924239021</v>
      </c>
    </row>
    <row r="114" spans="1:9" s="34" customFormat="1" x14ac:dyDescent="0.25">
      <c r="A114" s="37">
        <f>Données!A108</f>
        <v>5583</v>
      </c>
      <c r="B114" s="373" t="str">
        <f>Données!B108</f>
        <v>Crissier</v>
      </c>
      <c r="C114" s="30">
        <f>VPI!R108</f>
        <v>456346.42330708652</v>
      </c>
      <c r="D114" s="7">
        <f>Données!N108</f>
        <v>3167974.65</v>
      </c>
      <c r="E114" s="158">
        <f>Données!O108+Données!P108+Données!R108</f>
        <v>5350456.95</v>
      </c>
      <c r="F114" s="349">
        <f t="shared" si="3"/>
        <v>3625620.87</v>
      </c>
      <c r="G114" s="349">
        <f>Ecrêtage!M108</f>
        <v>0</v>
      </c>
      <c r="H114" s="350">
        <f t="shared" si="4"/>
        <v>5039265.0220174743</v>
      </c>
      <c r="I114" s="222">
        <f t="shared" si="5"/>
        <v>8664885.8920174744</v>
      </c>
    </row>
    <row r="115" spans="1:9" s="34" customFormat="1" x14ac:dyDescent="0.25">
      <c r="A115" s="37">
        <f>Données!A109</f>
        <v>5584</v>
      </c>
      <c r="B115" s="373" t="str">
        <f>Données!B109</f>
        <v>Epalinges</v>
      </c>
      <c r="C115" s="30">
        <f>VPI!R109</f>
        <v>527681.12604651169</v>
      </c>
      <c r="D115" s="7">
        <f>Données!N109</f>
        <v>357373.9</v>
      </c>
      <c r="E115" s="158">
        <f>Données!O109+Données!P109+Données!R109</f>
        <v>2997482.5</v>
      </c>
      <c r="F115" s="349">
        <f t="shared" si="3"/>
        <v>1605953.42</v>
      </c>
      <c r="G115" s="349">
        <f>Ecrêtage!M109</f>
        <v>422778.20388288534</v>
      </c>
      <c r="H115" s="350">
        <f t="shared" si="4"/>
        <v>5826987.8001773907</v>
      </c>
      <c r="I115" s="222">
        <f t="shared" si="5"/>
        <v>7855719.4240602758</v>
      </c>
    </row>
    <row r="116" spans="1:9" s="34" customFormat="1" x14ac:dyDescent="0.25">
      <c r="A116" s="37">
        <f>Données!A110</f>
        <v>5585</v>
      </c>
      <c r="B116" s="373" t="str">
        <f>Données!B110</f>
        <v>Jouxtens-Mézery</v>
      </c>
      <c r="C116" s="30">
        <f>VPI!R110</f>
        <v>207839.61429378533</v>
      </c>
      <c r="D116" s="7">
        <f>Données!N110</f>
        <v>1553.15</v>
      </c>
      <c r="E116" s="158">
        <f>Données!O110+Données!P110+Données!R110</f>
        <v>489161.9</v>
      </c>
      <c r="F116" s="349">
        <f t="shared" si="3"/>
        <v>245046.89500000002</v>
      </c>
      <c r="G116" s="349">
        <f>Ecrêtage!M110</f>
        <v>3204120.6287853401</v>
      </c>
      <c r="H116" s="350">
        <f t="shared" si="4"/>
        <v>2295096.1046439111</v>
      </c>
      <c r="I116" s="222">
        <f t="shared" si="5"/>
        <v>5744263.6284292508</v>
      </c>
    </row>
    <row r="117" spans="1:9" s="34" customFormat="1" x14ac:dyDescent="0.25">
      <c r="A117" s="37">
        <f>Données!A111</f>
        <v>5586</v>
      </c>
      <c r="B117" s="373" t="str">
        <f>Données!B111</f>
        <v>Lausanne</v>
      </c>
      <c r="C117" s="30">
        <f>VPI!R111</f>
        <v>7026947.2679830147</v>
      </c>
      <c r="D117" s="7">
        <f>Données!N111</f>
        <v>16253442.75</v>
      </c>
      <c r="E117" s="158">
        <f>Données!O111+Données!P111+Données!R111</f>
        <v>41057216.200000003</v>
      </c>
      <c r="F117" s="349">
        <f t="shared" si="3"/>
        <v>25404640.925000001</v>
      </c>
      <c r="G117" s="349">
        <f>Ecrêtage!M111</f>
        <v>0</v>
      </c>
      <c r="H117" s="350">
        <f t="shared" si="4"/>
        <v>77595983.600553781</v>
      </c>
      <c r="I117" s="222">
        <f t="shared" si="5"/>
        <v>103000624.52555378</v>
      </c>
    </row>
    <row r="118" spans="1:9" s="34" customFormat="1" x14ac:dyDescent="0.25">
      <c r="A118" s="37">
        <f>Données!A112</f>
        <v>5587</v>
      </c>
      <c r="B118" s="373" t="str">
        <f>Données!B112</f>
        <v>Le Mont-sur-Lausanne</v>
      </c>
      <c r="C118" s="30">
        <f>VPI!R112</f>
        <v>515123.14148148138</v>
      </c>
      <c r="D118" s="7">
        <f>Données!N112</f>
        <v>698780.8</v>
      </c>
      <c r="E118" s="158">
        <f>Données!O112+Données!P112+Données!R112</f>
        <v>4730946.25</v>
      </c>
      <c r="F118" s="349">
        <f t="shared" si="3"/>
        <v>2575107.3650000002</v>
      </c>
      <c r="G118" s="349">
        <f>Ecrêtage!M112</f>
        <v>551563.29576692882</v>
      </c>
      <c r="H118" s="350">
        <f t="shared" si="4"/>
        <v>5688314.6143397801</v>
      </c>
      <c r="I118" s="222">
        <f t="shared" si="5"/>
        <v>8814985.2751067095</v>
      </c>
    </row>
    <row r="119" spans="1:9" s="34" customFormat="1" x14ac:dyDescent="0.25">
      <c r="A119" s="37">
        <f>Données!A113</f>
        <v>5588</v>
      </c>
      <c r="B119" s="373" t="str">
        <f>Données!B113</f>
        <v>Paudex</v>
      </c>
      <c r="C119" s="30">
        <f>VPI!R113</f>
        <v>151788.7450912997</v>
      </c>
      <c r="D119" s="7">
        <f>Données!N113</f>
        <v>34364.300000000003</v>
      </c>
      <c r="E119" s="158">
        <f>Données!O113+Données!P113+Données!R113</f>
        <v>971137</v>
      </c>
      <c r="F119" s="349">
        <f t="shared" si="3"/>
        <v>495877.79</v>
      </c>
      <c r="G119" s="349">
        <f>Ecrêtage!M113</f>
        <v>1680946.4004639017</v>
      </c>
      <c r="H119" s="350">
        <f t="shared" si="4"/>
        <v>1676147.0558514514</v>
      </c>
      <c r="I119" s="222">
        <f t="shared" si="5"/>
        <v>3852971.2463153526</v>
      </c>
    </row>
    <row r="120" spans="1:9" s="34" customFormat="1" x14ac:dyDescent="0.25">
      <c r="A120" s="37">
        <f>Données!A114</f>
        <v>5589</v>
      </c>
      <c r="B120" s="373" t="str">
        <f>Données!B114</f>
        <v>Prilly</v>
      </c>
      <c r="C120" s="30">
        <f>VPI!R114</f>
        <v>442584.39482228115</v>
      </c>
      <c r="D120" s="7">
        <f>Données!N114</f>
        <v>1500022</v>
      </c>
      <c r="E120" s="158">
        <f>Données!O114+Données!P114+Données!R114</f>
        <v>4774070.1999999993</v>
      </c>
      <c r="F120" s="349">
        <f t="shared" si="3"/>
        <v>2837041.6999999997</v>
      </c>
      <c r="G120" s="349">
        <f>Ecrêtage!M114</f>
        <v>0</v>
      </c>
      <c r="H120" s="350">
        <f t="shared" si="4"/>
        <v>4887296.0238320315</v>
      </c>
      <c r="I120" s="222">
        <f t="shared" si="5"/>
        <v>7724337.7238320317</v>
      </c>
    </row>
    <row r="121" spans="1:9" s="34" customFormat="1" x14ac:dyDescent="0.25">
      <c r="A121" s="37">
        <f>Données!A115</f>
        <v>5590</v>
      </c>
      <c r="B121" s="373" t="str">
        <f>Données!B115</f>
        <v>Pully</v>
      </c>
      <c r="C121" s="30">
        <f>VPI!R115</f>
        <v>1670113.1662763469</v>
      </c>
      <c r="D121" s="7">
        <f>Données!N115</f>
        <v>214274.9</v>
      </c>
      <c r="E121" s="158">
        <f>Données!O115+Données!P115+Données!R115</f>
        <v>14472062.649999999</v>
      </c>
      <c r="F121" s="349">
        <f t="shared" si="3"/>
        <v>7300313.794999999</v>
      </c>
      <c r="G121" s="349">
        <f>Ecrêtage!M115</f>
        <v>12752373.100772189</v>
      </c>
      <c r="H121" s="350">
        <f t="shared" si="4"/>
        <v>18442442.915705342</v>
      </c>
      <c r="I121" s="222">
        <f t="shared" si="5"/>
        <v>38495129.811477527</v>
      </c>
    </row>
    <row r="122" spans="1:9" s="34" customFormat="1" x14ac:dyDescent="0.25">
      <c r="A122" s="37">
        <f>Données!A116</f>
        <v>5591</v>
      </c>
      <c r="B122" s="373" t="str">
        <f>Données!B116</f>
        <v>Renens</v>
      </c>
      <c r="C122" s="30">
        <f>VPI!R116</f>
        <v>627232.40092764387</v>
      </c>
      <c r="D122" s="7">
        <f>Données!N116</f>
        <v>3356012.3</v>
      </c>
      <c r="E122" s="158">
        <f>Données!O116+Données!P116+Données!R116</f>
        <v>3459489.3</v>
      </c>
      <c r="F122" s="349">
        <f t="shared" si="3"/>
        <v>2736548.34</v>
      </c>
      <c r="G122" s="349">
        <f>Ecrêtage!M116</f>
        <v>0</v>
      </c>
      <c r="H122" s="350">
        <f t="shared" si="4"/>
        <v>6926295.764005024</v>
      </c>
      <c r="I122" s="222">
        <f t="shared" si="5"/>
        <v>9662844.1040050238</v>
      </c>
    </row>
    <row r="123" spans="1:9" s="34" customFormat="1" x14ac:dyDescent="0.25">
      <c r="A123" s="37">
        <f>Données!A117</f>
        <v>5592</v>
      </c>
      <c r="B123" s="373" t="str">
        <f>Données!B117</f>
        <v>Romanel-sur-Lausanne</v>
      </c>
      <c r="C123" s="30">
        <f>VPI!R117</f>
        <v>146863.22056737586</v>
      </c>
      <c r="D123" s="7">
        <f>Données!N117</f>
        <v>474069.5</v>
      </c>
      <c r="E123" s="158">
        <f>Données!O117+Données!P117+Données!R117</f>
        <v>1238779.5999999999</v>
      </c>
      <c r="F123" s="349">
        <f t="shared" si="3"/>
        <v>761610.64999999991</v>
      </c>
      <c r="G123" s="349">
        <f>Ecrêtage!M117</f>
        <v>0</v>
      </c>
      <c r="H123" s="350">
        <f t="shared" si="4"/>
        <v>1621756.3075497034</v>
      </c>
      <c r="I123" s="222">
        <f t="shared" si="5"/>
        <v>2383366.9575497033</v>
      </c>
    </row>
    <row r="124" spans="1:9" s="34" customFormat="1" x14ac:dyDescent="0.25">
      <c r="A124" s="37">
        <f>Données!A118</f>
        <v>5601</v>
      </c>
      <c r="B124" s="373" t="str">
        <f>Données!B118</f>
        <v>Chexbres</v>
      </c>
      <c r="C124" s="30">
        <f>VPI!R118</f>
        <v>111006.30192592592</v>
      </c>
      <c r="D124" s="7">
        <f>Données!N118</f>
        <v>68693.5</v>
      </c>
      <c r="E124" s="158">
        <f>Données!O118+Données!P118+Données!R118</f>
        <v>1504457.4500000002</v>
      </c>
      <c r="F124" s="349">
        <f t="shared" si="3"/>
        <v>772836.77500000014</v>
      </c>
      <c r="G124" s="349">
        <f>Ecrêtage!M118</f>
        <v>0</v>
      </c>
      <c r="H124" s="350">
        <f t="shared" si="4"/>
        <v>1225801.5970959025</v>
      </c>
      <c r="I124" s="222">
        <f t="shared" si="5"/>
        <v>1998638.3720959027</v>
      </c>
    </row>
    <row r="125" spans="1:9" s="34" customFormat="1" x14ac:dyDescent="0.25">
      <c r="A125" s="37">
        <f>Données!A119</f>
        <v>5604</v>
      </c>
      <c r="B125" s="373" t="str">
        <f>Données!B119</f>
        <v>Forel (Lavaux)</v>
      </c>
      <c r="C125" s="30">
        <f>VPI!R119</f>
        <v>74097.487681159415</v>
      </c>
      <c r="D125" s="7">
        <f>Données!N119</f>
        <v>146412.75</v>
      </c>
      <c r="E125" s="158">
        <f>Données!O119+Données!P119+Données!R119</f>
        <v>338578.45</v>
      </c>
      <c r="F125" s="349">
        <f t="shared" si="3"/>
        <v>213213.05</v>
      </c>
      <c r="G125" s="349">
        <f>Ecrêtage!M119</f>
        <v>0</v>
      </c>
      <c r="H125" s="350">
        <f t="shared" si="4"/>
        <v>818231.1919639383</v>
      </c>
      <c r="I125" s="222">
        <f t="shared" si="5"/>
        <v>1031444.2419639383</v>
      </c>
    </row>
    <row r="126" spans="1:9" s="34" customFormat="1" x14ac:dyDescent="0.25">
      <c r="A126" s="37">
        <f>Données!A120</f>
        <v>5606</v>
      </c>
      <c r="B126" s="373" t="str">
        <f>Données!B120</f>
        <v>Lutry</v>
      </c>
      <c r="C126" s="30">
        <f>VPI!R120</f>
        <v>967121.48857142858</v>
      </c>
      <c r="D126" s="7">
        <f>Données!N120</f>
        <v>103658.9</v>
      </c>
      <c r="E126" s="158">
        <f>Données!O120+Données!P120+Données!R120</f>
        <v>7920686.5499999998</v>
      </c>
      <c r="F126" s="349">
        <f t="shared" si="3"/>
        <v>3991440.9449999998</v>
      </c>
      <c r="G126" s="349">
        <f>Ecrêtage!M120</f>
        <v>7257505.0201012623</v>
      </c>
      <c r="H126" s="350">
        <f t="shared" si="4"/>
        <v>10679565.436453355</v>
      </c>
      <c r="I126" s="222">
        <f t="shared" si="5"/>
        <v>21928511.401554618</v>
      </c>
    </row>
    <row r="127" spans="1:9" s="34" customFormat="1" x14ac:dyDescent="0.25">
      <c r="A127" s="37">
        <f>Données!A121</f>
        <v>5607</v>
      </c>
      <c r="B127" s="373" t="str">
        <f>Données!B121</f>
        <v>Puidoux</v>
      </c>
      <c r="C127" s="30">
        <f>VPI!R121</f>
        <v>136783.21297365916</v>
      </c>
      <c r="D127" s="7">
        <f>Données!N121</f>
        <v>235969.2</v>
      </c>
      <c r="E127" s="158">
        <f>Données!O121+Données!P121+Données!R121</f>
        <v>386795.85</v>
      </c>
      <c r="F127" s="349">
        <f t="shared" si="3"/>
        <v>264188.685</v>
      </c>
      <c r="G127" s="349">
        <f>Ecrêtage!M121</f>
        <v>0</v>
      </c>
      <c r="H127" s="350">
        <f t="shared" si="4"/>
        <v>1510446.5062794844</v>
      </c>
      <c r="I127" s="222">
        <f t="shared" si="5"/>
        <v>1774635.1912794844</v>
      </c>
    </row>
    <row r="128" spans="1:9" s="34" customFormat="1" x14ac:dyDescent="0.25">
      <c r="A128" s="37">
        <f>Données!A122</f>
        <v>5609</v>
      </c>
      <c r="B128" s="373" t="str">
        <f>Données!B122</f>
        <v>Rivaz</v>
      </c>
      <c r="C128" s="30">
        <f>VPI!R122</f>
        <v>15606.865161290323</v>
      </c>
      <c r="D128" s="7">
        <f>Données!N122</f>
        <v>0</v>
      </c>
      <c r="E128" s="158">
        <f>Données!O122+Données!P122+Données!R122</f>
        <v>116687.34999999999</v>
      </c>
      <c r="F128" s="349">
        <f t="shared" si="3"/>
        <v>58343.674999999996</v>
      </c>
      <c r="G128" s="349">
        <f>Ecrêtage!M122</f>
        <v>0</v>
      </c>
      <c r="H128" s="350">
        <f t="shared" si="4"/>
        <v>172340.84829828914</v>
      </c>
      <c r="I128" s="222">
        <f t="shared" si="5"/>
        <v>230684.52329828913</v>
      </c>
    </row>
    <row r="129" spans="1:9" s="34" customFormat="1" x14ac:dyDescent="0.25">
      <c r="A129" s="37">
        <f>Données!A123</f>
        <v>5610</v>
      </c>
      <c r="B129" s="373" t="str">
        <f>Données!B123</f>
        <v>St-Saphorin (Lavaux)</v>
      </c>
      <c r="C129" s="30">
        <f>VPI!R123</f>
        <v>17690.752229729729</v>
      </c>
      <c r="D129" s="7">
        <f>Données!N123</f>
        <v>0</v>
      </c>
      <c r="E129" s="158">
        <f>Données!O123+Données!P123+Données!R123</f>
        <v>66218.350000000006</v>
      </c>
      <c r="F129" s="349">
        <f t="shared" si="3"/>
        <v>33109.175000000003</v>
      </c>
      <c r="G129" s="349">
        <f>Ecrêtage!M123</f>
        <v>0</v>
      </c>
      <c r="H129" s="350">
        <f t="shared" si="4"/>
        <v>195352.4436072211</v>
      </c>
      <c r="I129" s="222">
        <f t="shared" si="5"/>
        <v>228461.61860722111</v>
      </c>
    </row>
    <row r="130" spans="1:9" s="34" customFormat="1" x14ac:dyDescent="0.25">
      <c r="A130" s="37">
        <f>Données!A124</f>
        <v>5611</v>
      </c>
      <c r="B130" s="373" t="str">
        <f>Données!B124</f>
        <v>Savigny</v>
      </c>
      <c r="C130" s="30">
        <f>VPI!R124</f>
        <v>157298.88888888891</v>
      </c>
      <c r="D130" s="7">
        <f>Données!N124</f>
        <v>157458</v>
      </c>
      <c r="E130" s="158">
        <f>Données!O124+Données!P124+Données!R124</f>
        <v>1367510.65</v>
      </c>
      <c r="F130" s="349">
        <f t="shared" si="3"/>
        <v>730992.72499999998</v>
      </c>
      <c r="G130" s="349">
        <f>Ecrêtage!M124</f>
        <v>0</v>
      </c>
      <c r="H130" s="350">
        <f t="shared" si="4"/>
        <v>1736993.5388900456</v>
      </c>
      <c r="I130" s="222">
        <f t="shared" si="5"/>
        <v>2467986.2638900457</v>
      </c>
    </row>
    <row r="131" spans="1:9" s="34" customFormat="1" x14ac:dyDescent="0.25">
      <c r="A131" s="37">
        <f>Données!A125</f>
        <v>5613</v>
      </c>
      <c r="B131" s="373" t="str">
        <f>Données!B125</f>
        <v>Bourg-en-Lavaux</v>
      </c>
      <c r="C131" s="30">
        <f>VPI!R125</f>
        <v>362275.1242133333</v>
      </c>
      <c r="D131" s="7">
        <f>Données!N125</f>
        <v>49424.6</v>
      </c>
      <c r="E131" s="158">
        <f>Données!O125+Données!P125+Données!R125</f>
        <v>2690231.7</v>
      </c>
      <c r="F131" s="349">
        <f t="shared" si="3"/>
        <v>1359943.23</v>
      </c>
      <c r="G131" s="349">
        <f>Ecrêtage!M125</f>
        <v>1331436.6637712123</v>
      </c>
      <c r="H131" s="350">
        <f t="shared" si="4"/>
        <v>4000470.4070328516</v>
      </c>
      <c r="I131" s="222">
        <f t="shared" si="5"/>
        <v>6691850.3008040637</v>
      </c>
    </row>
    <row r="132" spans="1:9" s="34" customFormat="1" x14ac:dyDescent="0.25">
      <c r="A132" s="37">
        <f>Données!A126</f>
        <v>5621</v>
      </c>
      <c r="B132" s="373" t="str">
        <f>Données!B126</f>
        <v>Aclens</v>
      </c>
      <c r="C132" s="30">
        <f>VPI!R126</f>
        <v>31275.873303030305</v>
      </c>
      <c r="D132" s="7">
        <f>Données!N126</f>
        <v>422976.25</v>
      </c>
      <c r="E132" s="158">
        <f>Données!O126+Données!P126+Données!R126</f>
        <v>148989.35</v>
      </c>
      <c r="F132" s="349">
        <f t="shared" si="3"/>
        <v>201387.55</v>
      </c>
      <c r="G132" s="349">
        <f>Ecrêtage!M126</f>
        <v>23353.963891884439</v>
      </c>
      <c r="H132" s="350">
        <f t="shared" si="4"/>
        <v>345367.91858003219</v>
      </c>
      <c r="I132" s="222">
        <f t="shared" si="5"/>
        <v>570109.43247191666</v>
      </c>
    </row>
    <row r="133" spans="1:9" s="34" customFormat="1" x14ac:dyDescent="0.25">
      <c r="A133" s="37">
        <f>Données!A127</f>
        <v>5622</v>
      </c>
      <c r="B133" s="373" t="str">
        <f>Données!B127</f>
        <v>Bremblens</v>
      </c>
      <c r="C133" s="30">
        <f>VPI!R127</f>
        <v>29645.912352941177</v>
      </c>
      <c r="D133" s="7">
        <f>Données!N127</f>
        <v>38318.949999999997</v>
      </c>
      <c r="E133" s="158">
        <f>Données!O127+Données!P127+Données!R127</f>
        <v>35813.65</v>
      </c>
      <c r="F133" s="349">
        <f t="shared" si="3"/>
        <v>29402.510000000002</v>
      </c>
      <c r="G133" s="349">
        <f>Ecrêtage!M127</f>
        <v>0</v>
      </c>
      <c r="H133" s="350">
        <f t="shared" si="4"/>
        <v>327368.86175930797</v>
      </c>
      <c r="I133" s="222">
        <f t="shared" si="5"/>
        <v>356771.37175930798</v>
      </c>
    </row>
    <row r="134" spans="1:9" s="34" customFormat="1" x14ac:dyDescent="0.25">
      <c r="A134" s="37">
        <f>Données!A128</f>
        <v>5623</v>
      </c>
      <c r="B134" s="373" t="str">
        <f>Données!B128</f>
        <v>Buchillon</v>
      </c>
      <c r="C134" s="30">
        <f>VPI!R128</f>
        <v>102629.43480769232</v>
      </c>
      <c r="D134" s="7">
        <f>Données!N128</f>
        <v>10824.9</v>
      </c>
      <c r="E134" s="158">
        <f>Données!O128+Données!P128+Données!R128</f>
        <v>1062680.1000000001</v>
      </c>
      <c r="F134" s="349">
        <f t="shared" si="3"/>
        <v>534587.52</v>
      </c>
      <c r="G134" s="349">
        <f>Ecrêtage!M128</f>
        <v>1474179.4452815405</v>
      </c>
      <c r="H134" s="350">
        <f t="shared" si="4"/>
        <v>1133298.9471198414</v>
      </c>
      <c r="I134" s="222">
        <f t="shared" si="5"/>
        <v>3142065.9124013819</v>
      </c>
    </row>
    <row r="135" spans="1:9" s="34" customFormat="1" x14ac:dyDescent="0.25">
      <c r="A135" s="37">
        <f>Données!A129</f>
        <v>5624</v>
      </c>
      <c r="B135" s="373" t="str">
        <f>Données!B129</f>
        <v>Bussigny</v>
      </c>
      <c r="C135" s="30">
        <f>VPI!R129</f>
        <v>450667.46672000003</v>
      </c>
      <c r="D135" s="7">
        <f>Données!N129</f>
        <v>1643421.65</v>
      </c>
      <c r="E135" s="158">
        <f>Données!O129+Données!P129+Données!R129</f>
        <v>1528657.05</v>
      </c>
      <c r="F135" s="349">
        <f t="shared" si="3"/>
        <v>1257355.02</v>
      </c>
      <c r="G135" s="349">
        <f>Ecrêtage!M129</f>
        <v>0</v>
      </c>
      <c r="H135" s="350">
        <f t="shared" si="4"/>
        <v>4976554.4016877012</v>
      </c>
      <c r="I135" s="222">
        <f t="shared" si="5"/>
        <v>6233909.4216877017</v>
      </c>
    </row>
    <row r="136" spans="1:9" s="34" customFormat="1" x14ac:dyDescent="0.25">
      <c r="A136" s="37">
        <f>Données!A130</f>
        <v>5627</v>
      </c>
      <c r="B136" s="373" t="str">
        <f>Données!B130</f>
        <v>Chavannes-près-Renens</v>
      </c>
      <c r="C136" s="30">
        <f>VPI!R130</f>
        <v>202046.51840860216</v>
      </c>
      <c r="D136" s="7">
        <f>Données!N130</f>
        <v>420840.9</v>
      </c>
      <c r="E136" s="158">
        <f>Données!O130+Données!P130+Données!R130</f>
        <v>1853729</v>
      </c>
      <c r="F136" s="349">
        <f t="shared" si="3"/>
        <v>1053116.77</v>
      </c>
      <c r="G136" s="349">
        <f>Ecrêtage!M130</f>
        <v>0</v>
      </c>
      <c r="H136" s="350">
        <f t="shared" si="4"/>
        <v>2231125.0861973562</v>
      </c>
      <c r="I136" s="222">
        <f t="shared" si="5"/>
        <v>3284241.8561973562</v>
      </c>
    </row>
    <row r="137" spans="1:9" s="34" customFormat="1" x14ac:dyDescent="0.25">
      <c r="A137" s="37">
        <f>Données!A131</f>
        <v>5628</v>
      </c>
      <c r="B137" s="373" t="str">
        <f>Données!B131</f>
        <v>Chigny</v>
      </c>
      <c r="C137" s="30">
        <f>VPI!R131</f>
        <v>31766.144193548385</v>
      </c>
      <c r="D137" s="7">
        <f>Données!N131</f>
        <v>160.94999999999999</v>
      </c>
      <c r="E137" s="158">
        <f>Données!O131+Données!P131+Données!R131</f>
        <v>227983.35</v>
      </c>
      <c r="F137" s="349">
        <f t="shared" si="3"/>
        <v>114039.96</v>
      </c>
      <c r="G137" s="349">
        <f>Ecrêtage!M131</f>
        <v>176283.42470903849</v>
      </c>
      <c r="H137" s="350">
        <f t="shared" si="4"/>
        <v>350781.798965019</v>
      </c>
      <c r="I137" s="222">
        <f t="shared" si="5"/>
        <v>641105.18367405748</v>
      </c>
    </row>
    <row r="138" spans="1:9" s="34" customFormat="1" x14ac:dyDescent="0.25">
      <c r="A138" s="37">
        <f>Données!A132</f>
        <v>5629</v>
      </c>
      <c r="B138" s="373" t="str">
        <f>Données!B132</f>
        <v>Clarmont</v>
      </c>
      <c r="C138" s="30">
        <f>VPI!R132</f>
        <v>8028.6466666666693</v>
      </c>
      <c r="D138" s="7">
        <f>Données!N132</f>
        <v>0</v>
      </c>
      <c r="E138" s="158">
        <f>Données!O132+Données!P132+Données!R132</f>
        <v>40349.199999999997</v>
      </c>
      <c r="F138" s="349">
        <f t="shared" si="3"/>
        <v>20174.599999999999</v>
      </c>
      <c r="G138" s="349">
        <f>Ecrêtage!M132</f>
        <v>0</v>
      </c>
      <c r="H138" s="350">
        <f t="shared" si="4"/>
        <v>88657.380128615696</v>
      </c>
      <c r="I138" s="222">
        <f t="shared" si="5"/>
        <v>108831.98012861569</v>
      </c>
    </row>
    <row r="139" spans="1:9" s="34" customFormat="1" x14ac:dyDescent="0.25">
      <c r="A139" s="37">
        <f>Données!A133</f>
        <v>5631</v>
      </c>
      <c r="B139" s="373" t="str">
        <f>Données!B133</f>
        <v>Denens</v>
      </c>
      <c r="C139" s="30">
        <f>VPI!R133</f>
        <v>46857.544615384613</v>
      </c>
      <c r="D139" s="7">
        <f>Données!N133</f>
        <v>2264.9</v>
      </c>
      <c r="E139" s="158">
        <f>Données!O133+Données!P133+Données!R133</f>
        <v>156866.25</v>
      </c>
      <c r="F139" s="349">
        <f t="shared" si="3"/>
        <v>79112.595000000001</v>
      </c>
      <c r="G139" s="349">
        <f>Ecrêtage!M133</f>
        <v>142575.60077881959</v>
      </c>
      <c r="H139" s="350">
        <f t="shared" si="4"/>
        <v>517430.56050871027</v>
      </c>
      <c r="I139" s="222">
        <f t="shared" si="5"/>
        <v>739118.75628752983</v>
      </c>
    </row>
    <row r="140" spans="1:9" s="34" customFormat="1" x14ac:dyDescent="0.25">
      <c r="A140" s="37">
        <f>Données!A134</f>
        <v>5632</v>
      </c>
      <c r="B140" s="373" t="str">
        <f>Données!B134</f>
        <v>Denges</v>
      </c>
      <c r="C140" s="30">
        <f>VPI!R134</f>
        <v>84931.199193548397</v>
      </c>
      <c r="D140" s="7">
        <f>Données!N134</f>
        <v>113781.05</v>
      </c>
      <c r="E140" s="158">
        <f>Données!O134+Données!P134+Données!R134</f>
        <v>644596.44999999995</v>
      </c>
      <c r="F140" s="349">
        <f t="shared" si="3"/>
        <v>356432.54</v>
      </c>
      <c r="G140" s="349">
        <f>Ecrêtage!M134</f>
        <v>0</v>
      </c>
      <c r="H140" s="350">
        <f t="shared" si="4"/>
        <v>937863.86726217822</v>
      </c>
      <c r="I140" s="222">
        <f t="shared" si="5"/>
        <v>1294296.4072621781</v>
      </c>
    </row>
    <row r="141" spans="1:9" s="34" customFormat="1" x14ac:dyDescent="0.25">
      <c r="A141" s="37">
        <f>Données!A135</f>
        <v>5633</v>
      </c>
      <c r="B141" s="373" t="str">
        <f>Données!B135</f>
        <v>Echandens</v>
      </c>
      <c r="C141" s="30">
        <f>VPI!R135</f>
        <v>152816.5752066116</v>
      </c>
      <c r="D141" s="7">
        <f>Données!N135</f>
        <v>201321.55</v>
      </c>
      <c r="E141" s="158">
        <f>Données!O135+Données!P135+Données!R135</f>
        <v>1218768.75</v>
      </c>
      <c r="F141" s="349">
        <f t="shared" ref="F141:F204" si="6">D141*$D$11+E141*$E$11</f>
        <v>669780.84</v>
      </c>
      <c r="G141" s="349">
        <f>Ecrêtage!M135</f>
        <v>32916.985768508486</v>
      </c>
      <c r="H141" s="350">
        <f t="shared" ref="H141:H204" si="7">$H$11*C141</f>
        <v>1687497.0042330606</v>
      </c>
      <c r="I141" s="222">
        <f t="shared" ref="I141:I204" si="8">F141+H141+G141</f>
        <v>2390194.8300015694</v>
      </c>
    </row>
    <row r="142" spans="1:9" s="34" customFormat="1" x14ac:dyDescent="0.25">
      <c r="A142" s="37">
        <f>Données!A136</f>
        <v>5634</v>
      </c>
      <c r="B142" s="373" t="str">
        <f>Données!B136</f>
        <v>Echichens</v>
      </c>
      <c r="C142" s="30">
        <f>VPI!R136</f>
        <v>172315.76318181818</v>
      </c>
      <c r="D142" s="7">
        <f>Données!N136</f>
        <v>77372.350000000006</v>
      </c>
      <c r="E142" s="158">
        <f>Données!O136+Données!P136+Données!R136</f>
        <v>1023034.9000000001</v>
      </c>
      <c r="F142" s="349">
        <f t="shared" si="6"/>
        <v>534729.15500000003</v>
      </c>
      <c r="G142" s="349">
        <f>Ecrêtage!M136</f>
        <v>152156.36287170762</v>
      </c>
      <c r="H142" s="350">
        <f t="shared" si="7"/>
        <v>1902819.3359150155</v>
      </c>
      <c r="I142" s="222">
        <f t="shared" si="8"/>
        <v>2589704.8537867228</v>
      </c>
    </row>
    <row r="143" spans="1:9" s="34" customFormat="1" x14ac:dyDescent="0.25">
      <c r="A143" s="37">
        <f>Données!A137</f>
        <v>5635</v>
      </c>
      <c r="B143" s="373" t="str">
        <f>Données!B137</f>
        <v>Ecublens</v>
      </c>
      <c r="C143" s="30">
        <f>VPI!R137</f>
        <v>544882.47829333332</v>
      </c>
      <c r="D143" s="7">
        <f>Données!N137</f>
        <v>2741842.5</v>
      </c>
      <c r="E143" s="158">
        <f>Données!O137+Données!P137+Données!R137</f>
        <v>3399416.95</v>
      </c>
      <c r="F143" s="349">
        <f t="shared" si="6"/>
        <v>2522261.2250000001</v>
      </c>
      <c r="G143" s="349">
        <f>Ecrêtage!M137</f>
        <v>0</v>
      </c>
      <c r="H143" s="350">
        <f t="shared" si="7"/>
        <v>6016935.9805107322</v>
      </c>
      <c r="I143" s="222">
        <f t="shared" si="8"/>
        <v>8539197.2055107318</v>
      </c>
    </row>
    <row r="144" spans="1:9" s="34" customFormat="1" x14ac:dyDescent="0.25">
      <c r="A144" s="37">
        <f>Données!A138</f>
        <v>5636</v>
      </c>
      <c r="B144" s="373" t="str">
        <f>Données!B138</f>
        <v>Etoy</v>
      </c>
      <c r="C144" s="30">
        <f>VPI!R138</f>
        <v>214499.46883333332</v>
      </c>
      <c r="D144" s="7">
        <f>Données!N138</f>
        <v>726740.75</v>
      </c>
      <c r="E144" s="158">
        <f>Données!O138+Données!P138+Données!R138</f>
        <v>273521.90000000002</v>
      </c>
      <c r="F144" s="349">
        <f t="shared" si="6"/>
        <v>354783.17500000005</v>
      </c>
      <c r="G144" s="349">
        <f>Ecrêtage!M138</f>
        <v>1015598.8868415655</v>
      </c>
      <c r="H144" s="350">
        <f t="shared" si="7"/>
        <v>2368638.4188131723</v>
      </c>
      <c r="I144" s="222">
        <f t="shared" si="8"/>
        <v>3739020.4806547379</v>
      </c>
    </row>
    <row r="145" spans="1:9" s="34" customFormat="1" x14ac:dyDescent="0.25">
      <c r="A145" s="37">
        <f>Données!A139</f>
        <v>5637</v>
      </c>
      <c r="B145" s="373" t="str">
        <f>Données!B139</f>
        <v>Lavigny</v>
      </c>
      <c r="C145" s="30">
        <f>VPI!R139</f>
        <v>37437.327945205478</v>
      </c>
      <c r="D145" s="7">
        <f>Données!N139</f>
        <v>318475.84999999998</v>
      </c>
      <c r="E145" s="158">
        <f>Données!O139+Données!P139+Données!R139</f>
        <v>259433.25</v>
      </c>
      <c r="F145" s="349">
        <f t="shared" si="6"/>
        <v>225259.38</v>
      </c>
      <c r="G145" s="349">
        <f>Ecrêtage!M139</f>
        <v>0</v>
      </c>
      <c r="H145" s="350">
        <f t="shared" si="7"/>
        <v>413406.58674368466</v>
      </c>
      <c r="I145" s="222">
        <f t="shared" si="8"/>
        <v>638665.96674368461</v>
      </c>
    </row>
    <row r="146" spans="1:9" s="34" customFormat="1" x14ac:dyDescent="0.25">
      <c r="A146" s="37">
        <f>Données!A140</f>
        <v>5638</v>
      </c>
      <c r="B146" s="373" t="str">
        <f>Données!B140</f>
        <v>Lonay</v>
      </c>
      <c r="C146" s="30">
        <f>VPI!R140</f>
        <v>156370.75327272728</v>
      </c>
      <c r="D146" s="7">
        <f>Données!N140</f>
        <v>336838.5</v>
      </c>
      <c r="E146" s="158">
        <f>Données!O140+Données!P140+Données!R140</f>
        <v>3874173.15</v>
      </c>
      <c r="F146" s="349">
        <f t="shared" si="6"/>
        <v>2038138.125</v>
      </c>
      <c r="G146" s="349">
        <f>Ecrêtage!M140</f>
        <v>217967.44942613872</v>
      </c>
      <c r="H146" s="350">
        <f t="shared" si="7"/>
        <v>1726744.4800449749</v>
      </c>
      <c r="I146" s="222">
        <f t="shared" si="8"/>
        <v>3982850.0544711137</v>
      </c>
    </row>
    <row r="147" spans="1:9" s="34" customFormat="1" x14ac:dyDescent="0.25">
      <c r="A147" s="37">
        <f>Données!A141</f>
        <v>5639</v>
      </c>
      <c r="B147" s="373" t="str">
        <f>Données!B141</f>
        <v>Lully</v>
      </c>
      <c r="C147" s="30">
        <f>VPI!R141</f>
        <v>55829.926885245906</v>
      </c>
      <c r="D147" s="7">
        <f>Données!N141</f>
        <v>28955.75</v>
      </c>
      <c r="E147" s="158">
        <f>Données!O141+Données!P141+Données!R141</f>
        <v>521119.30000000005</v>
      </c>
      <c r="F147" s="349">
        <f t="shared" si="6"/>
        <v>269246.375</v>
      </c>
      <c r="G147" s="349">
        <f>Ecrêtage!M141</f>
        <v>204365.08747069669</v>
      </c>
      <c r="H147" s="350">
        <f t="shared" si="7"/>
        <v>616509.26437806443</v>
      </c>
      <c r="I147" s="222">
        <f t="shared" si="8"/>
        <v>1090120.7268487611</v>
      </c>
    </row>
    <row r="148" spans="1:9" s="34" customFormat="1" x14ac:dyDescent="0.25">
      <c r="A148" s="37">
        <f>Données!A142</f>
        <v>5640</v>
      </c>
      <c r="B148" s="373" t="str">
        <f>Données!B142</f>
        <v>Lussy-sur-Morges</v>
      </c>
      <c r="C148" s="30">
        <f>VPI!R142</f>
        <v>63303.13934959349</v>
      </c>
      <c r="D148" s="7">
        <f>Données!N142</f>
        <v>29199.95</v>
      </c>
      <c r="E148" s="158">
        <f>Données!O142+Données!P142+Données!R142</f>
        <v>160026.20000000001</v>
      </c>
      <c r="F148" s="349">
        <f t="shared" si="6"/>
        <v>88773.085000000006</v>
      </c>
      <c r="G148" s="349">
        <f>Ecrêtage!M142</f>
        <v>518840.8566229117</v>
      </c>
      <c r="H148" s="350">
        <f t="shared" si="7"/>
        <v>699033.18973454693</v>
      </c>
      <c r="I148" s="222">
        <f t="shared" si="8"/>
        <v>1306647.1313574587</v>
      </c>
    </row>
    <row r="149" spans="1:9" s="34" customFormat="1" x14ac:dyDescent="0.25">
      <c r="A149" s="37">
        <f>Données!A143</f>
        <v>5642</v>
      </c>
      <c r="B149" s="373" t="str">
        <f>Données!B143</f>
        <v>Morges</v>
      </c>
      <c r="C149" s="30">
        <f>VPI!R143</f>
        <v>1061989.5101492535</v>
      </c>
      <c r="D149" s="7">
        <f>Données!N143</f>
        <v>1929869.5</v>
      </c>
      <c r="E149" s="158">
        <f>Données!O143+Données!P143+Données!R143</f>
        <v>8360124.25</v>
      </c>
      <c r="F149" s="349">
        <f t="shared" si="6"/>
        <v>4759022.9749999996</v>
      </c>
      <c r="G149" s="349">
        <f>Ecrêtage!M143</f>
        <v>2369814.7931919028</v>
      </c>
      <c r="H149" s="350">
        <f t="shared" si="7"/>
        <v>11727157.963596776</v>
      </c>
      <c r="I149" s="222">
        <f t="shared" si="8"/>
        <v>18855995.73178868</v>
      </c>
    </row>
    <row r="150" spans="1:9" s="34" customFormat="1" x14ac:dyDescent="0.25">
      <c r="A150" s="37">
        <f>Données!A144</f>
        <v>5643</v>
      </c>
      <c r="B150" s="373" t="str">
        <f>Données!B144</f>
        <v>Préverenges</v>
      </c>
      <c r="C150" s="30">
        <f>VPI!R144</f>
        <v>254683.39384615389</v>
      </c>
      <c r="D150" s="7">
        <f>Données!N144</f>
        <v>238052.1</v>
      </c>
      <c r="E150" s="158">
        <f>Données!O144+Données!P144+Données!R144</f>
        <v>2620649.9</v>
      </c>
      <c r="F150" s="349">
        <f t="shared" si="6"/>
        <v>1381740.58</v>
      </c>
      <c r="G150" s="349">
        <f>Ecrêtage!M144</f>
        <v>0</v>
      </c>
      <c r="H150" s="350">
        <f t="shared" si="7"/>
        <v>2812374.6626452277</v>
      </c>
      <c r="I150" s="222">
        <f t="shared" si="8"/>
        <v>4194115.2426452278</v>
      </c>
    </row>
    <row r="151" spans="1:9" s="34" customFormat="1" x14ac:dyDescent="0.25">
      <c r="A151" s="37">
        <f>Données!A145</f>
        <v>5645</v>
      </c>
      <c r="B151" s="373" t="str">
        <f>Données!B145</f>
        <v>Romanel-sur-Morges</v>
      </c>
      <c r="C151" s="30">
        <f>VPI!R145</f>
        <v>28308.714642857147</v>
      </c>
      <c r="D151" s="7">
        <f>Données!N145</f>
        <v>85593.2</v>
      </c>
      <c r="E151" s="158">
        <f>Données!O145+Données!P145+Données!R145</f>
        <v>107769.25</v>
      </c>
      <c r="F151" s="349">
        <f t="shared" si="6"/>
        <v>79562.584999999992</v>
      </c>
      <c r="G151" s="349">
        <f>Ecrêtage!M145</f>
        <v>69083.625475859706</v>
      </c>
      <c r="H151" s="350">
        <f t="shared" si="7"/>
        <v>312602.68127932242</v>
      </c>
      <c r="I151" s="222">
        <f t="shared" si="8"/>
        <v>461248.89175518218</v>
      </c>
    </row>
    <row r="152" spans="1:9" s="34" customFormat="1" x14ac:dyDescent="0.25">
      <c r="A152" s="37">
        <f>Données!A146</f>
        <v>5646</v>
      </c>
      <c r="B152" s="373" t="str">
        <f>Données!B146</f>
        <v>Saint-Prex</v>
      </c>
      <c r="C152" s="30">
        <f>VPI!R146</f>
        <v>465798.68426553684</v>
      </c>
      <c r="D152" s="7">
        <f>Données!N146</f>
        <v>649084.35</v>
      </c>
      <c r="E152" s="158">
        <f>Données!O146+Données!P146+Données!R146</f>
        <v>1661786.1</v>
      </c>
      <c r="F152" s="349">
        <f t="shared" si="6"/>
        <v>1025618.355</v>
      </c>
      <c r="G152" s="349">
        <f>Ecrêtage!M146</f>
        <v>2862491.5469636605</v>
      </c>
      <c r="H152" s="350">
        <f t="shared" si="7"/>
        <v>5143642.8490237948</v>
      </c>
      <c r="I152" s="222">
        <f t="shared" si="8"/>
        <v>9031752.7509874552</v>
      </c>
    </row>
    <row r="153" spans="1:9" s="34" customFormat="1" x14ac:dyDescent="0.25">
      <c r="A153" s="37">
        <f>Données!A147</f>
        <v>5648</v>
      </c>
      <c r="B153" s="373" t="str">
        <f>Données!B147</f>
        <v>Saint-Sulpice</v>
      </c>
      <c r="C153" s="30">
        <f>VPI!R147</f>
        <v>424880.94159090909</v>
      </c>
      <c r="D153" s="7">
        <f>Données!N147</f>
        <v>97070.399999999994</v>
      </c>
      <c r="E153" s="158">
        <f>Données!O147+Données!P147+Données!R147</f>
        <v>2057568</v>
      </c>
      <c r="F153" s="349">
        <f t="shared" si="6"/>
        <v>1057905.1200000001</v>
      </c>
      <c r="G153" s="349">
        <f>Ecrêtage!M147</f>
        <v>2686566.1804603743</v>
      </c>
      <c r="H153" s="350">
        <f t="shared" si="7"/>
        <v>4691803.3277542051</v>
      </c>
      <c r="I153" s="222">
        <f t="shared" si="8"/>
        <v>8436274.6282145791</v>
      </c>
    </row>
    <row r="154" spans="1:9" s="34" customFormat="1" x14ac:dyDescent="0.25">
      <c r="A154" s="37">
        <f>Données!A148</f>
        <v>5649</v>
      </c>
      <c r="B154" s="373" t="str">
        <f>Données!B148</f>
        <v>Tolochenaz</v>
      </c>
      <c r="C154" s="30">
        <f>VPI!R148</f>
        <v>431976.43718750001</v>
      </c>
      <c r="D154" s="7">
        <f>Données!N148</f>
        <v>276035.34999999998</v>
      </c>
      <c r="E154" s="158">
        <f>Données!O148+Données!P148+Données!R148</f>
        <v>579575.4</v>
      </c>
      <c r="F154" s="349">
        <f t="shared" si="6"/>
        <v>372598.30499999999</v>
      </c>
      <c r="G154" s="349">
        <f>Ecrêtage!M148</f>
        <v>10588909.299015759</v>
      </c>
      <c r="H154" s="350">
        <f t="shared" si="7"/>
        <v>4770156.2652324038</v>
      </c>
      <c r="I154" s="222">
        <f t="shared" si="8"/>
        <v>15731663.869248163</v>
      </c>
    </row>
    <row r="155" spans="1:9" s="34" customFormat="1" x14ac:dyDescent="0.25">
      <c r="A155" s="37">
        <f>Données!A149</f>
        <v>5650</v>
      </c>
      <c r="B155" s="373" t="str">
        <f>Données!B149</f>
        <v>Vaux-sur-Morges</v>
      </c>
      <c r="C155" s="30">
        <f>VPI!R149</f>
        <v>116547.05321428573</v>
      </c>
      <c r="D155" s="7">
        <f>Données!N149</f>
        <v>230.65</v>
      </c>
      <c r="E155" s="158">
        <f>Données!O149+Données!P149+Données!R149</f>
        <v>37776.65</v>
      </c>
      <c r="F155" s="349">
        <f t="shared" si="6"/>
        <v>18957.52</v>
      </c>
      <c r="G155" s="349">
        <f>Ecrêtage!M149</f>
        <v>3413868.3505753237</v>
      </c>
      <c r="H155" s="350">
        <f t="shared" si="7"/>
        <v>1286986.0673516078</v>
      </c>
      <c r="I155" s="222">
        <f t="shared" si="8"/>
        <v>4719811.9379269313</v>
      </c>
    </row>
    <row r="156" spans="1:9" s="34" customFormat="1" x14ac:dyDescent="0.25">
      <c r="A156" s="37">
        <f>Données!A150</f>
        <v>5651</v>
      </c>
      <c r="B156" s="373" t="str">
        <f>Données!B150</f>
        <v>Villars-Sainte-Croix</v>
      </c>
      <c r="C156" s="30">
        <f>VPI!R150</f>
        <v>62685.817685950416</v>
      </c>
      <c r="D156" s="7">
        <f>Données!N150</f>
        <v>287281.55</v>
      </c>
      <c r="E156" s="158">
        <f>Données!O150+Données!P150+Données!R150</f>
        <v>271985.75</v>
      </c>
      <c r="F156" s="349">
        <f t="shared" si="6"/>
        <v>222177.34</v>
      </c>
      <c r="G156" s="349">
        <f>Ecrêtage!M150</f>
        <v>213946.6784082159</v>
      </c>
      <c r="H156" s="350">
        <f t="shared" si="7"/>
        <v>692216.33458230051</v>
      </c>
      <c r="I156" s="222">
        <f t="shared" si="8"/>
        <v>1128340.3529905165</v>
      </c>
    </row>
    <row r="157" spans="1:9" s="34" customFormat="1" x14ac:dyDescent="0.25">
      <c r="A157" s="37">
        <f>Données!A151</f>
        <v>5652</v>
      </c>
      <c r="B157" s="373" t="str">
        <f>Données!B151</f>
        <v>Villars-sous-Yens</v>
      </c>
      <c r="C157" s="30">
        <f>VPI!R151</f>
        <v>27337.435990990991</v>
      </c>
      <c r="D157" s="7">
        <f>Données!N151</f>
        <v>1364.05</v>
      </c>
      <c r="E157" s="158">
        <f>Données!O151+Données!P151+Données!R151</f>
        <v>341279.44999999995</v>
      </c>
      <c r="F157" s="349">
        <f t="shared" si="6"/>
        <v>171048.93999999997</v>
      </c>
      <c r="G157" s="349">
        <f>Ecrêtage!M151</f>
        <v>0</v>
      </c>
      <c r="H157" s="350">
        <f t="shared" si="7"/>
        <v>301877.20982386247</v>
      </c>
      <c r="I157" s="222">
        <f t="shared" si="8"/>
        <v>472926.14982386248</v>
      </c>
    </row>
    <row r="158" spans="1:9" s="34" customFormat="1" x14ac:dyDescent="0.25">
      <c r="A158" s="37">
        <f>Données!A152</f>
        <v>5653</v>
      </c>
      <c r="B158" s="373" t="str">
        <f>Données!B152</f>
        <v>Vufflens-le-Château</v>
      </c>
      <c r="C158" s="30">
        <f>VPI!R152</f>
        <v>76227.69876033059</v>
      </c>
      <c r="D158" s="7">
        <f>Données!N152</f>
        <v>1912.6</v>
      </c>
      <c r="E158" s="158">
        <f>Données!O152+Données!P152+Données!R152</f>
        <v>362705.75</v>
      </c>
      <c r="F158" s="349">
        <f t="shared" si="6"/>
        <v>181926.655</v>
      </c>
      <c r="G158" s="349">
        <f>Ecrêtage!M152</f>
        <v>654107.47153992148</v>
      </c>
      <c r="H158" s="350">
        <f t="shared" si="7"/>
        <v>841754.32621573843</v>
      </c>
      <c r="I158" s="222">
        <f t="shared" si="8"/>
        <v>1677788.4527556598</v>
      </c>
    </row>
    <row r="159" spans="1:9" s="34" customFormat="1" x14ac:dyDescent="0.25">
      <c r="A159" s="37">
        <f>Données!A153</f>
        <v>5654</v>
      </c>
      <c r="B159" s="373" t="str">
        <f>Données!B153</f>
        <v>Vullierens</v>
      </c>
      <c r="C159" s="30">
        <f>VPI!R153</f>
        <v>23074.815394736848</v>
      </c>
      <c r="D159" s="7">
        <f>Données!N153</f>
        <v>6294.85</v>
      </c>
      <c r="E159" s="158">
        <f>Données!O153+Données!P153+Données!R153</f>
        <v>128145.85</v>
      </c>
      <c r="F159" s="349">
        <f t="shared" si="6"/>
        <v>65961.38</v>
      </c>
      <c r="G159" s="349">
        <f>Ecrêtage!M153</f>
        <v>0</v>
      </c>
      <c r="H159" s="350">
        <f t="shared" si="7"/>
        <v>254806.66478229425</v>
      </c>
      <c r="I159" s="222">
        <f t="shared" si="8"/>
        <v>320768.04478229425</v>
      </c>
    </row>
    <row r="160" spans="1:9" s="34" customFormat="1" x14ac:dyDescent="0.25">
      <c r="A160" s="37">
        <f>Données!A154</f>
        <v>5655</v>
      </c>
      <c r="B160" s="373" t="str">
        <f>Données!B154</f>
        <v>Yens</v>
      </c>
      <c r="C160" s="30">
        <f>VPI!R154</f>
        <v>99930.986000000004</v>
      </c>
      <c r="D160" s="7">
        <f>Données!N154</f>
        <v>89065.25</v>
      </c>
      <c r="E160" s="158">
        <f>Données!O154+Données!P154+Données!R154</f>
        <v>654030.10000000009</v>
      </c>
      <c r="F160" s="349">
        <f t="shared" si="6"/>
        <v>353734.62500000006</v>
      </c>
      <c r="G160" s="349">
        <f>Ecrêtage!M154</f>
        <v>417473.67861217278</v>
      </c>
      <c r="H160" s="350">
        <f t="shared" si="7"/>
        <v>1103500.9734844523</v>
      </c>
      <c r="I160" s="222">
        <f t="shared" si="8"/>
        <v>1874709.2770966252</v>
      </c>
    </row>
    <row r="161" spans="1:9" s="34" customFormat="1" x14ac:dyDescent="0.25">
      <c r="A161" s="37">
        <f>Données!A155</f>
        <v>5656</v>
      </c>
      <c r="B161" s="373" t="str">
        <f>Données!B155</f>
        <v>Hautemorges</v>
      </c>
      <c r="C161" s="30">
        <f>VPI!R155</f>
        <v>173869.73802816903</v>
      </c>
      <c r="D161" s="7">
        <f>Données!N155</f>
        <v>88449.4</v>
      </c>
      <c r="E161" s="158">
        <f>Données!O155+Données!P155+Données!R155</f>
        <v>877104.60000000009</v>
      </c>
      <c r="F161" s="349">
        <f t="shared" si="6"/>
        <v>465087.12000000005</v>
      </c>
      <c r="G161" s="349">
        <f>Ecrêtage!M155</f>
        <v>0</v>
      </c>
      <c r="H161" s="350">
        <f t="shared" si="7"/>
        <v>1919979.3062541306</v>
      </c>
      <c r="I161" s="222">
        <f t="shared" si="8"/>
        <v>2385066.4262541304</v>
      </c>
    </row>
    <row r="162" spans="1:9" s="34" customFormat="1" x14ac:dyDescent="0.25">
      <c r="A162" s="37">
        <f>Données!A156</f>
        <v>5661</v>
      </c>
      <c r="B162" s="373" t="str">
        <f>Données!B156</f>
        <v>Boulens</v>
      </c>
      <c r="C162" s="30">
        <f>VPI!R156</f>
        <v>10070.839300699299</v>
      </c>
      <c r="D162" s="7">
        <f>Données!N156</f>
        <v>15880.3</v>
      </c>
      <c r="E162" s="158">
        <f>Données!O156+Données!P156+Données!R156</f>
        <v>55422.350000000006</v>
      </c>
      <c r="F162" s="349">
        <f t="shared" si="6"/>
        <v>32475.265000000003</v>
      </c>
      <c r="G162" s="349">
        <f>Ecrêtage!M156</f>
        <v>0</v>
      </c>
      <c r="H162" s="350">
        <f t="shared" si="7"/>
        <v>111208.55919631533</v>
      </c>
      <c r="I162" s="222">
        <f t="shared" si="8"/>
        <v>143683.82419631534</v>
      </c>
    </row>
    <row r="163" spans="1:9" s="34" customFormat="1" x14ac:dyDescent="0.25">
      <c r="A163" s="37">
        <f>Données!A157</f>
        <v>5663</v>
      </c>
      <c r="B163" s="373" t="str">
        <f>Données!B157</f>
        <v>Bussy-sur-Moudon</v>
      </c>
      <c r="C163" s="30">
        <f>VPI!R157</f>
        <v>5846.5050955414026</v>
      </c>
      <c r="D163" s="7">
        <f>Données!N157</f>
        <v>0</v>
      </c>
      <c r="E163" s="158">
        <f>Données!O157+Données!P157+Données!R157</f>
        <v>26837.5</v>
      </c>
      <c r="F163" s="349">
        <f t="shared" si="6"/>
        <v>13418.75</v>
      </c>
      <c r="G163" s="349">
        <f>Ecrêtage!M157</f>
        <v>0</v>
      </c>
      <c r="H163" s="350">
        <f t="shared" si="7"/>
        <v>64560.796632305304</v>
      </c>
      <c r="I163" s="222">
        <f t="shared" si="8"/>
        <v>77979.546632305312</v>
      </c>
    </row>
    <row r="164" spans="1:9" s="34" customFormat="1" x14ac:dyDescent="0.25">
      <c r="A164" s="37">
        <f>Données!A158</f>
        <v>5665</v>
      </c>
      <c r="B164" s="373" t="str">
        <f>Données!B158</f>
        <v>Chavannes-sur-Moudon</v>
      </c>
      <c r="C164" s="30">
        <f>VPI!R158</f>
        <v>6553.0082857142861</v>
      </c>
      <c r="D164" s="7">
        <f>Données!N158</f>
        <v>0</v>
      </c>
      <c r="E164" s="158">
        <f>Données!O158+Données!P158+Données!R158</f>
        <v>4611.2</v>
      </c>
      <c r="F164" s="349">
        <f t="shared" si="6"/>
        <v>2305.6</v>
      </c>
      <c r="G164" s="349">
        <f>Ecrêtage!M158</f>
        <v>0</v>
      </c>
      <c r="H164" s="350">
        <f t="shared" si="7"/>
        <v>72362.450446925417</v>
      </c>
      <c r="I164" s="222">
        <f t="shared" si="8"/>
        <v>74668.050446925423</v>
      </c>
    </row>
    <row r="165" spans="1:9" s="34" customFormat="1" x14ac:dyDescent="0.25">
      <c r="A165" s="37">
        <f>Données!A159</f>
        <v>5669</v>
      </c>
      <c r="B165" s="373" t="str">
        <f>Données!B159</f>
        <v>Curtilles</v>
      </c>
      <c r="C165" s="30">
        <f>VPI!R159</f>
        <v>9589.3382191780838</v>
      </c>
      <c r="D165" s="7">
        <f>Données!N159</f>
        <v>0</v>
      </c>
      <c r="E165" s="158">
        <f>Données!O159+Données!P159+Données!R159</f>
        <v>61150.75</v>
      </c>
      <c r="F165" s="349">
        <f t="shared" si="6"/>
        <v>30575.375</v>
      </c>
      <c r="G165" s="349">
        <f>Ecrêtage!M159</f>
        <v>0</v>
      </c>
      <c r="H165" s="350">
        <f t="shared" si="7"/>
        <v>105891.5205733553</v>
      </c>
      <c r="I165" s="222">
        <f t="shared" si="8"/>
        <v>136466.89557335532</v>
      </c>
    </row>
    <row r="166" spans="1:9" s="34" customFormat="1" x14ac:dyDescent="0.25">
      <c r="A166" s="37">
        <f>Données!A160</f>
        <v>5671</v>
      </c>
      <c r="B166" s="373" t="str">
        <f>Données!B160</f>
        <v>Dompierre</v>
      </c>
      <c r="C166" s="30">
        <f>VPI!R160</f>
        <v>6077.1303846153842</v>
      </c>
      <c r="D166" s="7">
        <f>Données!N160</f>
        <v>0</v>
      </c>
      <c r="E166" s="158">
        <f>Données!O160+Données!P160+Données!R160</f>
        <v>4059.2000000000003</v>
      </c>
      <c r="F166" s="349">
        <f t="shared" si="6"/>
        <v>2029.6000000000001</v>
      </c>
      <c r="G166" s="349">
        <f>Ecrêtage!M160</f>
        <v>0</v>
      </c>
      <c r="H166" s="350">
        <f t="shared" si="7"/>
        <v>67107.506528705926</v>
      </c>
      <c r="I166" s="222">
        <f t="shared" si="8"/>
        <v>69137.106528705932</v>
      </c>
    </row>
    <row r="167" spans="1:9" s="34" customFormat="1" x14ac:dyDescent="0.25">
      <c r="A167" s="37">
        <f>Données!A161</f>
        <v>5673</v>
      </c>
      <c r="B167" s="373" t="str">
        <f>Données!B161</f>
        <v>Hermenches</v>
      </c>
      <c r="C167" s="30">
        <f>VPI!R161</f>
        <v>10021.842448979593</v>
      </c>
      <c r="D167" s="7">
        <f>Données!N161</f>
        <v>11947.95</v>
      </c>
      <c r="E167" s="158">
        <f>Données!O161+Données!P161+Données!R161</f>
        <v>51475.45</v>
      </c>
      <c r="F167" s="349">
        <f t="shared" si="6"/>
        <v>29322.11</v>
      </c>
      <c r="G167" s="349">
        <f>Ecrêtage!M161</f>
        <v>0</v>
      </c>
      <c r="H167" s="350">
        <f t="shared" si="7"/>
        <v>110667.50505750827</v>
      </c>
      <c r="I167" s="222">
        <f t="shared" si="8"/>
        <v>139989.61505750829</v>
      </c>
    </row>
    <row r="168" spans="1:9" s="34" customFormat="1" x14ac:dyDescent="0.25">
      <c r="A168" s="37">
        <f>Données!A162</f>
        <v>5674</v>
      </c>
      <c r="B168" s="373" t="str">
        <f>Données!B162</f>
        <v>Lovatens</v>
      </c>
      <c r="C168" s="30">
        <f>VPI!R162</f>
        <v>4190.698742857142</v>
      </c>
      <c r="D168" s="7">
        <f>Données!N162</f>
        <v>0</v>
      </c>
      <c r="E168" s="158">
        <f>Données!O162+Données!P162+Données!R162</f>
        <v>5993.35</v>
      </c>
      <c r="F168" s="349">
        <f t="shared" si="6"/>
        <v>2996.6750000000002</v>
      </c>
      <c r="G168" s="349">
        <f>Ecrêtage!M162</f>
        <v>0</v>
      </c>
      <c r="H168" s="350">
        <f t="shared" si="7"/>
        <v>46276.338575533788</v>
      </c>
      <c r="I168" s="222">
        <f t="shared" si="8"/>
        <v>49273.013575533791</v>
      </c>
    </row>
    <row r="169" spans="1:9" s="34" customFormat="1" x14ac:dyDescent="0.25">
      <c r="A169" s="37">
        <f>Données!A163</f>
        <v>5675</v>
      </c>
      <c r="B169" s="373" t="str">
        <f>Données!B163</f>
        <v>Lucens</v>
      </c>
      <c r="C169" s="30">
        <f>VPI!R163</f>
        <v>96219.295291039889</v>
      </c>
      <c r="D169" s="7">
        <f>Données!N163</f>
        <v>28361.3</v>
      </c>
      <c r="E169" s="158">
        <f>Données!O163+Données!P163+Données!R163</f>
        <v>1329453.3999999999</v>
      </c>
      <c r="F169" s="349">
        <f t="shared" si="6"/>
        <v>673235.09</v>
      </c>
      <c r="G169" s="349">
        <f>Ecrêtage!M163</f>
        <v>0</v>
      </c>
      <c r="H169" s="350">
        <f t="shared" si="7"/>
        <v>1062514.1437276572</v>
      </c>
      <c r="I169" s="222">
        <f t="shared" si="8"/>
        <v>1735749.2337276572</v>
      </c>
    </row>
    <row r="170" spans="1:9" s="34" customFormat="1" x14ac:dyDescent="0.25">
      <c r="A170" s="37">
        <f>Données!A164</f>
        <v>5678</v>
      </c>
      <c r="B170" s="373" t="str">
        <f>Données!B164</f>
        <v>Moudon</v>
      </c>
      <c r="C170" s="30">
        <f>VPI!R164</f>
        <v>144507.28937931036</v>
      </c>
      <c r="D170" s="7">
        <f>Données!N164</f>
        <v>234496.25</v>
      </c>
      <c r="E170" s="158">
        <f>Données!O164+Données!P164+Données!R164</f>
        <v>1364597.5</v>
      </c>
      <c r="F170" s="349">
        <f t="shared" si="6"/>
        <v>752647.625</v>
      </c>
      <c r="G170" s="349">
        <f>Ecrêtage!M164</f>
        <v>0</v>
      </c>
      <c r="H170" s="350">
        <f t="shared" si="7"/>
        <v>1595740.6294947239</v>
      </c>
      <c r="I170" s="222">
        <f t="shared" si="8"/>
        <v>2348388.2544947239</v>
      </c>
    </row>
    <row r="171" spans="1:9" s="34" customFormat="1" x14ac:dyDescent="0.25">
      <c r="A171" s="37">
        <f>Données!A165</f>
        <v>5680</v>
      </c>
      <c r="B171" s="373" t="str">
        <f>Données!B165</f>
        <v>Ogens</v>
      </c>
      <c r="C171" s="30">
        <f>VPI!R165</f>
        <v>9088.9604700854707</v>
      </c>
      <c r="D171" s="7">
        <f>Données!N165</f>
        <v>0</v>
      </c>
      <c r="E171" s="158">
        <f>Données!O165+Données!P165+Données!R165</f>
        <v>8204</v>
      </c>
      <c r="F171" s="349">
        <f t="shared" si="6"/>
        <v>4102</v>
      </c>
      <c r="G171" s="349">
        <f>Ecrêtage!M165</f>
        <v>0</v>
      </c>
      <c r="H171" s="350">
        <f t="shared" si="7"/>
        <v>100366.0338816333</v>
      </c>
      <c r="I171" s="222">
        <f t="shared" si="8"/>
        <v>104468.0338816333</v>
      </c>
    </row>
    <row r="172" spans="1:9" s="34" customFormat="1" x14ac:dyDescent="0.25">
      <c r="A172" s="37">
        <f>Données!A166</f>
        <v>5683</v>
      </c>
      <c r="B172" s="373" t="str">
        <f>Données!B166</f>
        <v>Prévonloup</v>
      </c>
      <c r="C172" s="30">
        <f>VPI!R166</f>
        <v>3390.948689655173</v>
      </c>
      <c r="D172" s="7">
        <f>Données!N166</f>
        <v>627.1</v>
      </c>
      <c r="E172" s="158">
        <f>Données!O166+Données!P166+Données!R166</f>
        <v>142892.65000000002</v>
      </c>
      <c r="F172" s="349">
        <f t="shared" si="6"/>
        <v>71634.455000000016</v>
      </c>
      <c r="G172" s="349">
        <f>Ecrêtage!M166</f>
        <v>0</v>
      </c>
      <c r="H172" s="350">
        <f t="shared" si="7"/>
        <v>37444.994088923646</v>
      </c>
      <c r="I172" s="222">
        <f t="shared" si="8"/>
        <v>109079.44908892366</v>
      </c>
    </row>
    <row r="173" spans="1:9" s="34" customFormat="1" x14ac:dyDescent="0.25">
      <c r="A173" s="37">
        <f>Données!A167</f>
        <v>5684</v>
      </c>
      <c r="B173" s="373" t="str">
        <f>Données!B167</f>
        <v>Rossenges</v>
      </c>
      <c r="C173" s="30">
        <f>VPI!R167</f>
        <v>10097.406384615384</v>
      </c>
      <c r="D173" s="7">
        <f>Données!N167</f>
        <v>0</v>
      </c>
      <c r="E173" s="158">
        <f>Données!O167+Données!P167+Données!R167</f>
        <v>38.5</v>
      </c>
      <c r="F173" s="349">
        <f t="shared" si="6"/>
        <v>19.25</v>
      </c>
      <c r="G173" s="349">
        <f>Ecrêtage!M167</f>
        <v>132326.18968902805</v>
      </c>
      <c r="H173" s="350">
        <f t="shared" si="7"/>
        <v>111501.92969267011</v>
      </c>
      <c r="I173" s="222">
        <f t="shared" si="8"/>
        <v>243847.36938169814</v>
      </c>
    </row>
    <row r="174" spans="1:9" s="34" customFormat="1" x14ac:dyDescent="0.25">
      <c r="A174" s="37">
        <f>Données!A168</f>
        <v>5688</v>
      </c>
      <c r="B174" s="373" t="str">
        <f>Données!B168</f>
        <v>Syens</v>
      </c>
      <c r="C174" s="30">
        <f>VPI!R168</f>
        <v>5159.2410769230773</v>
      </c>
      <c r="D174" s="7">
        <f>Données!N168</f>
        <v>0</v>
      </c>
      <c r="E174" s="158">
        <f>Données!O168+Données!P168+Données!R168</f>
        <v>30444.550000000003</v>
      </c>
      <c r="F174" s="349">
        <f t="shared" si="6"/>
        <v>15222.275000000001</v>
      </c>
      <c r="G174" s="349">
        <f>Ecrêtage!M168</f>
        <v>0</v>
      </c>
      <c r="H174" s="350">
        <f t="shared" si="7"/>
        <v>56971.593884059046</v>
      </c>
      <c r="I174" s="222">
        <f t="shared" si="8"/>
        <v>72193.868884059048</v>
      </c>
    </row>
    <row r="175" spans="1:9" s="34" customFormat="1" x14ac:dyDescent="0.25">
      <c r="A175" s="37">
        <f>Données!A169</f>
        <v>5690</v>
      </c>
      <c r="B175" s="373" t="str">
        <f>Données!B169</f>
        <v>Villars-le-Comte</v>
      </c>
      <c r="C175" s="30">
        <f>VPI!R169</f>
        <v>4239.3419117647063</v>
      </c>
      <c r="D175" s="7">
        <f>Données!N169</f>
        <v>0</v>
      </c>
      <c r="E175" s="158">
        <f>Données!O169+Données!P169+Données!R169</f>
        <v>37769.1</v>
      </c>
      <c r="F175" s="349">
        <f t="shared" si="6"/>
        <v>18884.55</v>
      </c>
      <c r="G175" s="349">
        <f>Ecrêtage!M169</f>
        <v>0</v>
      </c>
      <c r="H175" s="350">
        <f t="shared" si="7"/>
        <v>46813.487125662832</v>
      </c>
      <c r="I175" s="222">
        <f t="shared" si="8"/>
        <v>65698.037125662828</v>
      </c>
    </row>
    <row r="176" spans="1:9" s="34" customFormat="1" x14ac:dyDescent="0.25">
      <c r="A176" s="37">
        <f>Données!A170</f>
        <v>5692</v>
      </c>
      <c r="B176" s="373" t="str">
        <f>Données!B170</f>
        <v>Vucherens</v>
      </c>
      <c r="C176" s="30">
        <f>VPI!R170</f>
        <v>19521.023866666663</v>
      </c>
      <c r="D176" s="7">
        <f>Données!N170</f>
        <v>32816.6</v>
      </c>
      <c r="E176" s="158">
        <f>Données!O170+Données!P170+Données!R170</f>
        <v>128298.25</v>
      </c>
      <c r="F176" s="349">
        <f t="shared" si="6"/>
        <v>73994.104999999996</v>
      </c>
      <c r="G176" s="349">
        <f>Ecrêtage!M170</f>
        <v>0</v>
      </c>
      <c r="H176" s="350">
        <f t="shared" si="7"/>
        <v>215563.45736726635</v>
      </c>
      <c r="I176" s="222">
        <f t="shared" si="8"/>
        <v>289557.56236726634</v>
      </c>
    </row>
    <row r="177" spans="1:9" s="34" customFormat="1" x14ac:dyDescent="0.25">
      <c r="A177" s="37">
        <f>Données!A171</f>
        <v>5693</v>
      </c>
      <c r="B177" s="373" t="str">
        <f>Données!B171</f>
        <v>Montanaire</v>
      </c>
      <c r="C177" s="30">
        <f>VPI!R171</f>
        <v>77215.400857142857</v>
      </c>
      <c r="D177" s="7">
        <f>Données!N171</f>
        <v>98479.6</v>
      </c>
      <c r="E177" s="158">
        <f>Données!O171+Données!P171+Données!R171</f>
        <v>422078.65</v>
      </c>
      <c r="F177" s="349">
        <f t="shared" si="6"/>
        <v>240583.20500000002</v>
      </c>
      <c r="G177" s="349">
        <f>Ecrêtage!M171</f>
        <v>0</v>
      </c>
      <c r="H177" s="350">
        <f t="shared" si="7"/>
        <v>852661.15570849425</v>
      </c>
      <c r="I177" s="222">
        <f t="shared" si="8"/>
        <v>1093244.3607084942</v>
      </c>
    </row>
    <row r="178" spans="1:9" s="34" customFormat="1" x14ac:dyDescent="0.25">
      <c r="A178" s="37">
        <f>Données!A172</f>
        <v>5701</v>
      </c>
      <c r="B178" s="373" t="str">
        <f>Données!B172</f>
        <v>Arnex-sur-Nyon</v>
      </c>
      <c r="C178" s="30">
        <f>VPI!R172</f>
        <v>22528.026764705879</v>
      </c>
      <c r="D178" s="7">
        <f>Données!N172</f>
        <v>1738.6</v>
      </c>
      <c r="E178" s="158">
        <f>Données!O172+Données!P172+Données!R172</f>
        <v>167105.9</v>
      </c>
      <c r="F178" s="349">
        <f t="shared" si="6"/>
        <v>84074.53</v>
      </c>
      <c r="G178" s="349">
        <f>Ecrêtage!M172</f>
        <v>186391.29237639403</v>
      </c>
      <c r="H178" s="350">
        <f t="shared" si="7"/>
        <v>248768.67987209428</v>
      </c>
      <c r="I178" s="222">
        <f t="shared" si="8"/>
        <v>519234.50224848831</v>
      </c>
    </row>
    <row r="179" spans="1:9" s="34" customFormat="1" x14ac:dyDescent="0.25">
      <c r="A179" s="37">
        <f>Données!A173</f>
        <v>5702</v>
      </c>
      <c r="B179" s="373" t="str">
        <f>Données!B173</f>
        <v>Arzier-Le Muids</v>
      </c>
      <c r="C179" s="30">
        <f>VPI!R173</f>
        <v>189129.79401041669</v>
      </c>
      <c r="D179" s="7">
        <f>Données!N173</f>
        <v>92530.6</v>
      </c>
      <c r="E179" s="158">
        <f>Données!O173+Données!P173+Données!R173</f>
        <v>1035262.05</v>
      </c>
      <c r="F179" s="349">
        <f t="shared" si="6"/>
        <v>545390.20500000007</v>
      </c>
      <c r="G179" s="349">
        <f>Ecrêtage!M173</f>
        <v>594161.13852888998</v>
      </c>
      <c r="H179" s="350">
        <f t="shared" si="7"/>
        <v>2088490.468866271</v>
      </c>
      <c r="I179" s="222">
        <f t="shared" si="8"/>
        <v>3228041.812395161</v>
      </c>
    </row>
    <row r="180" spans="1:9" s="34" customFormat="1" x14ac:dyDescent="0.25">
      <c r="A180" s="37">
        <f>Données!A174</f>
        <v>5703</v>
      </c>
      <c r="B180" s="373" t="str">
        <f>Données!B174</f>
        <v>Bassins</v>
      </c>
      <c r="C180" s="30">
        <f>VPI!R174</f>
        <v>69884.65087684727</v>
      </c>
      <c r="D180" s="7">
        <f>Données!N174</f>
        <v>24696.400000000001</v>
      </c>
      <c r="E180" s="158">
        <f>Données!O174+Données!P174+Données!R174</f>
        <v>284154.45</v>
      </c>
      <c r="F180" s="349">
        <f t="shared" si="6"/>
        <v>149486.14500000002</v>
      </c>
      <c r="G180" s="349">
        <f>Ecrêtage!M174</f>
        <v>0</v>
      </c>
      <c r="H180" s="350">
        <f t="shared" si="7"/>
        <v>771710.39095143171</v>
      </c>
      <c r="I180" s="222">
        <f t="shared" si="8"/>
        <v>921196.53595143172</v>
      </c>
    </row>
    <row r="181" spans="1:9" s="34" customFormat="1" x14ac:dyDescent="0.25">
      <c r="A181" s="37">
        <f>Données!A175</f>
        <v>5704</v>
      </c>
      <c r="B181" s="373" t="str">
        <f>Données!B175</f>
        <v>Begnins</v>
      </c>
      <c r="C181" s="30">
        <f>VPI!R175</f>
        <v>151723.65322666671</v>
      </c>
      <c r="D181" s="7">
        <f>Données!N175</f>
        <v>43903.1</v>
      </c>
      <c r="E181" s="158">
        <f>Données!O175+Données!P175+Données!R175</f>
        <v>451533.25</v>
      </c>
      <c r="F181" s="349">
        <f t="shared" si="6"/>
        <v>238937.55499999999</v>
      </c>
      <c r="G181" s="349">
        <f>Ecrêtage!M175</f>
        <v>805229.48995206738</v>
      </c>
      <c r="H181" s="350">
        <f t="shared" si="7"/>
        <v>1675428.2704289956</v>
      </c>
      <c r="I181" s="222">
        <f t="shared" si="8"/>
        <v>2719595.3153810631</v>
      </c>
    </row>
    <row r="182" spans="1:9" s="34" customFormat="1" x14ac:dyDescent="0.25">
      <c r="A182" s="37">
        <f>Données!A176</f>
        <v>5705</v>
      </c>
      <c r="B182" s="373" t="str">
        <f>Données!B176</f>
        <v>Bogis-Bossey</v>
      </c>
      <c r="C182" s="30">
        <f>VPI!R176</f>
        <v>60210.898873239443</v>
      </c>
      <c r="D182" s="7">
        <f>Données!N176</f>
        <v>50676.5</v>
      </c>
      <c r="E182" s="158">
        <f>Données!O176+Données!P176+Données!R176</f>
        <v>394156.6</v>
      </c>
      <c r="F182" s="349">
        <f t="shared" si="6"/>
        <v>212281.25</v>
      </c>
      <c r="G182" s="349">
        <f>Ecrêtage!M176</f>
        <v>158629.63644045696</v>
      </c>
      <c r="H182" s="350">
        <f t="shared" si="7"/>
        <v>664886.72013096756</v>
      </c>
      <c r="I182" s="222">
        <f t="shared" si="8"/>
        <v>1035797.6065714245</v>
      </c>
    </row>
    <row r="183" spans="1:9" s="34" customFormat="1" x14ac:dyDescent="0.25">
      <c r="A183" s="37">
        <f>Données!A177</f>
        <v>5706</v>
      </c>
      <c r="B183" s="373" t="str">
        <f>Données!B177</f>
        <v>Borex</v>
      </c>
      <c r="C183" s="30">
        <f>VPI!R177</f>
        <v>69165.019824561401</v>
      </c>
      <c r="D183" s="7">
        <f>Données!N177</f>
        <v>8706.7999999999993</v>
      </c>
      <c r="E183" s="158">
        <f>Données!O177+Données!P177+Données!R177</f>
        <v>397134.6</v>
      </c>
      <c r="F183" s="349">
        <f t="shared" si="6"/>
        <v>201179.34</v>
      </c>
      <c r="G183" s="349">
        <f>Ecrêtage!M177</f>
        <v>140115.11651659277</v>
      </c>
      <c r="H183" s="350">
        <f t="shared" si="7"/>
        <v>763763.77100366994</v>
      </c>
      <c r="I183" s="222">
        <f t="shared" si="8"/>
        <v>1105058.2275202626</v>
      </c>
    </row>
    <row r="184" spans="1:9" s="34" customFormat="1" x14ac:dyDescent="0.25">
      <c r="A184" s="37">
        <f>Données!A178</f>
        <v>5707</v>
      </c>
      <c r="B184" s="373" t="str">
        <f>Données!B178</f>
        <v>Chavannes-de-Bogis</v>
      </c>
      <c r="C184" s="30">
        <f>VPI!R178</f>
        <v>100327.22695402298</v>
      </c>
      <c r="D184" s="7">
        <f>Données!N178</f>
        <v>685460.6</v>
      </c>
      <c r="E184" s="158">
        <f>Données!O178+Données!P178+Données!R178</f>
        <v>263345.59999999998</v>
      </c>
      <c r="F184" s="349">
        <f t="shared" si="6"/>
        <v>337310.98</v>
      </c>
      <c r="G184" s="349">
        <f>Ecrêtage!M178</f>
        <v>458520.21834725444</v>
      </c>
      <c r="H184" s="350">
        <f t="shared" si="7"/>
        <v>1107876.5160063561</v>
      </c>
      <c r="I184" s="222">
        <f t="shared" si="8"/>
        <v>1903707.7143536105</v>
      </c>
    </row>
    <row r="185" spans="1:9" s="34" customFormat="1" x14ac:dyDescent="0.25">
      <c r="A185" s="37">
        <f>Données!A179</f>
        <v>5708</v>
      </c>
      <c r="B185" s="373" t="str">
        <f>Données!B179</f>
        <v>Chavannes-des-Bois</v>
      </c>
      <c r="C185" s="30">
        <f>VPI!R179</f>
        <v>70377.065294117638</v>
      </c>
      <c r="D185" s="7">
        <f>Données!N179</f>
        <v>17492.2</v>
      </c>
      <c r="E185" s="158">
        <f>Données!O179+Données!P179+Données!R179</f>
        <v>141900.20000000001</v>
      </c>
      <c r="F185" s="349">
        <f t="shared" si="6"/>
        <v>76197.760000000009</v>
      </c>
      <c r="G185" s="349">
        <f>Ecrêtage!M179</f>
        <v>368014.75344902452</v>
      </c>
      <c r="H185" s="350">
        <f t="shared" si="7"/>
        <v>777147.94151073101</v>
      </c>
      <c r="I185" s="222">
        <f t="shared" si="8"/>
        <v>1221360.4549597555</v>
      </c>
    </row>
    <row r="186" spans="1:9" s="34" customFormat="1" x14ac:dyDescent="0.25">
      <c r="A186" s="37">
        <f>Données!A180</f>
        <v>5709</v>
      </c>
      <c r="B186" s="373" t="str">
        <f>Données!B180</f>
        <v>Chéserex</v>
      </c>
      <c r="C186" s="30">
        <f>VPI!R180</f>
        <v>110900.39440677965</v>
      </c>
      <c r="D186" s="7">
        <f>Données!N180</f>
        <v>63278.55</v>
      </c>
      <c r="E186" s="158">
        <f>Données!O180+Données!P180+Données!R180</f>
        <v>716190.95</v>
      </c>
      <c r="F186" s="349">
        <f t="shared" si="6"/>
        <v>377079.03999999998</v>
      </c>
      <c r="G186" s="349">
        <f>Ecrêtage!M180</f>
        <v>847912.83867915103</v>
      </c>
      <c r="H186" s="350">
        <f t="shared" si="7"/>
        <v>1224632.0994740417</v>
      </c>
      <c r="I186" s="222">
        <f t="shared" si="8"/>
        <v>2449623.9781531929</v>
      </c>
    </row>
    <row r="187" spans="1:9" s="34" customFormat="1" x14ac:dyDescent="0.25">
      <c r="A187" s="37">
        <f>Données!A181</f>
        <v>5710</v>
      </c>
      <c r="B187" s="373" t="str">
        <f>Données!B181</f>
        <v>Coinsins</v>
      </c>
      <c r="C187" s="30">
        <f>VPI!R181</f>
        <v>25704.31551020408</v>
      </c>
      <c r="D187" s="7">
        <f>Données!N181</f>
        <v>79291.05</v>
      </c>
      <c r="E187" s="158">
        <f>Données!O181+Données!P181+Données!R181</f>
        <v>157827.45000000001</v>
      </c>
      <c r="F187" s="349">
        <f t="shared" si="6"/>
        <v>102701.04000000001</v>
      </c>
      <c r="G187" s="349">
        <f>Ecrêtage!M181</f>
        <v>0</v>
      </c>
      <c r="H187" s="350">
        <f t="shared" si="7"/>
        <v>283843.26347246999</v>
      </c>
      <c r="I187" s="222">
        <f t="shared" si="8"/>
        <v>386544.30347247003</v>
      </c>
    </row>
    <row r="188" spans="1:9" s="34" customFormat="1" x14ac:dyDescent="0.25">
      <c r="A188" s="37">
        <f>Données!A182</f>
        <v>5711</v>
      </c>
      <c r="B188" s="373" t="str">
        <f>Données!B182</f>
        <v>Commugny</v>
      </c>
      <c r="C188" s="30">
        <f>VPI!R182</f>
        <v>294735.07522267208</v>
      </c>
      <c r="D188" s="7">
        <f>Données!N182</f>
        <v>37825.300000000003</v>
      </c>
      <c r="E188" s="158">
        <f>Données!O182+Données!P182+Données!R182</f>
        <v>1655034.7</v>
      </c>
      <c r="F188" s="349">
        <f t="shared" si="6"/>
        <v>838864.94</v>
      </c>
      <c r="G188" s="349">
        <f>Ecrêtage!M182</f>
        <v>2721639.2615497429</v>
      </c>
      <c r="H188" s="350">
        <f t="shared" si="7"/>
        <v>3254650.5888397009</v>
      </c>
      <c r="I188" s="222">
        <f t="shared" si="8"/>
        <v>6815154.7903894437</v>
      </c>
    </row>
    <row r="189" spans="1:9" s="34" customFormat="1" x14ac:dyDescent="0.25">
      <c r="A189" s="37">
        <f>Données!A183</f>
        <v>5712</v>
      </c>
      <c r="B189" s="373" t="str">
        <f>Données!B183</f>
        <v>Coppet</v>
      </c>
      <c r="C189" s="30">
        <f>VPI!R183</f>
        <v>457797.09461988311</v>
      </c>
      <c r="D189" s="7">
        <f>Données!N183</f>
        <v>176541.3</v>
      </c>
      <c r="E189" s="158">
        <f>Données!O183+Données!P183+Données!R183</f>
        <v>1894552.5999999999</v>
      </c>
      <c r="F189" s="349">
        <f t="shared" si="6"/>
        <v>1000238.69</v>
      </c>
      <c r="G189" s="349">
        <f>Ecrêtage!M183</f>
        <v>6910510.5831683986</v>
      </c>
      <c r="H189" s="350">
        <f t="shared" si="7"/>
        <v>5055284.2495859591</v>
      </c>
      <c r="I189" s="222">
        <f t="shared" si="8"/>
        <v>12966033.522754358</v>
      </c>
    </row>
    <row r="190" spans="1:9" s="34" customFormat="1" x14ac:dyDescent="0.25">
      <c r="A190" s="37">
        <f>Données!A184</f>
        <v>5713</v>
      </c>
      <c r="B190" s="373" t="str">
        <f>Données!B184</f>
        <v>Crans</v>
      </c>
      <c r="C190" s="30">
        <f>VPI!R184</f>
        <v>285226.41440677963</v>
      </c>
      <c r="D190" s="7">
        <f>Données!N184</f>
        <v>36110.85</v>
      </c>
      <c r="E190" s="158">
        <f>Données!O184+Données!P184+Données!R184</f>
        <v>2914406.8499999996</v>
      </c>
      <c r="F190" s="349">
        <f t="shared" si="6"/>
        <v>1468036.6799999997</v>
      </c>
      <c r="G190" s="349">
        <f>Ecrêtage!M184</f>
        <v>3565226.240840985</v>
      </c>
      <c r="H190" s="350">
        <f t="shared" si="7"/>
        <v>3149649.9590363409</v>
      </c>
      <c r="I190" s="222">
        <f t="shared" si="8"/>
        <v>8182912.8798773251</v>
      </c>
    </row>
    <row r="191" spans="1:9" s="34" customFormat="1" x14ac:dyDescent="0.25">
      <c r="A191" s="37">
        <f>Données!A185</f>
        <v>5714</v>
      </c>
      <c r="B191" s="373" t="str">
        <f>Données!B185</f>
        <v>Crassier</v>
      </c>
      <c r="C191" s="30">
        <f>VPI!R185</f>
        <v>67017.221203007502</v>
      </c>
      <c r="D191" s="7">
        <f>Données!N185</f>
        <v>127997.55</v>
      </c>
      <c r="E191" s="158">
        <f>Données!O185+Données!P185+Données!R185</f>
        <v>307643.3</v>
      </c>
      <c r="F191" s="349">
        <f t="shared" si="6"/>
        <v>192220.91499999998</v>
      </c>
      <c r="G191" s="349">
        <f>Ecrêtage!M185</f>
        <v>44704.73846825576</v>
      </c>
      <c r="H191" s="350">
        <f t="shared" si="7"/>
        <v>740046.42401648732</v>
      </c>
      <c r="I191" s="222">
        <f t="shared" si="8"/>
        <v>976972.07748474309</v>
      </c>
    </row>
    <row r="192" spans="1:9" s="34" customFormat="1" x14ac:dyDescent="0.25">
      <c r="A192" s="37">
        <f>Données!A186</f>
        <v>5715</v>
      </c>
      <c r="B192" s="373" t="str">
        <f>Données!B186</f>
        <v>Duillier</v>
      </c>
      <c r="C192" s="30">
        <f>VPI!R186</f>
        <v>58499.436969696966</v>
      </c>
      <c r="D192" s="7">
        <f>Données!N186</f>
        <v>137616.95000000001</v>
      </c>
      <c r="E192" s="158">
        <f>Données!O186+Données!P186+Données!R186</f>
        <v>343934.9</v>
      </c>
      <c r="F192" s="349">
        <f t="shared" si="6"/>
        <v>213252.535</v>
      </c>
      <c r="G192" s="349">
        <f>Ecrêtage!M186</f>
        <v>18334.088876433052</v>
      </c>
      <c r="H192" s="350">
        <f t="shared" si="7"/>
        <v>645987.67837988667</v>
      </c>
      <c r="I192" s="222">
        <f t="shared" si="8"/>
        <v>877574.30225631979</v>
      </c>
    </row>
    <row r="193" spans="1:9" s="34" customFormat="1" x14ac:dyDescent="0.25">
      <c r="A193" s="37">
        <f>Données!A187</f>
        <v>5716</v>
      </c>
      <c r="B193" s="373" t="str">
        <f>Données!B187</f>
        <v>Eysins</v>
      </c>
      <c r="C193" s="30">
        <f>VPI!R187</f>
        <v>387894.76554621849</v>
      </c>
      <c r="D193" s="7">
        <f>Données!N187</f>
        <v>529807</v>
      </c>
      <c r="E193" s="158">
        <f>Données!O187+Données!P187+Données!R187</f>
        <v>1056419.05</v>
      </c>
      <c r="F193" s="349">
        <f t="shared" si="6"/>
        <v>687151.625</v>
      </c>
      <c r="G193" s="349">
        <f>Ecrêtage!M187</f>
        <v>8737829.2483172454</v>
      </c>
      <c r="H193" s="350">
        <f t="shared" si="7"/>
        <v>4283378.6448357021</v>
      </c>
      <c r="I193" s="222">
        <f t="shared" si="8"/>
        <v>13708359.518152948</v>
      </c>
    </row>
    <row r="194" spans="1:9" s="34" customFormat="1" x14ac:dyDescent="0.25">
      <c r="A194" s="37">
        <f>Données!A188</f>
        <v>5717</v>
      </c>
      <c r="B194" s="373" t="str">
        <f>Données!B188</f>
        <v>Founex</v>
      </c>
      <c r="C194" s="30">
        <f>VPI!R188</f>
        <v>389506.02859649126</v>
      </c>
      <c r="D194" s="7">
        <f>Données!N188</f>
        <v>281693.75</v>
      </c>
      <c r="E194" s="158">
        <f>Données!O188+Données!P188+Données!R188</f>
        <v>2226890.5</v>
      </c>
      <c r="F194" s="349">
        <f t="shared" si="6"/>
        <v>1197953.375</v>
      </c>
      <c r="G194" s="349">
        <f>Ecrêtage!M188</f>
        <v>3949063.4855872137</v>
      </c>
      <c r="H194" s="350">
        <f t="shared" si="7"/>
        <v>4301171.2276539635</v>
      </c>
      <c r="I194" s="222">
        <f t="shared" si="8"/>
        <v>9448188.0882411767</v>
      </c>
    </row>
    <row r="195" spans="1:9" s="34" customFormat="1" x14ac:dyDescent="0.25">
      <c r="A195" s="37">
        <f>Données!A189</f>
        <v>5718</v>
      </c>
      <c r="B195" s="373" t="str">
        <f>Données!B189</f>
        <v>Genolier</v>
      </c>
      <c r="C195" s="30">
        <f>VPI!R189</f>
        <v>239613.31826923083</v>
      </c>
      <c r="D195" s="7">
        <f>Données!N189</f>
        <v>286221.3</v>
      </c>
      <c r="E195" s="158">
        <f>Données!O189+Données!P189+Données!R189</f>
        <v>1196786.9500000002</v>
      </c>
      <c r="F195" s="349">
        <f t="shared" si="6"/>
        <v>684259.86500000011</v>
      </c>
      <c r="G195" s="349">
        <f>Ecrêtage!M189</f>
        <v>2727465.2986828862</v>
      </c>
      <c r="H195" s="350">
        <f t="shared" si="7"/>
        <v>2645961.383488562</v>
      </c>
      <c r="I195" s="222">
        <f t="shared" si="8"/>
        <v>6057686.5471714484</v>
      </c>
    </row>
    <row r="196" spans="1:9" s="34" customFormat="1" x14ac:dyDescent="0.25">
      <c r="A196" s="37">
        <f>Données!A190</f>
        <v>5719</v>
      </c>
      <c r="B196" s="373" t="str">
        <f>Données!B190</f>
        <v>Gingins</v>
      </c>
      <c r="C196" s="30">
        <f>VPI!R190</f>
        <v>173273.6891111111</v>
      </c>
      <c r="D196" s="7">
        <f>Données!N190</f>
        <v>78243.899999999994</v>
      </c>
      <c r="E196" s="158">
        <f>Données!O190+Données!P190+Données!R190</f>
        <v>1960620</v>
      </c>
      <c r="F196" s="349">
        <f t="shared" si="6"/>
        <v>1003783.17</v>
      </c>
      <c r="G196" s="349">
        <f>Ecrêtage!M190</f>
        <v>2681421.7931574583</v>
      </c>
      <c r="H196" s="350">
        <f t="shared" si="7"/>
        <v>1913397.3581863132</v>
      </c>
      <c r="I196" s="222">
        <f t="shared" si="8"/>
        <v>5598602.3213437721</v>
      </c>
    </row>
    <row r="197" spans="1:9" s="34" customFormat="1" x14ac:dyDescent="0.25">
      <c r="A197" s="37">
        <f>Données!A191</f>
        <v>5720</v>
      </c>
      <c r="B197" s="373" t="str">
        <f>Données!B191</f>
        <v>Givrins</v>
      </c>
      <c r="C197" s="30">
        <f>VPI!R191</f>
        <v>77350.1792703151</v>
      </c>
      <c r="D197" s="7">
        <f>Données!N191</f>
        <v>33034.550000000003</v>
      </c>
      <c r="E197" s="158">
        <f>Données!O191+Données!P191+Données!R191</f>
        <v>3184395.8</v>
      </c>
      <c r="F197" s="349">
        <f t="shared" si="6"/>
        <v>1602108.2649999999</v>
      </c>
      <c r="G197" s="349">
        <f>Ecrêtage!M191</f>
        <v>407420.32052690099</v>
      </c>
      <c r="H197" s="350">
        <f t="shared" si="7"/>
        <v>854149.46395094728</v>
      </c>
      <c r="I197" s="222">
        <f t="shared" si="8"/>
        <v>2863678.0494778482</v>
      </c>
    </row>
    <row r="198" spans="1:9" s="34" customFormat="1" x14ac:dyDescent="0.25">
      <c r="A198" s="37">
        <f>Données!A192</f>
        <v>5721</v>
      </c>
      <c r="B198" s="373" t="str">
        <f>Données!B192</f>
        <v>Gland</v>
      </c>
      <c r="C198" s="30">
        <f>VPI!R192</f>
        <v>727883.96163934411</v>
      </c>
      <c r="D198" s="7">
        <f>Données!N192</f>
        <v>3112233.75</v>
      </c>
      <c r="E198" s="158">
        <f>Données!O192+Données!P192+Données!R192</f>
        <v>4563528.3499999996</v>
      </c>
      <c r="F198" s="349">
        <f t="shared" si="6"/>
        <v>3215434.3</v>
      </c>
      <c r="G198" s="349">
        <f>Ecrêtage!M192</f>
        <v>365594.74292980949</v>
      </c>
      <c r="H198" s="350">
        <f t="shared" si="7"/>
        <v>8037753.7779196538</v>
      </c>
      <c r="I198" s="222">
        <f t="shared" si="8"/>
        <v>11618782.820849463</v>
      </c>
    </row>
    <row r="199" spans="1:9" s="34" customFormat="1" x14ac:dyDescent="0.25">
      <c r="A199" s="37">
        <f>Données!A193</f>
        <v>5722</v>
      </c>
      <c r="B199" s="373" t="str">
        <f>Données!B193</f>
        <v>Grens</v>
      </c>
      <c r="C199" s="30">
        <f>VPI!R193</f>
        <v>33694.831129032267</v>
      </c>
      <c r="D199" s="7">
        <f>Données!N193</f>
        <v>266399.15000000002</v>
      </c>
      <c r="E199" s="158">
        <f>Données!O193+Données!P193+Données!R193</f>
        <v>66524.399999999994</v>
      </c>
      <c r="F199" s="349">
        <f t="shared" si="6"/>
        <v>113181.94500000001</v>
      </c>
      <c r="G199" s="349">
        <f>Ecrêtage!M193</f>
        <v>261970.67197943162</v>
      </c>
      <c r="H199" s="350">
        <f t="shared" si="7"/>
        <v>372079.57652175409</v>
      </c>
      <c r="I199" s="222">
        <f t="shared" si="8"/>
        <v>747232.19350118574</v>
      </c>
    </row>
    <row r="200" spans="1:9" s="34" customFormat="1" x14ac:dyDescent="0.25">
      <c r="A200" s="37">
        <f>Données!A194</f>
        <v>5723</v>
      </c>
      <c r="B200" s="373" t="str">
        <f>Données!B194</f>
        <v>Mies</v>
      </c>
      <c r="C200" s="30">
        <f>VPI!R194</f>
        <v>272663.2930188679</v>
      </c>
      <c r="D200" s="7">
        <f>Données!N194</f>
        <v>239426.25</v>
      </c>
      <c r="E200" s="158">
        <f>Données!O194+Données!P194+Données!R194</f>
        <v>2368571.1</v>
      </c>
      <c r="F200" s="349">
        <f t="shared" si="6"/>
        <v>1256113.425</v>
      </c>
      <c r="G200" s="349">
        <f>Ecrêtage!M194</f>
        <v>3387825.7295586299</v>
      </c>
      <c r="H200" s="350">
        <f t="shared" si="7"/>
        <v>3010920.0491606998</v>
      </c>
      <c r="I200" s="222">
        <f t="shared" si="8"/>
        <v>7654859.20371933</v>
      </c>
    </row>
    <row r="201" spans="1:9" s="34" customFormat="1" x14ac:dyDescent="0.25">
      <c r="A201" s="37">
        <f>Données!A195</f>
        <v>5724</v>
      </c>
      <c r="B201" s="373" t="str">
        <f>Données!B195</f>
        <v>Nyon</v>
      </c>
      <c r="C201" s="30">
        <f>VPI!R195</f>
        <v>1639938.8194535521</v>
      </c>
      <c r="D201" s="7">
        <f>Données!N195</f>
        <v>6013803.5499999998</v>
      </c>
      <c r="E201" s="158">
        <f>Données!O195+Données!P195+Données!R195</f>
        <v>8851891.8499999996</v>
      </c>
      <c r="F201" s="349">
        <f t="shared" si="6"/>
        <v>6230086.9900000002</v>
      </c>
      <c r="G201" s="349">
        <f>Ecrêtage!M195</f>
        <v>7258492.5456186337</v>
      </c>
      <c r="H201" s="350">
        <f t="shared" si="7"/>
        <v>18109238.747248407</v>
      </c>
      <c r="I201" s="222">
        <f t="shared" si="8"/>
        <v>31597818.28286704</v>
      </c>
    </row>
    <row r="202" spans="1:9" s="34" customFormat="1" x14ac:dyDescent="0.25">
      <c r="A202" s="37">
        <f>Données!A196</f>
        <v>5725</v>
      </c>
      <c r="B202" s="373" t="str">
        <f>Données!B196</f>
        <v>Prangins</v>
      </c>
      <c r="C202" s="30">
        <f>VPI!R196</f>
        <v>367942.11179220775</v>
      </c>
      <c r="D202" s="7">
        <f>Données!N196</f>
        <v>1404229.05</v>
      </c>
      <c r="E202" s="158">
        <f>Données!O196+Données!P196+Données!R196</f>
        <v>1308632.6000000001</v>
      </c>
      <c r="F202" s="349">
        <f t="shared" si="6"/>
        <v>1075585.0150000001</v>
      </c>
      <c r="G202" s="349">
        <f>Ecrêtage!M196</f>
        <v>2566650.7937645027</v>
      </c>
      <c r="H202" s="350">
        <f t="shared" si="7"/>
        <v>4063048.858025142</v>
      </c>
      <c r="I202" s="222">
        <f t="shared" si="8"/>
        <v>7705284.6667896444</v>
      </c>
    </row>
    <row r="203" spans="1:9" s="34" customFormat="1" x14ac:dyDescent="0.25">
      <c r="A203" s="37">
        <f>Données!A197</f>
        <v>5726</v>
      </c>
      <c r="B203" s="373" t="str">
        <f>Données!B197</f>
        <v>La Rippe</v>
      </c>
      <c r="C203" s="30">
        <f>VPI!R197</f>
        <v>73377.861102362207</v>
      </c>
      <c r="D203" s="7">
        <f>Données!N197</f>
        <v>30191.8</v>
      </c>
      <c r="E203" s="158">
        <f>Données!O197+Données!P197+Données!R197</f>
        <v>192941.09999999998</v>
      </c>
      <c r="F203" s="349">
        <f t="shared" si="6"/>
        <v>105528.08999999998</v>
      </c>
      <c r="G203" s="349">
        <f>Ecrêtage!M197</f>
        <v>185582.90171240564</v>
      </c>
      <c r="H203" s="350">
        <f t="shared" si="7"/>
        <v>810284.62141525978</v>
      </c>
      <c r="I203" s="222">
        <f t="shared" si="8"/>
        <v>1101395.6131276654</v>
      </c>
    </row>
    <row r="204" spans="1:9" s="34" customFormat="1" x14ac:dyDescent="0.25">
      <c r="A204" s="37">
        <f>Données!A198</f>
        <v>5727</v>
      </c>
      <c r="B204" s="373" t="str">
        <f>Données!B198</f>
        <v>Saint-Cergue</v>
      </c>
      <c r="C204" s="30">
        <f>VPI!R198</f>
        <v>111772.64025252526</v>
      </c>
      <c r="D204" s="7">
        <f>Données!N198</f>
        <v>263913.75</v>
      </c>
      <c r="E204" s="158">
        <f>Données!O198+Données!P198+Données!R198</f>
        <v>634009.30000000005</v>
      </c>
      <c r="F204" s="349">
        <f t="shared" si="6"/>
        <v>396178.77500000002</v>
      </c>
      <c r="G204" s="349">
        <f>Ecrêtage!M198</f>
        <v>0</v>
      </c>
      <c r="H204" s="350">
        <f t="shared" si="7"/>
        <v>1234263.9882247245</v>
      </c>
      <c r="I204" s="222">
        <f t="shared" si="8"/>
        <v>1630442.7632247247</v>
      </c>
    </row>
    <row r="205" spans="1:9" s="34" customFormat="1" x14ac:dyDescent="0.25">
      <c r="A205" s="37">
        <f>Données!A199</f>
        <v>5728</v>
      </c>
      <c r="B205" s="373" t="str">
        <f>Données!B199</f>
        <v>Signy-Avenex</v>
      </c>
      <c r="C205" s="30">
        <f>VPI!R199</f>
        <v>44453.550862068965</v>
      </c>
      <c r="D205" s="7">
        <f>Données!N199</f>
        <v>212373.3</v>
      </c>
      <c r="E205" s="158">
        <f>Données!O199+Données!P199+Données!R199</f>
        <v>140734.20000000001</v>
      </c>
      <c r="F205" s="349">
        <f t="shared" ref="F205:F268" si="9">D205*$D$11+E205*$E$11</f>
        <v>134079.09</v>
      </c>
      <c r="G205" s="349">
        <f>Ecrêtage!M199</f>
        <v>212439.92185525151</v>
      </c>
      <c r="H205" s="350">
        <f t="shared" ref="H205:H268" si="10">$H$11*C205</f>
        <v>490884.14529537136</v>
      </c>
      <c r="I205" s="222">
        <f t="shared" ref="I205:I268" si="11">F205+H205+G205</f>
        <v>837403.15715062292</v>
      </c>
    </row>
    <row r="206" spans="1:9" s="34" customFormat="1" x14ac:dyDescent="0.25">
      <c r="A206" s="37">
        <f>Données!A200</f>
        <v>5729</v>
      </c>
      <c r="B206" s="373" t="str">
        <f>Données!B200</f>
        <v>Tannay</v>
      </c>
      <c r="C206" s="30">
        <f>VPI!R200</f>
        <v>189691.13223140492</v>
      </c>
      <c r="D206" s="7">
        <f>Données!N200</f>
        <v>20232.05</v>
      </c>
      <c r="E206" s="158">
        <f>Données!O200+Données!P200+Données!R200</f>
        <v>687697.5</v>
      </c>
      <c r="F206" s="349">
        <f t="shared" si="9"/>
        <v>349918.36499999999</v>
      </c>
      <c r="G206" s="349">
        <f>Ecrêtage!M200</f>
        <v>2238353.9209349984</v>
      </c>
      <c r="H206" s="350">
        <f t="shared" si="10"/>
        <v>2094689.1195361896</v>
      </c>
      <c r="I206" s="222">
        <f t="shared" si="11"/>
        <v>4682961.405471188</v>
      </c>
    </row>
    <row r="207" spans="1:9" s="34" customFormat="1" x14ac:dyDescent="0.25">
      <c r="A207" s="37">
        <f>Données!A201</f>
        <v>5730</v>
      </c>
      <c r="B207" s="373" t="str">
        <f>Données!B201</f>
        <v>Trélex</v>
      </c>
      <c r="C207" s="30">
        <f>VPI!R201</f>
        <v>170256.05113113116</v>
      </c>
      <c r="D207" s="7">
        <f>Données!N201</f>
        <v>27007.3</v>
      </c>
      <c r="E207" s="158">
        <f>Données!O201+Données!P201+Données!R201</f>
        <v>571831.75</v>
      </c>
      <c r="F207" s="349">
        <f t="shared" si="9"/>
        <v>294018.065</v>
      </c>
      <c r="G207" s="349">
        <f>Ecrêtage!M201</f>
        <v>2071431.8898990143</v>
      </c>
      <c r="H207" s="350">
        <f t="shared" si="10"/>
        <v>1880074.6963991921</v>
      </c>
      <c r="I207" s="222">
        <f t="shared" si="11"/>
        <v>4245524.6512982063</v>
      </c>
    </row>
    <row r="208" spans="1:9" s="34" customFormat="1" x14ac:dyDescent="0.25">
      <c r="A208" s="37">
        <f>Données!A202</f>
        <v>5731</v>
      </c>
      <c r="B208" s="373" t="str">
        <f>Données!B202</f>
        <v>Le Vaud</v>
      </c>
      <c r="C208" s="30">
        <f>VPI!R202</f>
        <v>75089.173286384976</v>
      </c>
      <c r="D208" s="7">
        <f>Données!N202</f>
        <v>33673.800000000003</v>
      </c>
      <c r="E208" s="158">
        <f>Données!O202+Données!P202+Données!R202</f>
        <v>423382.5</v>
      </c>
      <c r="F208" s="349">
        <f t="shared" si="9"/>
        <v>221793.39</v>
      </c>
      <c r="G208" s="349">
        <f>Ecrêtage!M202</f>
        <v>91400.674722971948</v>
      </c>
      <c r="H208" s="350">
        <f t="shared" si="10"/>
        <v>829182.00986897654</v>
      </c>
      <c r="I208" s="222">
        <f t="shared" si="11"/>
        <v>1142376.0745919484</v>
      </c>
    </row>
    <row r="209" spans="1:9" s="34" customFormat="1" x14ac:dyDescent="0.25">
      <c r="A209" s="37">
        <f>Données!A203</f>
        <v>5732</v>
      </c>
      <c r="B209" s="373" t="str">
        <f>Données!B203</f>
        <v>Vich</v>
      </c>
      <c r="C209" s="30">
        <f>VPI!R203</f>
        <v>83929.487936507925</v>
      </c>
      <c r="D209" s="7">
        <f>Données!N203</f>
        <v>179411.1</v>
      </c>
      <c r="E209" s="158">
        <f>Données!O203+Données!P203+Données!R203</f>
        <v>537577.05000000005</v>
      </c>
      <c r="F209" s="349">
        <f t="shared" si="9"/>
        <v>322611.85500000004</v>
      </c>
      <c r="G209" s="349">
        <f>Ecrêtage!M203</f>
        <v>398656.91337068978</v>
      </c>
      <c r="H209" s="350">
        <f t="shared" si="10"/>
        <v>926802.33978666132</v>
      </c>
      <c r="I209" s="222">
        <f t="shared" si="11"/>
        <v>1648071.1081573511</v>
      </c>
    </row>
    <row r="210" spans="1:9" s="34" customFormat="1" x14ac:dyDescent="0.25">
      <c r="A210" s="37">
        <f>Données!A204</f>
        <v>5741</v>
      </c>
      <c r="B210" s="373" t="str">
        <f>Données!B204</f>
        <v>L'Abergement</v>
      </c>
      <c r="C210" s="30">
        <f>VPI!R204</f>
        <v>8081.107937499999</v>
      </c>
      <c r="D210" s="7">
        <f>Données!N204</f>
        <v>6563.75</v>
      </c>
      <c r="E210" s="158">
        <f>Données!O204+Données!P204+Données!R204</f>
        <v>37601.800000000003</v>
      </c>
      <c r="F210" s="349">
        <f t="shared" si="9"/>
        <v>20770.025000000001</v>
      </c>
      <c r="G210" s="349">
        <f>Ecrêtage!M204</f>
        <v>0</v>
      </c>
      <c r="H210" s="350">
        <f t="shared" si="10"/>
        <v>89236.690568270627</v>
      </c>
      <c r="I210" s="222">
        <f t="shared" si="11"/>
        <v>110006.71556827062</v>
      </c>
    </row>
    <row r="211" spans="1:9" s="34" customFormat="1" x14ac:dyDescent="0.25">
      <c r="A211" s="37">
        <f>Données!A205</f>
        <v>5742</v>
      </c>
      <c r="B211" s="373" t="str">
        <f>Données!B205</f>
        <v>Agiez</v>
      </c>
      <c r="C211" s="30">
        <f>VPI!R205</f>
        <v>9603.6136842105243</v>
      </c>
      <c r="D211" s="7">
        <f>Données!N205</f>
        <v>3271.45</v>
      </c>
      <c r="E211" s="158">
        <f>Données!O205+Données!P205+Données!R205</f>
        <v>56498.649999999994</v>
      </c>
      <c r="F211" s="349">
        <f t="shared" si="9"/>
        <v>29230.76</v>
      </c>
      <c r="G211" s="349">
        <f>Ecrêtage!M205</f>
        <v>0</v>
      </c>
      <c r="H211" s="350">
        <f t="shared" si="10"/>
        <v>106049.1592617221</v>
      </c>
      <c r="I211" s="222">
        <f t="shared" si="11"/>
        <v>135279.9192617221</v>
      </c>
    </row>
    <row r="212" spans="1:9" s="34" customFormat="1" x14ac:dyDescent="0.25">
      <c r="A212" s="37">
        <f>Données!A206</f>
        <v>5743</v>
      </c>
      <c r="B212" s="373" t="str">
        <f>Données!B206</f>
        <v>Arnex-sur-Orbe</v>
      </c>
      <c r="C212" s="30">
        <f>VPI!R206</f>
        <v>19616.934718309862</v>
      </c>
      <c r="D212" s="7">
        <f>Données!N206</f>
        <v>35407.15</v>
      </c>
      <c r="E212" s="158">
        <f>Données!O206+Données!P206+Données!R206</f>
        <v>55636.7</v>
      </c>
      <c r="F212" s="349">
        <f t="shared" si="9"/>
        <v>38440.494999999995</v>
      </c>
      <c r="G212" s="349">
        <f>Ecrêtage!M206</f>
        <v>0</v>
      </c>
      <c r="H212" s="350">
        <f t="shared" si="10"/>
        <v>216622.56548170038</v>
      </c>
      <c r="I212" s="222">
        <f t="shared" si="11"/>
        <v>255063.06048170038</v>
      </c>
    </row>
    <row r="213" spans="1:9" s="34" customFormat="1" x14ac:dyDescent="0.25">
      <c r="A213" s="37">
        <f>Données!A207</f>
        <v>5744</v>
      </c>
      <c r="B213" s="373" t="str">
        <f>Données!B207</f>
        <v>Ballaigues</v>
      </c>
      <c r="C213" s="30">
        <f>VPI!R207</f>
        <v>81085.11846153847</v>
      </c>
      <c r="D213" s="7">
        <f>Données!N207</f>
        <v>1417599.85</v>
      </c>
      <c r="E213" s="158">
        <f>Données!O207+Données!P207+Données!R207</f>
        <v>162482.45000000001</v>
      </c>
      <c r="F213" s="349">
        <f t="shared" si="9"/>
        <v>506521.18000000005</v>
      </c>
      <c r="G213" s="349">
        <f>Ecrêtage!M207</f>
        <v>324669.05294015241</v>
      </c>
      <c r="H213" s="350">
        <f t="shared" si="10"/>
        <v>895393.018111618</v>
      </c>
      <c r="I213" s="222">
        <f t="shared" si="11"/>
        <v>1726583.2510517703</v>
      </c>
    </row>
    <row r="214" spans="1:9" s="34" customFormat="1" x14ac:dyDescent="0.25">
      <c r="A214" s="37">
        <f>Données!A208</f>
        <v>5745</v>
      </c>
      <c r="B214" s="373" t="str">
        <f>Données!B208</f>
        <v>Baulmes</v>
      </c>
      <c r="C214" s="30">
        <f>VPI!R208</f>
        <v>29568.283921568625</v>
      </c>
      <c r="D214" s="7">
        <f>Données!N208</f>
        <v>208052.6</v>
      </c>
      <c r="E214" s="158">
        <f>Données!O208+Données!P208+Données!R208</f>
        <v>32836.5</v>
      </c>
      <c r="F214" s="349">
        <f t="shared" si="9"/>
        <v>78834.03</v>
      </c>
      <c r="G214" s="349">
        <f>Ecrêtage!M208</f>
        <v>0</v>
      </c>
      <c r="H214" s="350">
        <f t="shared" si="10"/>
        <v>326511.63966015162</v>
      </c>
      <c r="I214" s="222">
        <f t="shared" si="11"/>
        <v>405345.66966015159</v>
      </c>
    </row>
    <row r="215" spans="1:9" s="34" customFormat="1" x14ac:dyDescent="0.25">
      <c r="A215" s="37">
        <f>Données!A209</f>
        <v>5746</v>
      </c>
      <c r="B215" s="373" t="str">
        <f>Données!B209</f>
        <v>Bavois</v>
      </c>
      <c r="C215" s="30">
        <f>VPI!R209</f>
        <v>37130.012939814806</v>
      </c>
      <c r="D215" s="7">
        <f>Données!N209</f>
        <v>9548.9500000000007</v>
      </c>
      <c r="E215" s="158">
        <f>Données!O209+Données!P209+Données!R209</f>
        <v>200075.55000000002</v>
      </c>
      <c r="F215" s="349">
        <f t="shared" si="9"/>
        <v>102902.46</v>
      </c>
      <c r="G215" s="349">
        <f>Ecrêtage!M209</f>
        <v>0</v>
      </c>
      <c r="H215" s="350">
        <f t="shared" si="10"/>
        <v>410013.02063181833</v>
      </c>
      <c r="I215" s="222">
        <f t="shared" si="11"/>
        <v>512915.48063181835</v>
      </c>
    </row>
    <row r="216" spans="1:9" s="34" customFormat="1" x14ac:dyDescent="0.25">
      <c r="A216" s="37">
        <f>Données!A210</f>
        <v>5747</v>
      </c>
      <c r="B216" s="373" t="str">
        <f>Données!B210</f>
        <v>Bofflens</v>
      </c>
      <c r="C216" s="30">
        <f>VPI!R210</f>
        <v>7511.2471014492739</v>
      </c>
      <c r="D216" s="7">
        <f>Données!N210</f>
        <v>369.35</v>
      </c>
      <c r="E216" s="158">
        <f>Données!O210+Données!P210+Données!R210</f>
        <v>33991.1</v>
      </c>
      <c r="F216" s="349">
        <f t="shared" si="9"/>
        <v>17106.355</v>
      </c>
      <c r="G216" s="349">
        <f>Ecrêtage!M210</f>
        <v>0</v>
      </c>
      <c r="H216" s="350">
        <f t="shared" si="10"/>
        <v>82943.927807652624</v>
      </c>
      <c r="I216" s="222">
        <f t="shared" si="11"/>
        <v>100050.28280765262</v>
      </c>
    </row>
    <row r="217" spans="1:9" s="34" customFormat="1" x14ac:dyDescent="0.25">
      <c r="A217" s="37">
        <f>Données!A211</f>
        <v>5748</v>
      </c>
      <c r="B217" s="373" t="str">
        <f>Données!B211</f>
        <v>Bretonnières</v>
      </c>
      <c r="C217" s="30">
        <f>VPI!R211</f>
        <v>6883.0895035460999</v>
      </c>
      <c r="D217" s="7">
        <f>Données!N211</f>
        <v>14329.75</v>
      </c>
      <c r="E217" s="158">
        <f>Données!O211+Données!P211+Données!R211</f>
        <v>36733</v>
      </c>
      <c r="F217" s="349">
        <f t="shared" si="9"/>
        <v>22665.424999999999</v>
      </c>
      <c r="G217" s="349">
        <f>Ecrêtage!M211</f>
        <v>0</v>
      </c>
      <c r="H217" s="350">
        <f t="shared" si="10"/>
        <v>76007.41543512576</v>
      </c>
      <c r="I217" s="222">
        <f t="shared" si="11"/>
        <v>98672.840435125763</v>
      </c>
    </row>
    <row r="218" spans="1:9" s="34" customFormat="1" x14ac:dyDescent="0.25">
      <c r="A218" s="37">
        <f>Données!A212</f>
        <v>5749</v>
      </c>
      <c r="B218" s="373" t="str">
        <f>Données!B212</f>
        <v>Chavornay</v>
      </c>
      <c r="C218" s="30">
        <f>VPI!R212</f>
        <v>155929.24482269504</v>
      </c>
      <c r="D218" s="7">
        <f>Données!N212</f>
        <v>728559.75</v>
      </c>
      <c r="E218" s="158">
        <f>Données!O212+Données!P212+Données!R212</f>
        <v>622096.35</v>
      </c>
      <c r="F218" s="349">
        <f t="shared" si="9"/>
        <v>529616.1</v>
      </c>
      <c r="G218" s="349">
        <f>Ecrêtage!M212</f>
        <v>0</v>
      </c>
      <c r="H218" s="350">
        <f t="shared" si="10"/>
        <v>1721869.0652821085</v>
      </c>
      <c r="I218" s="222">
        <f t="shared" si="11"/>
        <v>2251485.1652821084</v>
      </c>
    </row>
    <row r="219" spans="1:9" s="34" customFormat="1" x14ac:dyDescent="0.25">
      <c r="A219" s="37">
        <f>Données!A213</f>
        <v>5750</v>
      </c>
      <c r="B219" s="373" t="str">
        <f>Données!B213</f>
        <v>Les Clées</v>
      </c>
      <c r="C219" s="30">
        <f>VPI!R213</f>
        <v>6153.1082500000002</v>
      </c>
      <c r="D219" s="7">
        <f>Données!N213</f>
        <v>7423.95</v>
      </c>
      <c r="E219" s="158">
        <f>Données!O213+Données!P213+Données!R213</f>
        <v>64666.600000000006</v>
      </c>
      <c r="F219" s="349">
        <f t="shared" si="9"/>
        <v>34560.485000000001</v>
      </c>
      <c r="G219" s="349">
        <f>Ecrêtage!M213</f>
        <v>0</v>
      </c>
      <c r="H219" s="350">
        <f t="shared" si="10"/>
        <v>67946.502037218117</v>
      </c>
      <c r="I219" s="222">
        <f t="shared" si="11"/>
        <v>102506.98703721812</v>
      </c>
    </row>
    <row r="220" spans="1:9" s="34" customFormat="1" x14ac:dyDescent="0.25">
      <c r="A220" s="37">
        <f>Données!A214</f>
        <v>5752</v>
      </c>
      <c r="B220" s="373" t="str">
        <f>Données!B214</f>
        <v>Croy</v>
      </c>
      <c r="C220" s="30">
        <f>VPI!R214</f>
        <v>10564.904768339768</v>
      </c>
      <c r="D220" s="7">
        <f>Données!N214</f>
        <v>45637.45</v>
      </c>
      <c r="E220" s="158">
        <f>Données!O214+Données!P214+Données!R214</f>
        <v>74376.3</v>
      </c>
      <c r="F220" s="349">
        <f t="shared" si="9"/>
        <v>50879.385000000002</v>
      </c>
      <c r="G220" s="349">
        <f>Ecrêtage!M214</f>
        <v>0</v>
      </c>
      <c r="H220" s="350">
        <f t="shared" si="10"/>
        <v>116664.34169511212</v>
      </c>
      <c r="I220" s="222">
        <f t="shared" si="11"/>
        <v>167543.72669511213</v>
      </c>
    </row>
    <row r="221" spans="1:9" s="34" customFormat="1" x14ac:dyDescent="0.25">
      <c r="A221" s="37">
        <f>Données!A215</f>
        <v>5754</v>
      </c>
      <c r="B221" s="373" t="str">
        <f>Données!B215</f>
        <v>Juriens</v>
      </c>
      <c r="C221" s="30">
        <f>VPI!R215</f>
        <v>8959.0606329113925</v>
      </c>
      <c r="D221" s="7">
        <f>Données!N215</f>
        <v>21413.200000000001</v>
      </c>
      <c r="E221" s="158">
        <f>Données!O215+Données!P215+Données!R215</f>
        <v>32180.85</v>
      </c>
      <c r="F221" s="349">
        <f t="shared" si="9"/>
        <v>22514.384999999998</v>
      </c>
      <c r="G221" s="349">
        <f>Ecrêtage!M215</f>
        <v>0</v>
      </c>
      <c r="H221" s="350">
        <f t="shared" si="10"/>
        <v>98931.597952250318</v>
      </c>
      <c r="I221" s="222">
        <f t="shared" si="11"/>
        <v>121445.98295225031</v>
      </c>
    </row>
    <row r="222" spans="1:9" s="34" customFormat="1" x14ac:dyDescent="0.25">
      <c r="A222" s="37">
        <f>Données!A216</f>
        <v>5755</v>
      </c>
      <c r="B222" s="373" t="str">
        <f>Données!B216</f>
        <v>Lignerolle</v>
      </c>
      <c r="C222" s="30">
        <f>VPI!R216</f>
        <v>10387.208371246586</v>
      </c>
      <c r="D222" s="7">
        <f>Données!N216</f>
        <v>26084.75</v>
      </c>
      <c r="E222" s="158">
        <f>Données!O216+Données!P216+Données!R216</f>
        <v>80153</v>
      </c>
      <c r="F222" s="349">
        <f t="shared" si="9"/>
        <v>47901.925000000003</v>
      </c>
      <c r="G222" s="349">
        <f>Ecrêtage!M216</f>
        <v>0</v>
      </c>
      <c r="H222" s="350">
        <f t="shared" si="10"/>
        <v>114702.1060060036</v>
      </c>
      <c r="I222" s="222">
        <f t="shared" si="11"/>
        <v>162604.03100600361</v>
      </c>
    </row>
    <row r="223" spans="1:9" s="34" customFormat="1" x14ac:dyDescent="0.25">
      <c r="A223" s="37">
        <f>Données!A217</f>
        <v>5756</v>
      </c>
      <c r="B223" s="373" t="str">
        <f>Données!B217</f>
        <v>Montcherand</v>
      </c>
      <c r="C223" s="30">
        <f>VPI!R217</f>
        <v>21540.691249999996</v>
      </c>
      <c r="D223" s="7">
        <f>Données!N217</f>
        <v>4644.8</v>
      </c>
      <c r="E223" s="158">
        <f>Données!O217+Données!P217+Données!R217</f>
        <v>10153.1</v>
      </c>
      <c r="F223" s="349">
        <f t="shared" si="9"/>
        <v>6469.99</v>
      </c>
      <c r="G223" s="349">
        <f>Ecrêtage!M217</f>
        <v>0</v>
      </c>
      <c r="H223" s="350">
        <f t="shared" si="10"/>
        <v>237865.89841015899</v>
      </c>
      <c r="I223" s="222">
        <f t="shared" si="11"/>
        <v>244335.88841015898</v>
      </c>
    </row>
    <row r="224" spans="1:9" s="34" customFormat="1" x14ac:dyDescent="0.25">
      <c r="A224" s="37">
        <f>Données!A218</f>
        <v>5757</v>
      </c>
      <c r="B224" s="373" t="str">
        <f>Données!B218</f>
        <v>Orbe</v>
      </c>
      <c r="C224" s="30">
        <f>VPI!R218</f>
        <v>256549.05814569537</v>
      </c>
      <c r="D224" s="7">
        <f>Données!N218</f>
        <v>4025622.65</v>
      </c>
      <c r="E224" s="158">
        <f>Données!O218+Données!P218+Données!R218</f>
        <v>1153025.05</v>
      </c>
      <c r="F224" s="349">
        <f t="shared" si="9"/>
        <v>1784199.3199999998</v>
      </c>
      <c r="G224" s="349">
        <f>Ecrêtage!M218</f>
        <v>0</v>
      </c>
      <c r="H224" s="350">
        <f t="shared" si="10"/>
        <v>2832976.5045077628</v>
      </c>
      <c r="I224" s="222">
        <f t="shared" si="11"/>
        <v>4617175.8245077627</v>
      </c>
    </row>
    <row r="225" spans="1:9" s="34" customFormat="1" x14ac:dyDescent="0.25">
      <c r="A225" s="37">
        <f>Données!A219</f>
        <v>5758</v>
      </c>
      <c r="B225" s="373" t="str">
        <f>Données!B219</f>
        <v>La Praz</v>
      </c>
      <c r="C225" s="30">
        <f>VPI!R219</f>
        <v>5899.0938554216882</v>
      </c>
      <c r="D225" s="7">
        <f>Données!N219</f>
        <v>445.8</v>
      </c>
      <c r="E225" s="158">
        <f>Données!O219+Données!P219+Données!R219</f>
        <v>38938.050000000003</v>
      </c>
      <c r="F225" s="349">
        <f t="shared" si="9"/>
        <v>19602.765000000003</v>
      </c>
      <c r="G225" s="349">
        <f>Ecrêtage!M219</f>
        <v>0</v>
      </c>
      <c r="H225" s="350">
        <f t="shared" si="10"/>
        <v>65141.51488642356</v>
      </c>
      <c r="I225" s="222">
        <f t="shared" si="11"/>
        <v>84744.279886423566</v>
      </c>
    </row>
    <row r="226" spans="1:9" s="34" customFormat="1" x14ac:dyDescent="0.25">
      <c r="A226" s="37">
        <f>Données!A220</f>
        <v>5759</v>
      </c>
      <c r="B226" s="373" t="str">
        <f>Données!B220</f>
        <v>Premier</v>
      </c>
      <c r="C226" s="30">
        <f>VPI!R220</f>
        <v>5179.7449056603764</v>
      </c>
      <c r="D226" s="7">
        <f>Données!N220</f>
        <v>2808.4</v>
      </c>
      <c r="E226" s="158">
        <f>Données!O220+Données!P220+Données!R220</f>
        <v>22799.4</v>
      </c>
      <c r="F226" s="349">
        <f t="shared" si="9"/>
        <v>12242.220000000001</v>
      </c>
      <c r="G226" s="349">
        <f>Ecrêtage!M220</f>
        <v>0</v>
      </c>
      <c r="H226" s="350">
        <f t="shared" si="10"/>
        <v>57198.010092658929</v>
      </c>
      <c r="I226" s="222">
        <f t="shared" si="11"/>
        <v>69440.230092658923</v>
      </c>
    </row>
    <row r="227" spans="1:9" s="34" customFormat="1" x14ac:dyDescent="0.25">
      <c r="A227" s="37">
        <f>Données!A221</f>
        <v>5760</v>
      </c>
      <c r="B227" s="373" t="str">
        <f>Données!B221</f>
        <v>Rances</v>
      </c>
      <c r="C227" s="30">
        <f>VPI!R221</f>
        <v>13863.335032679737</v>
      </c>
      <c r="D227" s="7">
        <f>Données!N221</f>
        <v>18598.55</v>
      </c>
      <c r="E227" s="158">
        <f>Données!O221+Données!P221+Données!R221</f>
        <v>86568</v>
      </c>
      <c r="F227" s="349">
        <f t="shared" si="9"/>
        <v>48863.565000000002</v>
      </c>
      <c r="G227" s="349">
        <f>Ecrêtage!M221</f>
        <v>0</v>
      </c>
      <c r="H227" s="350">
        <f t="shared" si="10"/>
        <v>153087.68898070516</v>
      </c>
      <c r="I227" s="222">
        <f t="shared" si="11"/>
        <v>201951.25398070517</v>
      </c>
    </row>
    <row r="228" spans="1:9" s="34" customFormat="1" x14ac:dyDescent="0.25">
      <c r="A228" s="37">
        <f>Données!A222</f>
        <v>5761</v>
      </c>
      <c r="B228" s="373" t="str">
        <f>Données!B222</f>
        <v>Romainmôtier-Envy</v>
      </c>
      <c r="C228" s="30">
        <f>VPI!R222</f>
        <v>14116.093355780025</v>
      </c>
      <c r="D228" s="7">
        <f>Données!N222</f>
        <v>83872.399999999994</v>
      </c>
      <c r="E228" s="158">
        <f>Données!O222+Données!P222+Données!R222</f>
        <v>33436.300000000003</v>
      </c>
      <c r="F228" s="349">
        <f t="shared" si="9"/>
        <v>41879.869999999995</v>
      </c>
      <c r="G228" s="349">
        <f>Ecrêtage!M222</f>
        <v>0</v>
      </c>
      <c r="H228" s="350">
        <f t="shared" si="10"/>
        <v>155878.80579804012</v>
      </c>
      <c r="I228" s="222">
        <f t="shared" si="11"/>
        <v>197758.67579804012</v>
      </c>
    </row>
    <row r="229" spans="1:9" s="34" customFormat="1" x14ac:dyDescent="0.25">
      <c r="A229" s="37">
        <f>Données!A223</f>
        <v>5762</v>
      </c>
      <c r="B229" s="373" t="str">
        <f>Données!B223</f>
        <v>Sergey</v>
      </c>
      <c r="C229" s="30">
        <f>VPI!R223</f>
        <v>3517.4810526315791</v>
      </c>
      <c r="D229" s="7">
        <f>Données!N223</f>
        <v>13237.85</v>
      </c>
      <c r="E229" s="158">
        <f>Données!O223+Données!P223+Données!R223</f>
        <v>20869.099999999999</v>
      </c>
      <c r="F229" s="349">
        <f t="shared" si="9"/>
        <v>14405.904999999999</v>
      </c>
      <c r="G229" s="349">
        <f>Ecrêtage!M223</f>
        <v>0</v>
      </c>
      <c r="H229" s="350">
        <f t="shared" si="10"/>
        <v>38842.244244363443</v>
      </c>
      <c r="I229" s="222">
        <f t="shared" si="11"/>
        <v>53248.149244363442</v>
      </c>
    </row>
    <row r="230" spans="1:9" s="34" customFormat="1" x14ac:dyDescent="0.25">
      <c r="A230" s="37">
        <f>Données!A224</f>
        <v>5763</v>
      </c>
      <c r="B230" s="373" t="str">
        <f>Données!B224</f>
        <v>Valeyres-sous-Rances</v>
      </c>
      <c r="C230" s="30">
        <f>VPI!R224</f>
        <v>22039.299577464786</v>
      </c>
      <c r="D230" s="7">
        <f>Données!N224</f>
        <v>37812.949999999997</v>
      </c>
      <c r="E230" s="158">
        <f>Données!O224+Données!P224+Données!R224</f>
        <v>192865.05</v>
      </c>
      <c r="F230" s="349">
        <f t="shared" si="9"/>
        <v>107776.40999999999</v>
      </c>
      <c r="G230" s="349">
        <f>Ecrêtage!M224</f>
        <v>0</v>
      </c>
      <c r="H230" s="350">
        <f t="shared" si="10"/>
        <v>243371.84603229945</v>
      </c>
      <c r="I230" s="222">
        <f t="shared" si="11"/>
        <v>351148.25603229942</v>
      </c>
    </row>
    <row r="231" spans="1:9" s="34" customFormat="1" x14ac:dyDescent="0.25">
      <c r="A231" s="37">
        <f>Données!A225</f>
        <v>5764</v>
      </c>
      <c r="B231" s="373" t="str">
        <f>Données!B225</f>
        <v>Vallorbe</v>
      </c>
      <c r="C231" s="30">
        <f>VPI!R225</f>
        <v>94918.330489510496</v>
      </c>
      <c r="D231" s="7">
        <f>Données!N225</f>
        <v>2546635.35</v>
      </c>
      <c r="E231" s="158">
        <f>Données!O225+Données!P225+Données!R225</f>
        <v>1461571.05</v>
      </c>
      <c r="F231" s="349">
        <f t="shared" si="9"/>
        <v>1494776.13</v>
      </c>
      <c r="G231" s="349">
        <f>Ecrêtage!M225</f>
        <v>0</v>
      </c>
      <c r="H231" s="350">
        <f t="shared" si="10"/>
        <v>1048148.0698758822</v>
      </c>
      <c r="I231" s="222">
        <f t="shared" si="11"/>
        <v>2542924.1998758819</v>
      </c>
    </row>
    <row r="232" spans="1:9" s="34" customFormat="1" x14ac:dyDescent="0.25">
      <c r="A232" s="37">
        <f>Données!A226</f>
        <v>5765</v>
      </c>
      <c r="B232" s="373" t="str">
        <f>Données!B226</f>
        <v>Vaulion</v>
      </c>
      <c r="C232" s="30">
        <f>VPI!R226</f>
        <v>10165.546419753087</v>
      </c>
      <c r="D232" s="7">
        <f>Données!N226</f>
        <v>73030.8</v>
      </c>
      <c r="E232" s="158">
        <f>Données!O226+Données!P226+Données!R226</f>
        <v>82946.899999999994</v>
      </c>
      <c r="F232" s="349">
        <f t="shared" si="9"/>
        <v>63382.69</v>
      </c>
      <c r="G232" s="349">
        <f>Ecrêtage!M226</f>
        <v>0</v>
      </c>
      <c r="H232" s="350">
        <f t="shared" si="10"/>
        <v>112254.37493630775</v>
      </c>
      <c r="I232" s="222">
        <f t="shared" si="11"/>
        <v>175637.06493630775</v>
      </c>
    </row>
    <row r="233" spans="1:9" s="34" customFormat="1" x14ac:dyDescent="0.25">
      <c r="A233" s="37">
        <f>Données!A227</f>
        <v>5766</v>
      </c>
      <c r="B233" s="373" t="str">
        <f>Données!B227</f>
        <v>Vuiteboeuf</v>
      </c>
      <c r="C233" s="30">
        <f>VPI!R227</f>
        <v>15485.667942857142</v>
      </c>
      <c r="D233" s="7">
        <f>Données!N227</f>
        <v>38670.65</v>
      </c>
      <c r="E233" s="158">
        <f>Données!O227+Données!P227+Données!R227</f>
        <v>134143.35</v>
      </c>
      <c r="F233" s="349">
        <f t="shared" si="9"/>
        <v>78672.87</v>
      </c>
      <c r="G233" s="349">
        <f>Ecrêtage!M227</f>
        <v>0</v>
      </c>
      <c r="H233" s="350">
        <f t="shared" si="10"/>
        <v>171002.51217374991</v>
      </c>
      <c r="I233" s="222">
        <f t="shared" si="11"/>
        <v>249675.38217374991</v>
      </c>
    </row>
    <row r="234" spans="1:9" s="34" customFormat="1" x14ac:dyDescent="0.25">
      <c r="A234" s="37">
        <f>Données!A228</f>
        <v>5785</v>
      </c>
      <c r="B234" s="373" t="str">
        <f>Données!B228</f>
        <v>Corcelles-le-Jorat</v>
      </c>
      <c r="C234" s="30">
        <f>VPI!R228</f>
        <v>15190.065466666669</v>
      </c>
      <c r="D234" s="7">
        <f>Données!N228</f>
        <v>0</v>
      </c>
      <c r="E234" s="158">
        <f>Données!O228+Données!P228+Données!R228</f>
        <v>351679.75</v>
      </c>
      <c r="F234" s="349">
        <f t="shared" si="9"/>
        <v>175839.875</v>
      </c>
      <c r="G234" s="349">
        <f>Ecrêtage!M228</f>
        <v>0</v>
      </c>
      <c r="H234" s="350">
        <f t="shared" si="10"/>
        <v>167738.28319635743</v>
      </c>
      <c r="I234" s="222">
        <f t="shared" si="11"/>
        <v>343578.15819635743</v>
      </c>
    </row>
    <row r="235" spans="1:9" s="34" customFormat="1" x14ac:dyDescent="0.25">
      <c r="A235" s="37">
        <f>Données!A229</f>
        <v>5790</v>
      </c>
      <c r="B235" s="373" t="str">
        <f>Données!B229</f>
        <v>Maracon</v>
      </c>
      <c r="C235" s="30">
        <f>VPI!R229</f>
        <v>16291.788187919459</v>
      </c>
      <c r="D235" s="7">
        <f>Données!N229</f>
        <v>0</v>
      </c>
      <c r="E235" s="158">
        <f>Données!O229+Données!P229+Données!R229</f>
        <v>68201.600000000006</v>
      </c>
      <c r="F235" s="349">
        <f t="shared" si="9"/>
        <v>34100.800000000003</v>
      </c>
      <c r="G235" s="349">
        <f>Ecrêtage!M229</f>
        <v>0</v>
      </c>
      <c r="H235" s="350">
        <f t="shared" si="10"/>
        <v>179904.20033653651</v>
      </c>
      <c r="I235" s="222">
        <f t="shared" si="11"/>
        <v>214005.0003365365</v>
      </c>
    </row>
    <row r="236" spans="1:9" s="34" customFormat="1" x14ac:dyDescent="0.25">
      <c r="A236" s="37">
        <f>Données!A230</f>
        <v>5792</v>
      </c>
      <c r="B236" s="373" t="str">
        <f>Données!B230</f>
        <v>Montpreveyres</v>
      </c>
      <c r="C236" s="30">
        <f>VPI!R230</f>
        <v>20010.357852348992</v>
      </c>
      <c r="D236" s="7">
        <f>Données!N230</f>
        <v>417.45</v>
      </c>
      <c r="E236" s="158">
        <f>Données!O230+Données!P230+Données!R230</f>
        <v>239006.1</v>
      </c>
      <c r="F236" s="349">
        <f t="shared" si="9"/>
        <v>119628.285</v>
      </c>
      <c r="G236" s="349">
        <f>Ecrêtage!M230</f>
        <v>0</v>
      </c>
      <c r="H236" s="350">
        <f t="shared" si="10"/>
        <v>220966.99185815468</v>
      </c>
      <c r="I236" s="222">
        <f t="shared" si="11"/>
        <v>340595.27685815468</v>
      </c>
    </row>
    <row r="237" spans="1:9" s="34" customFormat="1" x14ac:dyDescent="0.25">
      <c r="A237" s="37">
        <f>Données!A231</f>
        <v>5798</v>
      </c>
      <c r="B237" s="373" t="str">
        <f>Données!B231</f>
        <v>Ropraz</v>
      </c>
      <c r="C237" s="30">
        <f>VPI!R231</f>
        <v>15645.960516129035</v>
      </c>
      <c r="D237" s="7">
        <f>Données!N231</f>
        <v>43039.3</v>
      </c>
      <c r="E237" s="158">
        <f>Données!O231+Données!P231+Données!R231</f>
        <v>118000.3</v>
      </c>
      <c r="F237" s="349">
        <f t="shared" si="9"/>
        <v>71911.94</v>
      </c>
      <c r="G237" s="349">
        <f>Ecrêtage!M231</f>
        <v>0</v>
      </c>
      <c r="H237" s="350">
        <f t="shared" si="10"/>
        <v>172772.56386370183</v>
      </c>
      <c r="I237" s="222">
        <f t="shared" si="11"/>
        <v>244684.50386370183</v>
      </c>
    </row>
    <row r="238" spans="1:9" s="34" customFormat="1" x14ac:dyDescent="0.25">
      <c r="A238" s="37">
        <f>Données!A232</f>
        <v>5799</v>
      </c>
      <c r="B238" s="373" t="str">
        <f>Données!B232</f>
        <v>Servion</v>
      </c>
      <c r="C238" s="30">
        <f>VPI!R232</f>
        <v>79870.61985507248</v>
      </c>
      <c r="D238" s="7">
        <f>Données!N232</f>
        <v>37098.199999999997</v>
      </c>
      <c r="E238" s="158">
        <f>Données!O232+Données!P232+Données!R232</f>
        <v>568207.75</v>
      </c>
      <c r="F238" s="349">
        <f t="shared" si="9"/>
        <v>295233.33500000002</v>
      </c>
      <c r="G238" s="349">
        <f>Ecrêtage!M232</f>
        <v>0</v>
      </c>
      <c r="H238" s="350">
        <f t="shared" si="10"/>
        <v>881981.75851961586</v>
      </c>
      <c r="I238" s="222">
        <f t="shared" si="11"/>
        <v>1177215.0935196159</v>
      </c>
    </row>
    <row r="239" spans="1:9" s="34" customFormat="1" x14ac:dyDescent="0.25">
      <c r="A239" s="37">
        <f>Données!A233</f>
        <v>5803</v>
      </c>
      <c r="B239" s="373" t="str">
        <f>Données!B233</f>
        <v>Vulliens</v>
      </c>
      <c r="C239" s="30">
        <f>VPI!R233</f>
        <v>18493.730135135131</v>
      </c>
      <c r="D239" s="7">
        <f>Données!N233</f>
        <v>1601.5</v>
      </c>
      <c r="E239" s="158">
        <f>Données!O233+Données!P233+Données!R233</f>
        <v>133235.65</v>
      </c>
      <c r="F239" s="349">
        <f t="shared" si="9"/>
        <v>67098.274999999994</v>
      </c>
      <c r="G239" s="349">
        <f>Ecrêtage!M233</f>
        <v>0</v>
      </c>
      <c r="H239" s="350">
        <f t="shared" si="10"/>
        <v>204219.43207365501</v>
      </c>
      <c r="I239" s="222">
        <f t="shared" si="11"/>
        <v>271317.70707365498</v>
      </c>
    </row>
    <row r="240" spans="1:9" s="34" customFormat="1" x14ac:dyDescent="0.25">
      <c r="A240" s="37">
        <f>Données!A234</f>
        <v>5804</v>
      </c>
      <c r="B240" s="373" t="str">
        <f>Données!B234</f>
        <v>Jorat-Menthue</v>
      </c>
      <c r="C240" s="30">
        <f>VPI!R234</f>
        <v>48159.833333333336</v>
      </c>
      <c r="D240" s="7">
        <f>Données!N234</f>
        <v>15877.4</v>
      </c>
      <c r="E240" s="158">
        <f>Données!O234+Données!P234+Données!R234</f>
        <v>280435.5</v>
      </c>
      <c r="F240" s="349">
        <f t="shared" si="9"/>
        <v>144980.97</v>
      </c>
      <c r="G240" s="349">
        <f>Ecrêtage!M234</f>
        <v>0</v>
      </c>
      <c r="H240" s="350">
        <f t="shared" si="10"/>
        <v>531811.25388057623</v>
      </c>
      <c r="I240" s="222">
        <f t="shared" si="11"/>
        <v>676792.2238805762</v>
      </c>
    </row>
    <row r="241" spans="1:9" s="34" customFormat="1" x14ac:dyDescent="0.25">
      <c r="A241" s="37">
        <f>Données!A235</f>
        <v>5805</v>
      </c>
      <c r="B241" s="373" t="str">
        <f>Données!B235</f>
        <v>Oron</v>
      </c>
      <c r="C241" s="30">
        <f>VPI!R235</f>
        <v>189171.20249011857</v>
      </c>
      <c r="D241" s="7">
        <f>Données!N235</f>
        <v>169721.85</v>
      </c>
      <c r="E241" s="158">
        <f>Données!O235+Données!P235+Données!R235</f>
        <v>1476273.55</v>
      </c>
      <c r="F241" s="349">
        <f t="shared" si="9"/>
        <v>789053.33000000007</v>
      </c>
      <c r="G241" s="349">
        <f>Ecrêtage!M235</f>
        <v>0</v>
      </c>
      <c r="H241" s="350">
        <f t="shared" si="10"/>
        <v>2088947.7274153014</v>
      </c>
      <c r="I241" s="222">
        <f t="shared" si="11"/>
        <v>2878001.0574153014</v>
      </c>
    </row>
    <row r="242" spans="1:9" s="34" customFormat="1" x14ac:dyDescent="0.25">
      <c r="A242" s="37">
        <f>Données!A236</f>
        <v>5806</v>
      </c>
      <c r="B242" s="373" t="str">
        <f>Données!B236</f>
        <v>Jorat-Mézières</v>
      </c>
      <c r="C242" s="30">
        <f>VPI!R236</f>
        <v>101965.39633802818</v>
      </c>
      <c r="D242" s="7">
        <f>Données!N236</f>
        <v>34586.400000000001</v>
      </c>
      <c r="E242" s="158">
        <f>Données!O236+Données!P236+Données!R236</f>
        <v>879108.8</v>
      </c>
      <c r="F242" s="349">
        <f t="shared" si="9"/>
        <v>449930.32</v>
      </c>
      <c r="G242" s="349">
        <f>Ecrêtage!M236</f>
        <v>0</v>
      </c>
      <c r="H242" s="350">
        <f t="shared" si="10"/>
        <v>1125966.2155314079</v>
      </c>
      <c r="I242" s="222">
        <f t="shared" si="11"/>
        <v>1575896.5355314079</v>
      </c>
    </row>
    <row r="243" spans="1:9" s="34" customFormat="1" x14ac:dyDescent="0.25">
      <c r="A243" s="37">
        <f>Données!A237</f>
        <v>5812</v>
      </c>
      <c r="B243" s="373" t="str">
        <f>Données!B237</f>
        <v>Champtauroz</v>
      </c>
      <c r="C243" s="30">
        <f>VPI!R237</f>
        <v>3968.7312987012979</v>
      </c>
      <c r="D243" s="7">
        <f>Données!N237</f>
        <v>0</v>
      </c>
      <c r="E243" s="158">
        <f>Données!O237+Données!P237+Données!R237</f>
        <v>35715.300000000003</v>
      </c>
      <c r="F243" s="349">
        <f t="shared" si="9"/>
        <v>17857.650000000001</v>
      </c>
      <c r="G243" s="349">
        <f>Ecrêtage!M237</f>
        <v>0</v>
      </c>
      <c r="H243" s="350">
        <f t="shared" si="10"/>
        <v>43825.234063187338</v>
      </c>
      <c r="I243" s="222">
        <f t="shared" si="11"/>
        <v>61682.884063187339</v>
      </c>
    </row>
    <row r="244" spans="1:9" s="34" customFormat="1" x14ac:dyDescent="0.25">
      <c r="A244" s="37">
        <f>Données!A238</f>
        <v>5813</v>
      </c>
      <c r="B244" s="373" t="str">
        <f>Données!B238</f>
        <v>Chevroux</v>
      </c>
      <c r="C244" s="30">
        <f>VPI!R238</f>
        <v>19281.459294403892</v>
      </c>
      <c r="D244" s="7">
        <f>Données!N238</f>
        <v>5091.6000000000004</v>
      </c>
      <c r="E244" s="158">
        <f>Données!O238+Données!P238+Données!R238</f>
        <v>53481.7</v>
      </c>
      <c r="F244" s="349">
        <f t="shared" si="9"/>
        <v>28268.329999999998</v>
      </c>
      <c r="G244" s="349">
        <f>Ecrêtage!M238</f>
        <v>0</v>
      </c>
      <c r="H244" s="350">
        <f t="shared" si="10"/>
        <v>212918.03426792505</v>
      </c>
      <c r="I244" s="222">
        <f t="shared" si="11"/>
        <v>241186.36426792503</v>
      </c>
    </row>
    <row r="245" spans="1:9" s="34" customFormat="1" x14ac:dyDescent="0.25">
      <c r="A245" s="37">
        <f>Données!A239</f>
        <v>5816</v>
      </c>
      <c r="B245" s="373" t="str">
        <f>Données!B239</f>
        <v>Corcelles-près-Payerne</v>
      </c>
      <c r="C245" s="30">
        <f>VPI!R239</f>
        <v>73731.873296703299</v>
      </c>
      <c r="D245" s="7">
        <f>Données!N239</f>
        <v>40244.949999999997</v>
      </c>
      <c r="E245" s="158">
        <f>Données!O239+Données!P239+Données!R239</f>
        <v>677745.45</v>
      </c>
      <c r="F245" s="349">
        <f t="shared" si="9"/>
        <v>350946.20999999996</v>
      </c>
      <c r="G245" s="349">
        <f>Ecrêtage!M239</f>
        <v>0</v>
      </c>
      <c r="H245" s="350">
        <f t="shared" si="10"/>
        <v>814193.84733924654</v>
      </c>
      <c r="I245" s="222">
        <f t="shared" si="11"/>
        <v>1165140.0573392464</v>
      </c>
    </row>
    <row r="246" spans="1:9" s="34" customFormat="1" x14ac:dyDescent="0.25">
      <c r="A246" s="37">
        <f>Données!A240</f>
        <v>5817</v>
      </c>
      <c r="B246" s="373" t="str">
        <f>Données!B240</f>
        <v>Grandcour</v>
      </c>
      <c r="C246" s="30">
        <f>VPI!R240</f>
        <v>27223.795694444449</v>
      </c>
      <c r="D246" s="7">
        <f>Données!N240</f>
        <v>0</v>
      </c>
      <c r="E246" s="158">
        <f>Données!O240+Données!P240+Données!R240</f>
        <v>137069.95000000001</v>
      </c>
      <c r="F246" s="349">
        <f t="shared" si="9"/>
        <v>68534.975000000006</v>
      </c>
      <c r="G246" s="349">
        <f>Ecrêtage!M240</f>
        <v>0</v>
      </c>
      <c r="H246" s="350">
        <f t="shared" si="10"/>
        <v>300622.32199691585</v>
      </c>
      <c r="I246" s="222">
        <f t="shared" si="11"/>
        <v>369157.29699691583</v>
      </c>
    </row>
    <row r="247" spans="1:9" s="34" customFormat="1" x14ac:dyDescent="0.25">
      <c r="A247" s="37">
        <f>Données!A241</f>
        <v>5819</v>
      </c>
      <c r="B247" s="373" t="str">
        <f>Données!B241</f>
        <v>Henniez</v>
      </c>
      <c r="C247" s="30">
        <f>VPI!R241</f>
        <v>14881.811884057974</v>
      </c>
      <c r="D247" s="7">
        <f>Données!N241</f>
        <v>6123.25</v>
      </c>
      <c r="E247" s="158">
        <f>Données!O241+Données!P241+Données!R241</f>
        <v>43416.15</v>
      </c>
      <c r="F247" s="349">
        <f t="shared" si="9"/>
        <v>23545.05</v>
      </c>
      <c r="G247" s="349">
        <f>Ecrêtage!M241</f>
        <v>0</v>
      </c>
      <c r="H247" s="350">
        <f t="shared" si="10"/>
        <v>164334.35272289283</v>
      </c>
      <c r="I247" s="222">
        <f t="shared" si="11"/>
        <v>187879.40272289282</v>
      </c>
    </row>
    <row r="248" spans="1:9" s="34" customFormat="1" x14ac:dyDescent="0.25">
      <c r="A248" s="37">
        <f>Données!A242</f>
        <v>5821</v>
      </c>
      <c r="B248" s="373" t="str">
        <f>Données!B242</f>
        <v>Missy</v>
      </c>
      <c r="C248" s="30">
        <f>VPI!R242</f>
        <v>10384.069710144928</v>
      </c>
      <c r="D248" s="7">
        <f>Données!N242</f>
        <v>0</v>
      </c>
      <c r="E248" s="158">
        <f>Données!O242+Données!P242+Données!R242</f>
        <v>44258.45</v>
      </c>
      <c r="F248" s="349">
        <f t="shared" si="9"/>
        <v>22129.224999999999</v>
      </c>
      <c r="G248" s="349">
        <f>Ecrêtage!M242</f>
        <v>0</v>
      </c>
      <c r="H248" s="350">
        <f t="shared" si="10"/>
        <v>114667.44693057809</v>
      </c>
      <c r="I248" s="222">
        <f t="shared" si="11"/>
        <v>136796.6719305781</v>
      </c>
    </row>
    <row r="249" spans="1:9" s="34" customFormat="1" x14ac:dyDescent="0.25">
      <c r="A249" s="37">
        <f>Données!A243</f>
        <v>5822</v>
      </c>
      <c r="B249" s="373" t="str">
        <f>Données!B243</f>
        <v>Payerne</v>
      </c>
      <c r="C249" s="30">
        <f>VPI!R243</f>
        <v>250662.19871428571</v>
      </c>
      <c r="D249" s="7">
        <f>Données!N243</f>
        <v>416377.45</v>
      </c>
      <c r="E249" s="158">
        <f>Données!O243+Données!P243+Données!R243</f>
        <v>1773524.0999999999</v>
      </c>
      <c r="F249" s="349">
        <f t="shared" si="9"/>
        <v>1011675.2849999999</v>
      </c>
      <c r="G249" s="349">
        <f>Ecrêtage!M243</f>
        <v>0</v>
      </c>
      <c r="H249" s="350">
        <f t="shared" si="10"/>
        <v>2767970.0898474827</v>
      </c>
      <c r="I249" s="222">
        <f t="shared" si="11"/>
        <v>3779645.3748474829</v>
      </c>
    </row>
    <row r="250" spans="1:9" s="34" customFormat="1" x14ac:dyDescent="0.25">
      <c r="A250" s="37">
        <f>Données!A244</f>
        <v>5827</v>
      </c>
      <c r="B250" s="373" t="str">
        <f>Données!B244</f>
        <v>Trey</v>
      </c>
      <c r="C250" s="30">
        <f>VPI!R244</f>
        <v>8694.454487179486</v>
      </c>
      <c r="D250" s="7">
        <f>Données!N244</f>
        <v>0</v>
      </c>
      <c r="E250" s="158">
        <f>Données!O244+Données!P244+Données!R244</f>
        <v>49796.45</v>
      </c>
      <c r="F250" s="349">
        <f t="shared" si="9"/>
        <v>24898.224999999999</v>
      </c>
      <c r="G250" s="349">
        <f>Ecrêtage!M244</f>
        <v>0</v>
      </c>
      <c r="H250" s="350">
        <f t="shared" si="10"/>
        <v>96009.650005042757</v>
      </c>
      <c r="I250" s="222">
        <f t="shared" si="11"/>
        <v>120907.87500504276</v>
      </c>
    </row>
    <row r="251" spans="1:9" s="34" customFormat="1" x14ac:dyDescent="0.25">
      <c r="A251" s="37">
        <f>Données!A245</f>
        <v>5828</v>
      </c>
      <c r="B251" s="373" t="str">
        <f>Données!B245</f>
        <v>Treytorrens (Payerne)</v>
      </c>
      <c r="C251" s="30">
        <f>VPI!R245</f>
        <v>2843.8202453987728</v>
      </c>
      <c r="D251" s="7">
        <f>Données!N245</f>
        <v>0</v>
      </c>
      <c r="E251" s="158">
        <f>Données!O245+Données!P245+Données!R245</f>
        <v>8972.65</v>
      </c>
      <c r="F251" s="349">
        <f t="shared" si="9"/>
        <v>4486.3249999999998</v>
      </c>
      <c r="G251" s="349">
        <f>Ecrêtage!M245</f>
        <v>0</v>
      </c>
      <c r="H251" s="350">
        <f t="shared" si="10"/>
        <v>31403.256735726995</v>
      </c>
      <c r="I251" s="222">
        <f t="shared" si="11"/>
        <v>35889.581735726992</v>
      </c>
    </row>
    <row r="252" spans="1:9" s="34" customFormat="1" x14ac:dyDescent="0.25">
      <c r="A252" s="37">
        <f>Données!A246</f>
        <v>5830</v>
      </c>
      <c r="B252" s="373" t="str">
        <f>Données!B246</f>
        <v>Villarzel</v>
      </c>
      <c r="C252" s="30">
        <f>VPI!R246</f>
        <v>15008.365333333331</v>
      </c>
      <c r="D252" s="7">
        <f>Données!N246</f>
        <v>5814</v>
      </c>
      <c r="E252" s="158">
        <f>Données!O246+Données!P246+Données!R246</f>
        <v>142641.35</v>
      </c>
      <c r="F252" s="349">
        <f t="shared" si="9"/>
        <v>73064.875</v>
      </c>
      <c r="G252" s="349">
        <f>Ecrêtage!M246</f>
        <v>0</v>
      </c>
      <c r="H252" s="350">
        <f t="shared" si="10"/>
        <v>165731.8357265447</v>
      </c>
      <c r="I252" s="222">
        <f t="shared" si="11"/>
        <v>238796.7107265447</v>
      </c>
    </row>
    <row r="253" spans="1:9" s="34" customFormat="1" x14ac:dyDescent="0.25">
      <c r="A253" s="37">
        <f>Données!A247</f>
        <v>5831</v>
      </c>
      <c r="B253" s="373" t="str">
        <f>Données!B247</f>
        <v>Valbroye</v>
      </c>
      <c r="C253" s="30">
        <f>VPI!R247</f>
        <v>87116.396643026019</v>
      </c>
      <c r="D253" s="7">
        <f>Données!N247</f>
        <v>58127</v>
      </c>
      <c r="E253" s="158">
        <f>Données!O247+Données!P247+Données!R247</f>
        <v>2446115.9</v>
      </c>
      <c r="F253" s="349">
        <f t="shared" si="9"/>
        <v>1240496.05</v>
      </c>
      <c r="G253" s="349">
        <f>Ecrêtage!M247</f>
        <v>0</v>
      </c>
      <c r="H253" s="350">
        <f t="shared" si="10"/>
        <v>961994.19569458556</v>
      </c>
      <c r="I253" s="222">
        <f t="shared" si="11"/>
        <v>2202490.2456945856</v>
      </c>
    </row>
    <row r="254" spans="1:9" s="34" customFormat="1" x14ac:dyDescent="0.25">
      <c r="A254" s="37">
        <f>Données!A248</f>
        <v>5841</v>
      </c>
      <c r="B254" s="373" t="str">
        <f>Données!B248</f>
        <v>Château-d'Oex</v>
      </c>
      <c r="C254" s="30">
        <f>VPI!R248</f>
        <v>123941.3219631902</v>
      </c>
      <c r="D254" s="7">
        <f>Données!N248</f>
        <v>13252.9</v>
      </c>
      <c r="E254" s="158">
        <f>Données!O248+Données!P248+Données!R248</f>
        <v>1718306.7499999998</v>
      </c>
      <c r="F254" s="349">
        <f t="shared" si="9"/>
        <v>863129.24499999988</v>
      </c>
      <c r="G254" s="349">
        <f>Ecrêtage!M248</f>
        <v>0</v>
      </c>
      <c r="H254" s="350">
        <f t="shared" si="10"/>
        <v>1368638.2464126826</v>
      </c>
      <c r="I254" s="222">
        <f t="shared" si="11"/>
        <v>2231767.4914126825</v>
      </c>
    </row>
    <row r="255" spans="1:9" s="34" customFormat="1" x14ac:dyDescent="0.25">
      <c r="A255" s="37">
        <f>Données!A249</f>
        <v>5842</v>
      </c>
      <c r="B255" s="373" t="str">
        <f>Données!B249</f>
        <v>Rossinière</v>
      </c>
      <c r="C255" s="30">
        <f>VPI!R249</f>
        <v>15883.310411522634</v>
      </c>
      <c r="D255" s="7">
        <f>Données!N249</f>
        <v>799</v>
      </c>
      <c r="E255" s="158">
        <f>Données!O249+Données!P249+Données!R249</f>
        <v>753875</v>
      </c>
      <c r="F255" s="349">
        <f t="shared" si="9"/>
        <v>377177.2</v>
      </c>
      <c r="G255" s="349">
        <f>Ecrêtage!M249</f>
        <v>0</v>
      </c>
      <c r="H255" s="350">
        <f t="shared" si="10"/>
        <v>175393.53110426595</v>
      </c>
      <c r="I255" s="222">
        <f t="shared" si="11"/>
        <v>552570.7311042659</v>
      </c>
    </row>
    <row r="256" spans="1:9" s="34" customFormat="1" x14ac:dyDescent="0.25">
      <c r="A256" s="37">
        <f>Données!A250</f>
        <v>5843</v>
      </c>
      <c r="B256" s="373" t="str">
        <f>Données!B250</f>
        <v>Rougemont</v>
      </c>
      <c r="C256" s="30">
        <f>VPI!R250</f>
        <v>87174.419831223626</v>
      </c>
      <c r="D256" s="7">
        <f>Données!N250</f>
        <v>8243.65</v>
      </c>
      <c r="E256" s="158">
        <f>Données!O250+Données!P250+Données!R250</f>
        <v>1347532.1</v>
      </c>
      <c r="F256" s="349">
        <f t="shared" si="9"/>
        <v>676239.14500000002</v>
      </c>
      <c r="G256" s="349">
        <f>Ecrêtage!M250</f>
        <v>1295917.2092242346</v>
      </c>
      <c r="H256" s="350">
        <f t="shared" si="10"/>
        <v>962634.92433365586</v>
      </c>
      <c r="I256" s="222">
        <f t="shared" si="11"/>
        <v>2934791.2785578901</v>
      </c>
    </row>
    <row r="257" spans="1:9" s="34" customFormat="1" x14ac:dyDescent="0.25">
      <c r="A257" s="37">
        <f>Données!A251</f>
        <v>5851</v>
      </c>
      <c r="B257" s="373" t="str">
        <f>Données!B251</f>
        <v>Allaman</v>
      </c>
      <c r="C257" s="30">
        <f>VPI!R251</f>
        <v>27728.701333333334</v>
      </c>
      <c r="D257" s="7">
        <f>Données!N251</f>
        <v>39895.1</v>
      </c>
      <c r="E257" s="158">
        <f>Données!O251+Données!P251+Données!R251</f>
        <v>73726.3</v>
      </c>
      <c r="F257" s="349">
        <f t="shared" si="9"/>
        <v>48831.68</v>
      </c>
      <c r="G257" s="349">
        <f>Ecrêtage!M251</f>
        <v>93818.836020070739</v>
      </c>
      <c r="H257" s="350">
        <f t="shared" si="10"/>
        <v>306197.80850349023</v>
      </c>
      <c r="I257" s="222">
        <f t="shared" si="11"/>
        <v>448848.32452356094</v>
      </c>
    </row>
    <row r="258" spans="1:9" s="34" customFormat="1" x14ac:dyDescent="0.25">
      <c r="A258" s="37">
        <f>Données!A252</f>
        <v>5852</v>
      </c>
      <c r="B258" s="373" t="str">
        <f>Données!B252</f>
        <v>Bursinel</v>
      </c>
      <c r="C258" s="30">
        <f>VPI!R252</f>
        <v>42943.776182795707</v>
      </c>
      <c r="D258" s="7">
        <f>Données!N252</f>
        <v>10546.7</v>
      </c>
      <c r="E258" s="158">
        <f>Données!O252+Données!P252+Données!R252</f>
        <v>134540.5</v>
      </c>
      <c r="F258" s="349">
        <f t="shared" si="9"/>
        <v>70434.259999999995</v>
      </c>
      <c r="G258" s="349">
        <f>Ecrêtage!M252</f>
        <v>293329.49651378702</v>
      </c>
      <c r="H258" s="350">
        <f t="shared" si="10"/>
        <v>474212.26107799541</v>
      </c>
      <c r="I258" s="222">
        <f t="shared" si="11"/>
        <v>837976.01759178238</v>
      </c>
    </row>
    <row r="259" spans="1:9" s="34" customFormat="1" x14ac:dyDescent="0.25">
      <c r="A259" s="37">
        <f>Données!A253</f>
        <v>5853</v>
      </c>
      <c r="B259" s="373" t="str">
        <f>Données!B253</f>
        <v>Bursins</v>
      </c>
      <c r="C259" s="30">
        <f>VPI!R253</f>
        <v>44996.737042253524</v>
      </c>
      <c r="D259" s="7">
        <f>Données!N253</f>
        <v>113758.2</v>
      </c>
      <c r="E259" s="158">
        <f>Données!O253+Données!P253+Données!R253</f>
        <v>106228.65</v>
      </c>
      <c r="F259" s="349">
        <f t="shared" si="9"/>
        <v>87241.785000000003</v>
      </c>
      <c r="G259" s="349">
        <f>Ecrêtage!M253</f>
        <v>53608.608937737925</v>
      </c>
      <c r="H259" s="350">
        <f t="shared" si="10"/>
        <v>496882.34968231653</v>
      </c>
      <c r="I259" s="222">
        <f t="shared" si="11"/>
        <v>637732.74362005445</v>
      </c>
    </row>
    <row r="260" spans="1:9" s="34" customFormat="1" x14ac:dyDescent="0.25">
      <c r="A260" s="37">
        <f>Données!A254</f>
        <v>5854</v>
      </c>
      <c r="B260" s="373" t="str">
        <f>Données!B254</f>
        <v>Burtigny</v>
      </c>
      <c r="C260" s="30">
        <f>VPI!R254</f>
        <v>16635.489777777777</v>
      </c>
      <c r="D260" s="7">
        <f>Données!N254</f>
        <v>13386.75</v>
      </c>
      <c r="E260" s="158">
        <f>Données!O254+Données!P254+Données!R254</f>
        <v>148582.25</v>
      </c>
      <c r="F260" s="349">
        <f t="shared" si="9"/>
        <v>78307.149999999994</v>
      </c>
      <c r="G260" s="349">
        <f>Ecrêtage!M254</f>
        <v>0</v>
      </c>
      <c r="H260" s="350">
        <f t="shared" si="10"/>
        <v>183699.57006296757</v>
      </c>
      <c r="I260" s="222">
        <f t="shared" si="11"/>
        <v>262006.72006296756</v>
      </c>
    </row>
    <row r="261" spans="1:9" s="34" customFormat="1" x14ac:dyDescent="0.25">
      <c r="A261" s="37">
        <f>Données!A255</f>
        <v>5855</v>
      </c>
      <c r="B261" s="373" t="str">
        <f>Données!B255</f>
        <v>Dully</v>
      </c>
      <c r="C261" s="30">
        <f>VPI!R255</f>
        <v>98996.558301886791</v>
      </c>
      <c r="D261" s="7">
        <f>Données!N255</f>
        <v>8003.75</v>
      </c>
      <c r="E261" s="158">
        <f>Données!O255+Données!P255+Données!R255</f>
        <v>99883.8</v>
      </c>
      <c r="F261" s="349">
        <f t="shared" si="9"/>
        <v>52343.025000000001</v>
      </c>
      <c r="G261" s="349">
        <f>Ecrêtage!M255</f>
        <v>1547776.1548566222</v>
      </c>
      <c r="H261" s="350">
        <f t="shared" si="10"/>
        <v>1093182.4335020813</v>
      </c>
      <c r="I261" s="222">
        <f t="shared" si="11"/>
        <v>2693301.6133587034</v>
      </c>
    </row>
    <row r="262" spans="1:9" s="34" customFormat="1" x14ac:dyDescent="0.25">
      <c r="A262" s="37">
        <f>Données!A256</f>
        <v>5856</v>
      </c>
      <c r="B262" s="373" t="str">
        <f>Données!B256</f>
        <v>Essertines-sur-Rolle</v>
      </c>
      <c r="C262" s="30">
        <f>VPI!R256</f>
        <v>36628.421873915555</v>
      </c>
      <c r="D262" s="7">
        <f>Données!N256</f>
        <v>1523.1</v>
      </c>
      <c r="E262" s="158">
        <f>Données!O256+Données!P256+Données!R256</f>
        <v>294308.14999999997</v>
      </c>
      <c r="F262" s="349">
        <f t="shared" si="9"/>
        <v>147611.00499999998</v>
      </c>
      <c r="G262" s="349">
        <f>Ecrêtage!M256</f>
        <v>0</v>
      </c>
      <c r="H262" s="350">
        <f t="shared" si="10"/>
        <v>404474.1357306834</v>
      </c>
      <c r="I262" s="222">
        <f t="shared" si="11"/>
        <v>552085.14073068334</v>
      </c>
    </row>
    <row r="263" spans="1:9" s="34" customFormat="1" x14ac:dyDescent="0.25">
      <c r="A263" s="37">
        <f>Données!A257</f>
        <v>5857</v>
      </c>
      <c r="B263" s="373" t="str">
        <f>Données!B257</f>
        <v>Gilly</v>
      </c>
      <c r="C263" s="30">
        <f>VPI!R257</f>
        <v>96678.753643410862</v>
      </c>
      <c r="D263" s="7">
        <f>Données!N257</f>
        <v>87820.800000000003</v>
      </c>
      <c r="E263" s="158">
        <f>Données!O257+Données!P257+Données!R257</f>
        <v>421538.15</v>
      </c>
      <c r="F263" s="349">
        <f t="shared" si="9"/>
        <v>237115.315</v>
      </c>
      <c r="G263" s="349">
        <f>Ecrêtage!M257</f>
        <v>384649.95897443499</v>
      </c>
      <c r="H263" s="350">
        <f t="shared" si="10"/>
        <v>1067587.7726330792</v>
      </c>
      <c r="I263" s="222">
        <f t="shared" si="11"/>
        <v>1689353.0466075141</v>
      </c>
    </row>
    <row r="264" spans="1:9" s="34" customFormat="1" x14ac:dyDescent="0.25">
      <c r="A264" s="37">
        <f>Données!A258</f>
        <v>5858</v>
      </c>
      <c r="B264" s="373" t="str">
        <f>Données!B258</f>
        <v>Luins</v>
      </c>
      <c r="C264" s="30">
        <f>VPI!R258</f>
        <v>41203.097378917373</v>
      </c>
      <c r="D264" s="7">
        <f>Données!N258</f>
        <v>7004.8</v>
      </c>
      <c r="E264" s="158">
        <f>Données!O258+Données!P258+Données!R258</f>
        <v>72085.5</v>
      </c>
      <c r="F264" s="349">
        <f t="shared" si="9"/>
        <v>38144.19</v>
      </c>
      <c r="G264" s="349">
        <f>Ecrêtage!M258</f>
        <v>127294.54839420102</v>
      </c>
      <c r="H264" s="350">
        <f t="shared" si="10"/>
        <v>454990.58788642404</v>
      </c>
      <c r="I264" s="222">
        <f t="shared" si="11"/>
        <v>620429.32628062507</v>
      </c>
    </row>
    <row r="265" spans="1:9" s="34" customFormat="1" x14ac:dyDescent="0.25">
      <c r="A265" s="37">
        <f>Données!A259</f>
        <v>5859</v>
      </c>
      <c r="B265" s="373" t="str">
        <f>Données!B259</f>
        <v>Mont-sur-Rolle</v>
      </c>
      <c r="C265" s="30">
        <f>VPI!R259</f>
        <v>175152.20519685047</v>
      </c>
      <c r="D265" s="7">
        <f>Données!N259</f>
        <v>86160.35</v>
      </c>
      <c r="E265" s="158">
        <f>Données!O259+Données!P259+Données!R259</f>
        <v>1165230.3500000001</v>
      </c>
      <c r="F265" s="349">
        <f t="shared" si="9"/>
        <v>608463.28</v>
      </c>
      <c r="G265" s="349">
        <f>Ecrêtage!M259</f>
        <v>545596.3654165871</v>
      </c>
      <c r="H265" s="350">
        <f t="shared" si="10"/>
        <v>1934141.1175776154</v>
      </c>
      <c r="I265" s="222">
        <f t="shared" si="11"/>
        <v>3088200.7629942028</v>
      </c>
    </row>
    <row r="266" spans="1:9" s="34" customFormat="1" x14ac:dyDescent="0.25">
      <c r="A266" s="37">
        <f>Données!A260</f>
        <v>5860</v>
      </c>
      <c r="B266" s="373" t="str">
        <f>Données!B260</f>
        <v>Perroy</v>
      </c>
      <c r="C266" s="30">
        <f>VPI!R260</f>
        <v>114833.15061143985</v>
      </c>
      <c r="D266" s="7">
        <f>Données!N260</f>
        <v>40716.400000000001</v>
      </c>
      <c r="E266" s="158">
        <f>Données!O260+Données!P260+Données!R260</f>
        <v>523453.60000000003</v>
      </c>
      <c r="F266" s="349">
        <f t="shared" si="9"/>
        <v>273941.72000000003</v>
      </c>
      <c r="G266" s="349">
        <f>Ecrêtage!M260</f>
        <v>529981.35486026923</v>
      </c>
      <c r="H266" s="350">
        <f t="shared" si="10"/>
        <v>1268060.0738594795</v>
      </c>
      <c r="I266" s="222">
        <f t="shared" si="11"/>
        <v>2071983.1487197487</v>
      </c>
    </row>
    <row r="267" spans="1:9" s="34" customFormat="1" x14ac:dyDescent="0.25">
      <c r="A267" s="37">
        <f>Données!A261</f>
        <v>5861</v>
      </c>
      <c r="B267" s="373" t="str">
        <f>Données!B261</f>
        <v>Rolle</v>
      </c>
      <c r="C267" s="30">
        <f>VPI!R261</f>
        <v>1001631.7391596638</v>
      </c>
      <c r="D267" s="7">
        <f>Données!N261</f>
        <v>582526.80000000005</v>
      </c>
      <c r="E267" s="158">
        <f>Données!O261+Données!P261+Données!R261</f>
        <v>2503539.7999999998</v>
      </c>
      <c r="F267" s="349">
        <f t="shared" si="9"/>
        <v>1426527.94</v>
      </c>
      <c r="G267" s="349">
        <f>Ecrêtage!M261</f>
        <v>16907146.573011186</v>
      </c>
      <c r="H267" s="350">
        <f t="shared" si="10"/>
        <v>11060649.388925413</v>
      </c>
      <c r="I267" s="222">
        <f t="shared" si="11"/>
        <v>29394323.901936598</v>
      </c>
    </row>
    <row r="268" spans="1:9" s="34" customFormat="1" x14ac:dyDescent="0.25">
      <c r="A268" s="37">
        <f>Données!A262</f>
        <v>5862</v>
      </c>
      <c r="B268" s="373" t="str">
        <f>Données!B262</f>
        <v>Tartegnin</v>
      </c>
      <c r="C268" s="30">
        <f>VPI!R262</f>
        <v>12378.270379746835</v>
      </c>
      <c r="D268" s="7">
        <f>Données!N262</f>
        <v>10598.85</v>
      </c>
      <c r="E268" s="158">
        <f>Données!O262+Données!P262+Données!R262</f>
        <v>27653.599999999999</v>
      </c>
      <c r="F268" s="349">
        <f t="shared" si="9"/>
        <v>17006.454999999998</v>
      </c>
      <c r="G268" s="349">
        <f>Ecrêtage!M262</f>
        <v>7686.6547079017937</v>
      </c>
      <c r="H268" s="350">
        <f t="shared" si="10"/>
        <v>136688.66845869401</v>
      </c>
      <c r="I268" s="222">
        <f t="shared" si="11"/>
        <v>161381.77816659579</v>
      </c>
    </row>
    <row r="269" spans="1:9" s="34" customFormat="1" x14ac:dyDescent="0.25">
      <c r="A269" s="37">
        <f>Données!A263</f>
        <v>5863</v>
      </c>
      <c r="B269" s="373" t="str">
        <f>Données!B263</f>
        <v>Vinzel</v>
      </c>
      <c r="C269" s="30">
        <f>VPI!R263</f>
        <v>20119.523999999998</v>
      </c>
      <c r="D269" s="7">
        <f>Données!N263</f>
        <v>20613.25</v>
      </c>
      <c r="E269" s="158">
        <f>Données!O263+Données!P263+Données!R263</f>
        <v>103185.85</v>
      </c>
      <c r="F269" s="349">
        <f t="shared" ref="F269:F311" si="12">D269*$D$11+E269*$E$11</f>
        <v>57776.9</v>
      </c>
      <c r="G269" s="349">
        <f>Ecrêtage!M263</f>
        <v>10177.714511289698</v>
      </c>
      <c r="H269" s="350">
        <f t="shared" ref="H269:H311" si="13">$H$11*C269</f>
        <v>222172.47331116896</v>
      </c>
      <c r="I269" s="222">
        <f t="shared" ref="I269:I311" si="14">F269+H269+G269</f>
        <v>290127.08782245871</v>
      </c>
    </row>
    <row r="270" spans="1:9" s="34" customFormat="1" x14ac:dyDescent="0.25">
      <c r="A270" s="37">
        <f>Données!A264</f>
        <v>5871</v>
      </c>
      <c r="B270" s="373" t="str">
        <f>Données!B264</f>
        <v>L'Abbaye</v>
      </c>
      <c r="C270" s="30">
        <f>VPI!R264</f>
        <v>50137.027069032512</v>
      </c>
      <c r="D270" s="7">
        <f>Données!N264</f>
        <v>701183.25</v>
      </c>
      <c r="E270" s="158">
        <f>Données!O264+Données!P264+Données!R264</f>
        <v>295236.55</v>
      </c>
      <c r="F270" s="349">
        <f t="shared" si="12"/>
        <v>357973.25</v>
      </c>
      <c r="G270" s="349">
        <f>Ecrêtage!M264</f>
        <v>0</v>
      </c>
      <c r="H270" s="350">
        <f t="shared" si="13"/>
        <v>553644.67411833315</v>
      </c>
      <c r="I270" s="222">
        <f t="shared" si="14"/>
        <v>911617.92411833315</v>
      </c>
    </row>
    <row r="271" spans="1:9" s="34" customFormat="1" x14ac:dyDescent="0.25">
      <c r="A271" s="37">
        <f>Données!A265</f>
        <v>5872</v>
      </c>
      <c r="B271" s="373" t="str">
        <f>Données!B265</f>
        <v>Le Chenit</v>
      </c>
      <c r="C271" s="30">
        <f>VPI!R265</f>
        <v>359580.06573194644</v>
      </c>
      <c r="D271" s="7">
        <f>Données!N265</f>
        <v>6670500.4500000002</v>
      </c>
      <c r="E271" s="158">
        <f>Données!O265+Données!P265+Données!R265</f>
        <v>894353.14999999991</v>
      </c>
      <c r="F271" s="349">
        <f t="shared" si="12"/>
        <v>2448326.71</v>
      </c>
      <c r="G271" s="349">
        <f>Ecrêtage!M265</f>
        <v>2125833.9013634315</v>
      </c>
      <c r="H271" s="350">
        <f t="shared" si="13"/>
        <v>3970709.8715187926</v>
      </c>
      <c r="I271" s="222">
        <f t="shared" si="14"/>
        <v>8544870.482882224</v>
      </c>
    </row>
    <row r="272" spans="1:9" s="34" customFormat="1" x14ac:dyDescent="0.25">
      <c r="A272" s="37">
        <f>Données!A266</f>
        <v>5873</v>
      </c>
      <c r="B272" s="373" t="str">
        <f>Données!B266</f>
        <v>Le Lieu</v>
      </c>
      <c r="C272" s="30">
        <f>VPI!R266</f>
        <v>31550.524000000001</v>
      </c>
      <c r="D272" s="7">
        <f>Données!N266</f>
        <v>1193711.25</v>
      </c>
      <c r="E272" s="158">
        <f>Données!O266+Données!P266+Données!R266</f>
        <v>187879.45</v>
      </c>
      <c r="F272" s="349">
        <f t="shared" si="12"/>
        <v>452053.1</v>
      </c>
      <c r="G272" s="349">
        <f>Ecrêtage!M266</f>
        <v>0</v>
      </c>
      <c r="H272" s="350">
        <f t="shared" si="13"/>
        <v>348400.78479706566</v>
      </c>
      <c r="I272" s="222">
        <f t="shared" si="14"/>
        <v>800453.88479706564</v>
      </c>
    </row>
    <row r="273" spans="1:9" s="34" customFormat="1" x14ac:dyDescent="0.25">
      <c r="A273" s="37">
        <f>Données!A267</f>
        <v>5882</v>
      </c>
      <c r="B273" s="373" t="str">
        <f>Données!B267</f>
        <v>Chardonne</v>
      </c>
      <c r="C273" s="30">
        <f>VPI!R267</f>
        <v>202050.46544117649</v>
      </c>
      <c r="D273" s="7">
        <f>Données!N267</f>
        <v>17427</v>
      </c>
      <c r="E273" s="158">
        <f>Données!O267+Données!P267+Données!R267</f>
        <v>1339767.8500000001</v>
      </c>
      <c r="F273" s="349">
        <f t="shared" si="12"/>
        <v>675112.02500000002</v>
      </c>
      <c r="G273" s="349">
        <f>Ecrêtage!M267</f>
        <v>490421.7105190861</v>
      </c>
      <c r="H273" s="350">
        <f t="shared" si="13"/>
        <v>2231168.6718204198</v>
      </c>
      <c r="I273" s="222">
        <f t="shared" si="14"/>
        <v>3396702.4073395059</v>
      </c>
    </row>
    <row r="274" spans="1:9" s="34" customFormat="1" x14ac:dyDescent="0.25">
      <c r="A274" s="37">
        <f>Données!A268</f>
        <v>5883</v>
      </c>
      <c r="B274" s="373" t="str">
        <f>Données!B268</f>
        <v>Corseaux</v>
      </c>
      <c r="C274" s="30">
        <f>VPI!R268</f>
        <v>187748.47585185184</v>
      </c>
      <c r="D274" s="7">
        <f>Données!N268</f>
        <v>6678.2</v>
      </c>
      <c r="E274" s="158">
        <f>Données!O268+Données!P268+Données!R268</f>
        <v>1002640.55</v>
      </c>
      <c r="F274" s="349">
        <f t="shared" si="12"/>
        <v>503323.73500000004</v>
      </c>
      <c r="G274" s="349">
        <f>Ecrêtage!M268</f>
        <v>1388482.6820787692</v>
      </c>
      <c r="H274" s="350">
        <f t="shared" si="13"/>
        <v>2073237.08256757</v>
      </c>
      <c r="I274" s="222">
        <f t="shared" si="14"/>
        <v>3965043.4996463396</v>
      </c>
    </row>
    <row r="275" spans="1:9" s="34" customFormat="1" x14ac:dyDescent="0.25">
      <c r="A275" s="37">
        <f>Données!A269</f>
        <v>5884</v>
      </c>
      <c r="B275" s="373" t="str">
        <f>Données!B269</f>
        <v>Corsier-sur-Vevey</v>
      </c>
      <c r="C275" s="30">
        <f>VPI!R269</f>
        <v>160309.28653746771</v>
      </c>
      <c r="D275" s="7">
        <f>Données!N269</f>
        <v>621863.85</v>
      </c>
      <c r="E275" s="158">
        <f>Données!O269+Données!P269+Données!R269</f>
        <v>826866.25</v>
      </c>
      <c r="F275" s="349">
        <f t="shared" si="12"/>
        <v>599992.28</v>
      </c>
      <c r="G275" s="349">
        <f>Ecrêtage!M269</f>
        <v>0</v>
      </c>
      <c r="H275" s="350">
        <f t="shared" si="13"/>
        <v>1770236.2483713874</v>
      </c>
      <c r="I275" s="222">
        <f t="shared" si="14"/>
        <v>2370228.5283713872</v>
      </c>
    </row>
    <row r="276" spans="1:9" s="34" customFormat="1" x14ac:dyDescent="0.25">
      <c r="A276" s="37">
        <f>Données!A270</f>
        <v>5885</v>
      </c>
      <c r="B276" s="373" t="str">
        <f>Données!B270</f>
        <v>Jongny</v>
      </c>
      <c r="C276" s="30">
        <f>VPI!R270</f>
        <v>105153.24390887292</v>
      </c>
      <c r="D276" s="7">
        <f>Données!N270</f>
        <v>7430.95</v>
      </c>
      <c r="E276" s="158">
        <f>Données!O270+Données!P270+Données!R270</f>
        <v>638752.65</v>
      </c>
      <c r="F276" s="349">
        <f t="shared" si="12"/>
        <v>321605.61</v>
      </c>
      <c r="G276" s="349">
        <f>Ecrêtage!M270</f>
        <v>127458.07333198337</v>
      </c>
      <c r="H276" s="350">
        <f t="shared" si="13"/>
        <v>1161168.4389713649</v>
      </c>
      <c r="I276" s="222">
        <f t="shared" si="14"/>
        <v>1610232.122303348</v>
      </c>
    </row>
    <row r="277" spans="1:9" s="34" customFormat="1" x14ac:dyDescent="0.25">
      <c r="A277" s="37">
        <f>Données!A271</f>
        <v>5886</v>
      </c>
      <c r="B277" s="373" t="str">
        <f>Données!B271</f>
        <v>Montreux</v>
      </c>
      <c r="C277" s="30">
        <f>VPI!R271</f>
        <v>1120945.0450256411</v>
      </c>
      <c r="D277" s="7">
        <f>Données!N271</f>
        <v>1416315.25</v>
      </c>
      <c r="E277" s="158">
        <f>Données!O271+Données!P271+Données!R271</f>
        <v>32163004.850000001</v>
      </c>
      <c r="F277" s="349">
        <f t="shared" si="12"/>
        <v>16506397</v>
      </c>
      <c r="G277" s="349">
        <f>Ecrêtage!M271</f>
        <v>0</v>
      </c>
      <c r="H277" s="350">
        <f t="shared" si="13"/>
        <v>12378182.162721463</v>
      </c>
      <c r="I277" s="222">
        <f t="shared" si="14"/>
        <v>28884579.162721463</v>
      </c>
    </row>
    <row r="278" spans="1:9" s="34" customFormat="1" x14ac:dyDescent="0.25">
      <c r="A278" s="37">
        <f>Données!A272</f>
        <v>5889</v>
      </c>
      <c r="B278" s="373" t="str">
        <f>Données!B272</f>
        <v>La Tour-de-Peilz</v>
      </c>
      <c r="C278" s="30">
        <f>VPI!R272</f>
        <v>728841.71013020864</v>
      </c>
      <c r="D278" s="7">
        <f>Données!N272</f>
        <v>60579.05</v>
      </c>
      <c r="E278" s="158">
        <f>Données!O272+Données!P272+Données!R272</f>
        <v>7363570.25</v>
      </c>
      <c r="F278" s="349">
        <f t="shared" si="12"/>
        <v>3699958.84</v>
      </c>
      <c r="G278" s="349">
        <f>Ecrêtage!M272</f>
        <v>1135162.5239094549</v>
      </c>
      <c r="H278" s="350">
        <f t="shared" si="13"/>
        <v>8048329.8408039147</v>
      </c>
      <c r="I278" s="222">
        <f t="shared" si="14"/>
        <v>12883451.204713369</v>
      </c>
    </row>
    <row r="279" spans="1:9" s="34" customFormat="1" x14ac:dyDescent="0.25">
      <c r="A279" s="37">
        <f>Données!A273</f>
        <v>5890</v>
      </c>
      <c r="B279" s="373" t="str">
        <f>Données!B273</f>
        <v>Vevey</v>
      </c>
      <c r="C279" s="30">
        <f>VPI!R273</f>
        <v>1064325.313736018</v>
      </c>
      <c r="D279" s="7">
        <f>Données!N273</f>
        <v>944752.85</v>
      </c>
      <c r="E279" s="158">
        <f>Données!O273+Données!P273+Données!R273</f>
        <v>4093511.7</v>
      </c>
      <c r="F279" s="349">
        <f t="shared" si="12"/>
        <v>2330181.7050000001</v>
      </c>
      <c r="G279" s="349">
        <f>Ecrêtage!M273</f>
        <v>860053.09513723105</v>
      </c>
      <c r="H279" s="350">
        <f t="shared" si="13"/>
        <v>11752951.379983792</v>
      </c>
      <c r="I279" s="222">
        <f t="shared" si="14"/>
        <v>14943186.180121023</v>
      </c>
    </row>
    <row r="280" spans="1:9" s="34" customFormat="1" x14ac:dyDescent="0.25">
      <c r="A280" s="37">
        <f>Données!A274</f>
        <v>5891</v>
      </c>
      <c r="B280" s="373" t="str">
        <f>Données!B274</f>
        <v>Veytaux</v>
      </c>
      <c r="C280" s="30">
        <f>VPI!R274</f>
        <v>41068.156987654322</v>
      </c>
      <c r="D280" s="7">
        <f>Données!N274</f>
        <v>17190.900000000001</v>
      </c>
      <c r="E280" s="158">
        <f>Données!O274+Données!P274+Données!R274</f>
        <v>263572.09999999998</v>
      </c>
      <c r="F280" s="349">
        <f t="shared" si="12"/>
        <v>136943.31999999998</v>
      </c>
      <c r="G280" s="349">
        <f>Ecrêtage!M274</f>
        <v>0</v>
      </c>
      <c r="H280" s="350">
        <f t="shared" si="13"/>
        <v>453500.49097973335</v>
      </c>
      <c r="I280" s="222">
        <f t="shared" si="14"/>
        <v>590443.81097973336</v>
      </c>
    </row>
    <row r="281" spans="1:9" s="34" customFormat="1" x14ac:dyDescent="0.25">
      <c r="A281" s="37">
        <f>Données!A275</f>
        <v>5892</v>
      </c>
      <c r="B281" s="373" t="str">
        <f>Données!B275</f>
        <v>Blonay - Saint-Légier</v>
      </c>
      <c r="C281" s="30">
        <f>VPI!R275</f>
        <v>755904.99576642353</v>
      </c>
      <c r="D281" s="7">
        <f>Données!N275</f>
        <v>335219.55</v>
      </c>
      <c r="E281" s="158">
        <f>Données!O275+Données!P275+Données!R275</f>
        <v>7030161.3500000006</v>
      </c>
      <c r="F281" s="349">
        <f t="shared" si="12"/>
        <v>3615646.54</v>
      </c>
      <c r="G281" s="349">
        <f>Ecrêtage!M275</f>
        <v>1883842.7650076824</v>
      </c>
      <c r="H281" s="350">
        <f t="shared" si="13"/>
        <v>8347179.7095048092</v>
      </c>
      <c r="I281" s="222">
        <f t="shared" si="14"/>
        <v>13846669.01451249</v>
      </c>
    </row>
    <row r="282" spans="1:9" s="34" customFormat="1" x14ac:dyDescent="0.25">
      <c r="A282" s="37">
        <f>Données!A276</f>
        <v>5902</v>
      </c>
      <c r="B282" s="373" t="str">
        <f>Données!B276</f>
        <v>Belmont-sur-Yverdon</v>
      </c>
      <c r="C282" s="30">
        <f>VPI!R276</f>
        <v>12357.530428571426</v>
      </c>
      <c r="D282" s="7">
        <f>Données!N276</f>
        <v>0</v>
      </c>
      <c r="E282" s="158">
        <f>Données!O276+Données!P276+Données!R276</f>
        <v>28887.1</v>
      </c>
      <c r="F282" s="349">
        <f t="shared" si="12"/>
        <v>14443.55</v>
      </c>
      <c r="G282" s="349">
        <f>Ecrêtage!M276</f>
        <v>0</v>
      </c>
      <c r="H282" s="350">
        <f t="shared" si="13"/>
        <v>136459.64483721106</v>
      </c>
      <c r="I282" s="222">
        <f t="shared" si="14"/>
        <v>150903.19483721105</v>
      </c>
    </row>
    <row r="283" spans="1:9" s="34" customFormat="1" x14ac:dyDescent="0.25">
      <c r="A283" s="37">
        <f>Données!A277</f>
        <v>5903</v>
      </c>
      <c r="B283" s="373" t="str">
        <f>Données!B277</f>
        <v>Bioley-Magnoux</v>
      </c>
      <c r="C283" s="30">
        <f>VPI!R277</f>
        <v>7020.1331746031747</v>
      </c>
      <c r="D283" s="7">
        <f>Données!N277</f>
        <v>37005.75</v>
      </c>
      <c r="E283" s="158">
        <f>Données!O277+Données!P277+Données!R277</f>
        <v>37080.449999999997</v>
      </c>
      <c r="F283" s="349">
        <f t="shared" si="12"/>
        <v>29641.949999999997</v>
      </c>
      <c r="G283" s="349">
        <f>Ecrêtage!M277</f>
        <v>0</v>
      </c>
      <c r="H283" s="350">
        <f t="shared" si="13"/>
        <v>77520.738083832199</v>
      </c>
      <c r="I283" s="222">
        <f t="shared" si="14"/>
        <v>107162.6880838322</v>
      </c>
    </row>
    <row r="284" spans="1:9" s="34" customFormat="1" x14ac:dyDescent="0.25">
      <c r="A284" s="37">
        <f>Données!A278</f>
        <v>5904</v>
      </c>
      <c r="B284" s="373" t="str">
        <f>Données!B278</f>
        <v>Chamblon</v>
      </c>
      <c r="C284" s="30">
        <f>VPI!R278</f>
        <v>17094.436818181817</v>
      </c>
      <c r="D284" s="7">
        <f>Données!N278</f>
        <v>55701</v>
      </c>
      <c r="E284" s="158">
        <f>Données!O278+Données!P278+Données!R278</f>
        <v>82199.350000000006</v>
      </c>
      <c r="F284" s="349">
        <f t="shared" si="12"/>
        <v>57809.975000000006</v>
      </c>
      <c r="G284" s="349">
        <f>Ecrêtage!M278</f>
        <v>0</v>
      </c>
      <c r="H284" s="350">
        <f t="shared" si="13"/>
        <v>188767.5527391684</v>
      </c>
      <c r="I284" s="222">
        <f t="shared" si="14"/>
        <v>246577.52773916841</v>
      </c>
    </row>
    <row r="285" spans="1:9" s="34" customFormat="1" x14ac:dyDescent="0.25">
      <c r="A285" s="37">
        <f>Données!A279</f>
        <v>5905</v>
      </c>
      <c r="B285" s="373" t="str">
        <f>Données!B279</f>
        <v>Champvent</v>
      </c>
      <c r="C285" s="30">
        <f>VPI!R279</f>
        <v>21074.306571428569</v>
      </c>
      <c r="D285" s="7">
        <f>Données!N279</f>
        <v>185925.25</v>
      </c>
      <c r="E285" s="158">
        <f>Données!O279+Données!P279+Données!R279</f>
        <v>91933.65</v>
      </c>
      <c r="F285" s="349">
        <f t="shared" si="12"/>
        <v>101744.4</v>
      </c>
      <c r="G285" s="349">
        <f>Ecrêtage!M279</f>
        <v>0</v>
      </c>
      <c r="H285" s="350">
        <f t="shared" si="13"/>
        <v>232715.78464242531</v>
      </c>
      <c r="I285" s="222">
        <f t="shared" si="14"/>
        <v>334460.18464242527</v>
      </c>
    </row>
    <row r="286" spans="1:9" s="34" customFormat="1" x14ac:dyDescent="0.25">
      <c r="A286" s="37">
        <f>Données!A280</f>
        <v>5907</v>
      </c>
      <c r="B286" s="373" t="str">
        <f>Données!B280</f>
        <v>Chavannes-le-Chêne</v>
      </c>
      <c r="C286" s="30">
        <f>VPI!R280</f>
        <v>7797.3521333333319</v>
      </c>
      <c r="D286" s="7">
        <f>Données!N280</f>
        <v>4344.3999999999996</v>
      </c>
      <c r="E286" s="158">
        <f>Données!O280+Données!P280+Données!R280</f>
        <v>27585.05</v>
      </c>
      <c r="F286" s="349">
        <f t="shared" si="12"/>
        <v>15095.844999999999</v>
      </c>
      <c r="G286" s="349">
        <f>Ecrêtage!M280</f>
        <v>0</v>
      </c>
      <c r="H286" s="350">
        <f t="shared" si="13"/>
        <v>86103.280015013588</v>
      </c>
      <c r="I286" s="222">
        <f t="shared" si="14"/>
        <v>101199.12501501359</v>
      </c>
    </row>
    <row r="287" spans="1:9" s="34" customFormat="1" x14ac:dyDescent="0.25">
      <c r="A287" s="37">
        <f>Données!A281</f>
        <v>5908</v>
      </c>
      <c r="B287" s="373" t="str">
        <f>Données!B281</f>
        <v>Chêne-Pâquier</v>
      </c>
      <c r="C287" s="30">
        <f>VPI!R281</f>
        <v>5664.0389333333333</v>
      </c>
      <c r="D287" s="7">
        <f>Données!N281</f>
        <v>0</v>
      </c>
      <c r="E287" s="158">
        <f>Données!O281+Données!P281+Données!R281</f>
        <v>44807.899999999994</v>
      </c>
      <c r="F287" s="349">
        <f t="shared" si="12"/>
        <v>22403.949999999997</v>
      </c>
      <c r="G287" s="349">
        <f>Ecrêtage!M281</f>
        <v>0</v>
      </c>
      <c r="H287" s="350">
        <f t="shared" si="13"/>
        <v>62545.890188526435</v>
      </c>
      <c r="I287" s="222">
        <f t="shared" si="14"/>
        <v>84949.840188526432</v>
      </c>
    </row>
    <row r="288" spans="1:9" s="34" customFormat="1" x14ac:dyDescent="0.25">
      <c r="A288" s="37">
        <f>Données!A282</f>
        <v>5909</v>
      </c>
      <c r="B288" s="373" t="str">
        <f>Données!B282</f>
        <v>Cheseaux-Noréaz</v>
      </c>
      <c r="C288" s="30">
        <f>VPI!R282</f>
        <v>31504.478358208951</v>
      </c>
      <c r="D288" s="7">
        <f>Données!N282</f>
        <v>6293.85</v>
      </c>
      <c r="E288" s="158">
        <f>Données!O282+Données!P282+Données!R282</f>
        <v>441917.05</v>
      </c>
      <c r="F288" s="349">
        <f t="shared" si="12"/>
        <v>222846.68</v>
      </c>
      <c r="G288" s="349">
        <f>Ecrêtage!M282</f>
        <v>0</v>
      </c>
      <c r="H288" s="350">
        <f t="shared" si="13"/>
        <v>347892.31977960706</v>
      </c>
      <c r="I288" s="222">
        <f t="shared" si="14"/>
        <v>570738.99977960705</v>
      </c>
    </row>
    <row r="289" spans="1:9" s="34" customFormat="1" x14ac:dyDescent="0.25">
      <c r="A289" s="37">
        <f>Données!A283</f>
        <v>5910</v>
      </c>
      <c r="B289" s="373" t="str">
        <f>Données!B283</f>
        <v>Cronay</v>
      </c>
      <c r="C289" s="30">
        <f>VPI!R283</f>
        <v>11511.156533333333</v>
      </c>
      <c r="D289" s="7">
        <f>Données!N283</f>
        <v>4807.75</v>
      </c>
      <c r="E289" s="158">
        <f>Données!O283+Données!P283+Données!R283</f>
        <v>8603.25</v>
      </c>
      <c r="F289" s="349">
        <f t="shared" si="12"/>
        <v>5743.95</v>
      </c>
      <c r="G289" s="349">
        <f>Ecrêtage!M283</f>
        <v>0</v>
      </c>
      <c r="H289" s="350">
        <f t="shared" si="13"/>
        <v>127113.45048136768</v>
      </c>
      <c r="I289" s="222">
        <f t="shared" si="14"/>
        <v>132857.40048136769</v>
      </c>
    </row>
    <row r="290" spans="1:9" s="34" customFormat="1" x14ac:dyDescent="0.25">
      <c r="A290" s="37">
        <f>Données!A284</f>
        <v>5911</v>
      </c>
      <c r="B290" s="373" t="str">
        <f>Données!B284</f>
        <v>Cuarny</v>
      </c>
      <c r="C290" s="30">
        <f>VPI!R284</f>
        <v>7072.9457142857154</v>
      </c>
      <c r="D290" s="7">
        <f>Données!N284</f>
        <v>0</v>
      </c>
      <c r="E290" s="158">
        <f>Données!O284+Données!P284+Données!R284</f>
        <v>500064.50000000006</v>
      </c>
      <c r="F290" s="349">
        <f t="shared" si="12"/>
        <v>250032.25000000003</v>
      </c>
      <c r="G290" s="349">
        <f>Ecrêtage!M284</f>
        <v>0</v>
      </c>
      <c r="H290" s="350">
        <f t="shared" si="13"/>
        <v>78103.927455663972</v>
      </c>
      <c r="I290" s="222">
        <f t="shared" si="14"/>
        <v>328136.17745566403</v>
      </c>
    </row>
    <row r="291" spans="1:9" s="34" customFormat="1" x14ac:dyDescent="0.25">
      <c r="A291" s="37">
        <f>Données!A285</f>
        <v>5912</v>
      </c>
      <c r="B291" s="373" t="str">
        <f>Données!B285</f>
        <v>Démoret</v>
      </c>
      <c r="C291" s="30">
        <f>VPI!R285</f>
        <v>4054.1132051282052</v>
      </c>
      <c r="D291" s="7">
        <f>Données!N285</f>
        <v>0</v>
      </c>
      <c r="E291" s="158">
        <f>Données!O285+Données!P285+Données!R285</f>
        <v>17437.25</v>
      </c>
      <c r="F291" s="349">
        <f t="shared" si="12"/>
        <v>8718.625</v>
      </c>
      <c r="G291" s="349">
        <f>Ecrêtage!M285</f>
        <v>0</v>
      </c>
      <c r="H291" s="350">
        <f t="shared" si="13"/>
        <v>44768.074923979511</v>
      </c>
      <c r="I291" s="222">
        <f t="shared" si="14"/>
        <v>53486.699923979511</v>
      </c>
    </row>
    <row r="292" spans="1:9" s="34" customFormat="1" x14ac:dyDescent="0.25">
      <c r="A292" s="37">
        <f>Données!A286</f>
        <v>5913</v>
      </c>
      <c r="B292" s="373" t="str">
        <f>Données!B286</f>
        <v>Donneloye</v>
      </c>
      <c r="C292" s="30">
        <f>VPI!R286</f>
        <v>21866.794931506847</v>
      </c>
      <c r="D292" s="7">
        <f>Données!N286</f>
        <v>14596.95</v>
      </c>
      <c r="E292" s="158">
        <f>Données!O286+Données!P286+Données!R286</f>
        <v>157761.79999999999</v>
      </c>
      <c r="F292" s="349">
        <f t="shared" si="12"/>
        <v>83259.985000000001</v>
      </c>
      <c r="G292" s="349">
        <f>Ecrêtage!M286</f>
        <v>0</v>
      </c>
      <c r="H292" s="350">
        <f t="shared" si="13"/>
        <v>241466.94093364288</v>
      </c>
      <c r="I292" s="222">
        <f t="shared" si="14"/>
        <v>324726.92593364289</v>
      </c>
    </row>
    <row r="293" spans="1:9" s="34" customFormat="1" x14ac:dyDescent="0.25">
      <c r="A293" s="37">
        <f>Données!A287</f>
        <v>5914</v>
      </c>
      <c r="B293" s="373" t="str">
        <f>Données!B287</f>
        <v>Ependes</v>
      </c>
      <c r="C293" s="30">
        <f>VPI!R287</f>
        <v>10606.318639455782</v>
      </c>
      <c r="D293" s="7">
        <f>Données!N287</f>
        <v>30054.1</v>
      </c>
      <c r="E293" s="158">
        <f>Données!O287+Données!P287+Données!R287</f>
        <v>32110.5</v>
      </c>
      <c r="F293" s="349">
        <f t="shared" si="12"/>
        <v>25071.48</v>
      </c>
      <c r="G293" s="349">
        <f>Ecrêtage!M287</f>
        <v>0</v>
      </c>
      <c r="H293" s="350">
        <f t="shared" si="13"/>
        <v>117121.65977953772</v>
      </c>
      <c r="I293" s="222">
        <f t="shared" si="14"/>
        <v>142193.13977953771</v>
      </c>
    </row>
    <row r="294" spans="1:9" s="34" customFormat="1" x14ac:dyDescent="0.25">
      <c r="A294" s="37">
        <f>Données!A288</f>
        <v>5919</v>
      </c>
      <c r="B294" s="373" t="str">
        <f>Données!B288</f>
        <v>Mathod</v>
      </c>
      <c r="C294" s="30">
        <f>VPI!R288</f>
        <v>21430.97550925926</v>
      </c>
      <c r="D294" s="7">
        <f>Données!N288</f>
        <v>46399.1</v>
      </c>
      <c r="E294" s="158">
        <f>Données!O288+Données!P288+Données!R288</f>
        <v>147437</v>
      </c>
      <c r="F294" s="349">
        <f t="shared" si="12"/>
        <v>87638.23</v>
      </c>
      <c r="G294" s="349">
        <f>Ecrêtage!M288</f>
        <v>0</v>
      </c>
      <c r="H294" s="350">
        <f t="shared" si="13"/>
        <v>236654.34800362174</v>
      </c>
      <c r="I294" s="222">
        <f t="shared" si="14"/>
        <v>324292.57800362172</v>
      </c>
    </row>
    <row r="295" spans="1:9" s="34" customFormat="1" x14ac:dyDescent="0.25">
      <c r="A295" s="37">
        <f>Données!A289</f>
        <v>5921</v>
      </c>
      <c r="B295" s="373" t="str">
        <f>Données!B289</f>
        <v>Molondin</v>
      </c>
      <c r="C295" s="30">
        <f>VPI!R289</f>
        <v>8425.9467901234584</v>
      </c>
      <c r="D295" s="7">
        <f>Données!N289</f>
        <v>9549.0499999999993</v>
      </c>
      <c r="E295" s="158">
        <f>Données!O289+Données!P289+Données!R289</f>
        <v>68180.75</v>
      </c>
      <c r="F295" s="349">
        <f t="shared" si="12"/>
        <v>36955.089999999997</v>
      </c>
      <c r="G295" s="349">
        <f>Ecrêtage!M289</f>
        <v>0</v>
      </c>
      <c r="H295" s="350">
        <f t="shared" si="13"/>
        <v>93044.618667421455</v>
      </c>
      <c r="I295" s="222">
        <f t="shared" si="14"/>
        <v>129999.70866742145</v>
      </c>
    </row>
    <row r="296" spans="1:9" s="34" customFormat="1" x14ac:dyDescent="0.25">
      <c r="A296" s="37">
        <f>Données!A290</f>
        <v>5922</v>
      </c>
      <c r="B296" s="373" t="str">
        <f>Données!B290</f>
        <v>Montagny-près-Yverdon</v>
      </c>
      <c r="C296" s="30">
        <f>VPI!R290</f>
        <v>40785.058217054269</v>
      </c>
      <c r="D296" s="7">
        <f>Données!N290</f>
        <v>441178.7</v>
      </c>
      <c r="E296" s="158">
        <f>Données!O290+Données!P290+Données!R290</f>
        <v>324238.69999999995</v>
      </c>
      <c r="F296" s="349">
        <f t="shared" si="12"/>
        <v>294472.95999999996</v>
      </c>
      <c r="G296" s="349">
        <f>Ecrêtage!M290</f>
        <v>21441.393734204874</v>
      </c>
      <c r="H296" s="350">
        <f t="shared" si="13"/>
        <v>450374.33580550732</v>
      </c>
      <c r="I296" s="222">
        <f t="shared" si="14"/>
        <v>766288.68953971216</v>
      </c>
    </row>
    <row r="297" spans="1:9" s="34" customFormat="1" x14ac:dyDescent="0.25">
      <c r="A297" s="37">
        <f>Données!A291</f>
        <v>5923</v>
      </c>
      <c r="B297" s="373" t="str">
        <f>Données!B291</f>
        <v>Oppens</v>
      </c>
      <c r="C297" s="30">
        <f>VPI!R291</f>
        <v>5683.6511392405064</v>
      </c>
      <c r="D297" s="7">
        <f>Données!N291</f>
        <v>27717.1</v>
      </c>
      <c r="E297" s="158">
        <f>Données!O291+Données!P291+Données!R291</f>
        <v>0</v>
      </c>
      <c r="F297" s="349">
        <f t="shared" si="12"/>
        <v>8315.1299999999992</v>
      </c>
      <c r="G297" s="349">
        <f>Ecrêtage!M291</f>
        <v>0</v>
      </c>
      <c r="H297" s="350">
        <f t="shared" si="13"/>
        <v>62762.460535493119</v>
      </c>
      <c r="I297" s="222">
        <f t="shared" si="14"/>
        <v>71077.590535493116</v>
      </c>
    </row>
    <row r="298" spans="1:9" s="34" customFormat="1" x14ac:dyDescent="0.25">
      <c r="A298" s="37">
        <f>Données!A292</f>
        <v>5924</v>
      </c>
      <c r="B298" s="373" t="str">
        <f>Données!B292</f>
        <v>Orges</v>
      </c>
      <c r="C298" s="30">
        <f>VPI!R292</f>
        <v>13265.35135135135</v>
      </c>
      <c r="D298" s="7">
        <f>Données!N292</f>
        <v>40700.550000000003</v>
      </c>
      <c r="E298" s="158">
        <f>Données!O292+Données!P292+Données!R292</f>
        <v>83785.75</v>
      </c>
      <c r="F298" s="349">
        <f t="shared" si="12"/>
        <v>54103.040000000001</v>
      </c>
      <c r="G298" s="349">
        <f>Ecrêtage!M292</f>
        <v>0</v>
      </c>
      <c r="H298" s="350">
        <f t="shared" si="13"/>
        <v>146484.37602556538</v>
      </c>
      <c r="I298" s="222">
        <f t="shared" si="14"/>
        <v>200587.41602556538</v>
      </c>
    </row>
    <row r="299" spans="1:9" s="34" customFormat="1" x14ac:dyDescent="0.25">
      <c r="A299" s="37">
        <f>Données!A293</f>
        <v>5925</v>
      </c>
      <c r="B299" s="373" t="str">
        <f>Données!B293</f>
        <v>Orzens</v>
      </c>
      <c r="C299" s="30">
        <f>VPI!R293</f>
        <v>5055.3741772151898</v>
      </c>
      <c r="D299" s="7">
        <f>Données!N293</f>
        <v>2336.9</v>
      </c>
      <c r="E299" s="158">
        <f>Données!O293+Données!P293+Données!R293</f>
        <v>35878.75</v>
      </c>
      <c r="F299" s="349">
        <f t="shared" si="12"/>
        <v>18640.445</v>
      </c>
      <c r="G299" s="349">
        <f>Ecrêtage!M293</f>
        <v>0</v>
      </c>
      <c r="H299" s="350">
        <f t="shared" si="13"/>
        <v>55824.630069047096</v>
      </c>
      <c r="I299" s="222">
        <f t="shared" si="14"/>
        <v>74465.075069047103</v>
      </c>
    </row>
    <row r="300" spans="1:9" s="34" customFormat="1" x14ac:dyDescent="0.25">
      <c r="A300" s="37">
        <f>Données!A294</f>
        <v>5926</v>
      </c>
      <c r="B300" s="373" t="str">
        <f>Données!B294</f>
        <v>Pomy</v>
      </c>
      <c r="C300" s="30">
        <f>VPI!R294</f>
        <v>26646.407887323945</v>
      </c>
      <c r="D300" s="7">
        <f>Données!N294</f>
        <v>28674.3</v>
      </c>
      <c r="E300" s="158">
        <f>Données!O294+Données!P294+Données!R294</f>
        <v>276447.59999999998</v>
      </c>
      <c r="F300" s="349">
        <f t="shared" si="12"/>
        <v>146826.09</v>
      </c>
      <c r="G300" s="349">
        <f>Ecrêtage!M294</f>
        <v>0</v>
      </c>
      <c r="H300" s="350">
        <f t="shared" si="13"/>
        <v>294246.44167451485</v>
      </c>
      <c r="I300" s="222">
        <f t="shared" si="14"/>
        <v>441072.53167451487</v>
      </c>
    </row>
    <row r="301" spans="1:9" s="34" customFormat="1" x14ac:dyDescent="0.25">
      <c r="A301" s="37">
        <f>Données!A295</f>
        <v>5928</v>
      </c>
      <c r="B301" s="373" t="str">
        <f>Données!B295</f>
        <v>Rovray</v>
      </c>
      <c r="C301" s="30">
        <f>VPI!R295</f>
        <v>5997.0809589041082</v>
      </c>
      <c r="D301" s="7">
        <f>Données!N295</f>
        <v>8628.0499999999993</v>
      </c>
      <c r="E301" s="158">
        <f>Données!O295+Données!P295+Données!R295</f>
        <v>25240.2</v>
      </c>
      <c r="F301" s="349">
        <f t="shared" si="12"/>
        <v>15208.514999999999</v>
      </c>
      <c r="G301" s="349">
        <f>Ecrêtage!M295</f>
        <v>0</v>
      </c>
      <c r="H301" s="350">
        <f t="shared" si="13"/>
        <v>66223.550283149976</v>
      </c>
      <c r="I301" s="222">
        <f t="shared" si="14"/>
        <v>81432.065283149976</v>
      </c>
    </row>
    <row r="302" spans="1:9" s="34" customFormat="1" x14ac:dyDescent="0.25">
      <c r="A302" s="37">
        <f>Données!A296</f>
        <v>5929</v>
      </c>
      <c r="B302" s="373" t="str">
        <f>Données!B296</f>
        <v>Suchy</v>
      </c>
      <c r="C302" s="30">
        <f>VPI!R296</f>
        <v>22958.537249999998</v>
      </c>
      <c r="D302" s="7">
        <f>Données!N296</f>
        <v>24185.65</v>
      </c>
      <c r="E302" s="158">
        <f>Données!O296+Données!P296+Données!R296</f>
        <v>150029</v>
      </c>
      <c r="F302" s="349">
        <f t="shared" si="12"/>
        <v>82270.195000000007</v>
      </c>
      <c r="G302" s="349">
        <f>Ecrêtage!M296</f>
        <v>0</v>
      </c>
      <c r="H302" s="350">
        <f t="shared" si="13"/>
        <v>253522.64817194999</v>
      </c>
      <c r="I302" s="222">
        <f t="shared" si="14"/>
        <v>335792.84317194996</v>
      </c>
    </row>
    <row r="303" spans="1:9" s="34" customFormat="1" x14ac:dyDescent="0.25">
      <c r="A303" s="37">
        <f>Données!A297</f>
        <v>5930</v>
      </c>
      <c r="B303" s="373" t="str">
        <f>Données!B297</f>
        <v>Suscévaz</v>
      </c>
      <c r="C303" s="30">
        <f>VPI!R297</f>
        <v>5123.1661111111116</v>
      </c>
      <c r="D303" s="7">
        <f>Données!N297</f>
        <v>0</v>
      </c>
      <c r="E303" s="158">
        <f>Données!O297+Données!P297+Données!R297</f>
        <v>32166.5</v>
      </c>
      <c r="F303" s="349">
        <f t="shared" si="12"/>
        <v>16083.25</v>
      </c>
      <c r="G303" s="349">
        <f>Ecrêtage!M297</f>
        <v>0</v>
      </c>
      <c r="H303" s="350">
        <f t="shared" si="13"/>
        <v>56573.231359226935</v>
      </c>
      <c r="I303" s="222">
        <f t="shared" si="14"/>
        <v>72656.481359226935</v>
      </c>
    </row>
    <row r="304" spans="1:9" s="34" customFormat="1" x14ac:dyDescent="0.25">
      <c r="A304" s="37">
        <f>Données!A298</f>
        <v>5931</v>
      </c>
      <c r="B304" s="373" t="str">
        <f>Données!B298</f>
        <v>Treycovagnes</v>
      </c>
      <c r="C304" s="30">
        <f>VPI!R298</f>
        <v>16489.594109589041</v>
      </c>
      <c r="D304" s="7">
        <f>Données!N298</f>
        <v>25861.200000000001</v>
      </c>
      <c r="E304" s="158">
        <f>Données!O298+Données!P298+Données!R298</f>
        <v>44811.25</v>
      </c>
      <c r="F304" s="349">
        <f t="shared" si="12"/>
        <v>30163.985000000001</v>
      </c>
      <c r="G304" s="349">
        <f>Ecrêtage!M298</f>
        <v>0</v>
      </c>
      <c r="H304" s="350">
        <f t="shared" si="13"/>
        <v>182088.49807901424</v>
      </c>
      <c r="I304" s="222">
        <f t="shared" si="14"/>
        <v>212252.48307901423</v>
      </c>
    </row>
    <row r="305" spans="1:9" s="34" customFormat="1" x14ac:dyDescent="0.25">
      <c r="A305" s="37">
        <f>Données!A299</f>
        <v>5932</v>
      </c>
      <c r="B305" s="373" t="str">
        <f>Données!B299</f>
        <v>Ursins</v>
      </c>
      <c r="C305" s="30">
        <f>VPI!R299</f>
        <v>9309.2870666666695</v>
      </c>
      <c r="D305" s="7">
        <f>Données!N299</f>
        <v>0</v>
      </c>
      <c r="E305" s="158">
        <f>Données!O299+Données!P299+Données!R299</f>
        <v>0</v>
      </c>
      <c r="F305" s="349">
        <f t="shared" si="12"/>
        <v>0</v>
      </c>
      <c r="G305" s="349">
        <f>Ecrêtage!M299</f>
        <v>0</v>
      </c>
      <c r="H305" s="350">
        <f t="shared" si="13"/>
        <v>102799.01912018452</v>
      </c>
      <c r="I305" s="222">
        <f t="shared" si="14"/>
        <v>102799.01912018452</v>
      </c>
    </row>
    <row r="306" spans="1:9" s="34" customFormat="1" x14ac:dyDescent="0.25">
      <c r="A306" s="37">
        <f>Données!A300</f>
        <v>5933</v>
      </c>
      <c r="B306" s="373" t="str">
        <f>Données!B300</f>
        <v>Valeyres-sous-Montagny</v>
      </c>
      <c r="C306" s="30">
        <f>VPI!R300</f>
        <v>23289.682127659577</v>
      </c>
      <c r="D306" s="7">
        <f>Données!N300</f>
        <v>13060.2</v>
      </c>
      <c r="E306" s="158">
        <f>Données!O300+Données!P300+Données!R300</f>
        <v>80504</v>
      </c>
      <c r="F306" s="349">
        <f t="shared" si="12"/>
        <v>44170.06</v>
      </c>
      <c r="G306" s="349">
        <f>Ecrêtage!M300</f>
        <v>0</v>
      </c>
      <c r="H306" s="350">
        <f t="shared" si="13"/>
        <v>257179.35876281452</v>
      </c>
      <c r="I306" s="222">
        <f t="shared" si="14"/>
        <v>301349.41876281449</v>
      </c>
    </row>
    <row r="307" spans="1:9" s="34" customFormat="1" x14ac:dyDescent="0.25">
      <c r="A307" s="37">
        <f>Données!A301</f>
        <v>5934</v>
      </c>
      <c r="B307" s="373" t="str">
        <f>Données!B301</f>
        <v>Valeyres-sous-Ursins</v>
      </c>
      <c r="C307" s="30">
        <f>VPI!R301</f>
        <v>8590.653896103895</v>
      </c>
      <c r="D307" s="7">
        <f>Données!N301</f>
        <v>3526.6</v>
      </c>
      <c r="E307" s="158">
        <f>Données!O301+Données!P301+Données!R301</f>
        <v>95409.600000000006</v>
      </c>
      <c r="F307" s="349">
        <f t="shared" si="12"/>
        <v>48762.780000000006</v>
      </c>
      <c r="G307" s="349">
        <f>Ecrêtage!M301</f>
        <v>0</v>
      </c>
      <c r="H307" s="350">
        <f t="shared" si="13"/>
        <v>94863.418411769206</v>
      </c>
      <c r="I307" s="222">
        <f t="shared" si="14"/>
        <v>143626.1984117692</v>
      </c>
    </row>
    <row r="308" spans="1:9" s="34" customFormat="1" x14ac:dyDescent="0.25">
      <c r="A308" s="37">
        <f>Données!A302</f>
        <v>5935</v>
      </c>
      <c r="B308" s="373" t="str">
        <f>Données!B302</f>
        <v>Villars-Epeney</v>
      </c>
      <c r="C308" s="30">
        <f>VPI!R302</f>
        <v>10030.652647058823</v>
      </c>
      <c r="D308" s="7">
        <f>Données!N302</f>
        <v>0</v>
      </c>
      <c r="E308" s="158">
        <f>Données!O302+Données!P302+Données!R302</f>
        <v>52063.3</v>
      </c>
      <c r="F308" s="349">
        <f t="shared" si="12"/>
        <v>26031.65</v>
      </c>
      <c r="G308" s="349">
        <f>Ecrêtage!M302</f>
        <v>100369.0634331482</v>
      </c>
      <c r="H308" s="350">
        <f t="shared" si="13"/>
        <v>110764.79282125576</v>
      </c>
      <c r="I308" s="222">
        <f t="shared" si="14"/>
        <v>237165.50625440397</v>
      </c>
    </row>
    <row r="309" spans="1:9" s="34" customFormat="1" x14ac:dyDescent="0.25">
      <c r="A309" s="37">
        <f>Données!A303</f>
        <v>5937</v>
      </c>
      <c r="B309" s="373" t="str">
        <f>Données!B303</f>
        <v>Vugelles-La Mothe</v>
      </c>
      <c r="C309" s="30">
        <f>VPI!R303</f>
        <v>4424.7368571428569</v>
      </c>
      <c r="D309" s="7">
        <f>Données!N303</f>
        <v>2747.5</v>
      </c>
      <c r="E309" s="158">
        <f>Données!O303+Données!P303+Données!R303</f>
        <v>0</v>
      </c>
      <c r="F309" s="349">
        <f t="shared" si="12"/>
        <v>824.25</v>
      </c>
      <c r="G309" s="349">
        <f>Ecrêtage!M303</f>
        <v>0</v>
      </c>
      <c r="H309" s="350">
        <f t="shared" si="13"/>
        <v>48860.735040377556</v>
      </c>
      <c r="I309" s="222">
        <f t="shared" si="14"/>
        <v>49684.985040377556</v>
      </c>
    </row>
    <row r="310" spans="1:9" s="34" customFormat="1" x14ac:dyDescent="0.25">
      <c r="A310" s="37">
        <f>Données!A304</f>
        <v>5938</v>
      </c>
      <c r="B310" s="373" t="str">
        <f>Données!B304</f>
        <v>Yverdon-les-Bains</v>
      </c>
      <c r="C310" s="30">
        <f>VPI!R304</f>
        <v>801823.39555555547</v>
      </c>
      <c r="D310" s="7">
        <f>Données!N304</f>
        <v>6037099.0499999998</v>
      </c>
      <c r="E310" s="158">
        <f>Données!O304+Données!P304+Données!R304</f>
        <v>6378502.0999999996</v>
      </c>
      <c r="F310" s="349">
        <f t="shared" si="12"/>
        <v>5000380.7649999997</v>
      </c>
      <c r="G310" s="349">
        <f>Ecrêtage!M304</f>
        <v>0</v>
      </c>
      <c r="H310" s="350">
        <f t="shared" si="13"/>
        <v>8854239.640527159</v>
      </c>
      <c r="I310" s="222">
        <f t="shared" si="14"/>
        <v>13854620.40552716</v>
      </c>
    </row>
    <row r="311" spans="1:9" s="34" customFormat="1" x14ac:dyDescent="0.25">
      <c r="A311" s="38">
        <f>Données!A305</f>
        <v>5939</v>
      </c>
      <c r="B311" s="374" t="str">
        <f>Données!B305</f>
        <v>Yvonand</v>
      </c>
      <c r="C311" s="30">
        <f>VPI!R305</f>
        <v>95983.007692307685</v>
      </c>
      <c r="D311" s="7">
        <f>Données!N305</f>
        <v>249640.3</v>
      </c>
      <c r="E311" s="158">
        <f>Données!O305+Données!P305+Données!R305</f>
        <v>643400.35000000009</v>
      </c>
      <c r="F311" s="349">
        <f t="shared" si="12"/>
        <v>396592.26500000001</v>
      </c>
      <c r="G311" s="349">
        <f>Ecrêtage!M305</f>
        <v>0</v>
      </c>
      <c r="H311" s="350">
        <f t="shared" si="13"/>
        <v>1059904.9070368144</v>
      </c>
      <c r="I311" s="222">
        <f t="shared" si="14"/>
        <v>1456497.1720368145</v>
      </c>
    </row>
    <row r="312" spans="1:9" x14ac:dyDescent="0.25">
      <c r="A312" s="24"/>
      <c r="B312" s="129">
        <f>COUNTA(B12:B311)</f>
        <v>300</v>
      </c>
      <c r="C312" s="8">
        <f>SUM(C12:C311)</f>
        <v>42757870.01587484</v>
      </c>
      <c r="D312" s="72">
        <f>SUM(D12:D311)</f>
        <v>99276799.049999937</v>
      </c>
      <c r="E312" s="8">
        <f>SUM(E12:E311)</f>
        <v>304967046.55000007</v>
      </c>
      <c r="F312" s="370">
        <f>D312*$D$11+E312*$E$11</f>
        <v>182266562.99000001</v>
      </c>
      <c r="G312" s="370">
        <f>SUM(G12:G311)</f>
        <v>152221661.07741937</v>
      </c>
      <c r="H312" s="371">
        <f>SUM(H12:H311)</f>
        <v>472159367.93258053</v>
      </c>
      <c r="I312" s="228">
        <f>SUM(I12:I311)</f>
        <v>806647592.00000012</v>
      </c>
    </row>
    <row r="313" spans="1:9" x14ac:dyDescent="0.25">
      <c r="C313" s="51"/>
      <c r="D313" s="51"/>
      <c r="E313" s="51"/>
      <c r="F313" s="51"/>
    </row>
    <row r="314" spans="1:9" x14ac:dyDescent="0.25">
      <c r="A314" s="52"/>
      <c r="B314" s="53"/>
      <c r="C314" s="376"/>
      <c r="D314" s="34"/>
      <c r="E314" s="54"/>
      <c r="F314" s="13"/>
      <c r="G314" s="13"/>
      <c r="H314" s="13"/>
      <c r="I314" s="13"/>
    </row>
    <row r="315" spans="1:9" x14ac:dyDescent="0.25">
      <c r="F315" s="52"/>
      <c r="G315" s="52"/>
      <c r="H315" s="52"/>
      <c r="I315" s="52"/>
    </row>
    <row r="316" spans="1:9" x14ac:dyDescent="0.25">
      <c r="F316" s="53"/>
      <c r="G316" s="52"/>
      <c r="H316" s="52"/>
      <c r="I316" s="52"/>
    </row>
    <row r="317" spans="1:9" x14ac:dyDescent="0.25">
      <c r="F317" s="53"/>
      <c r="G317" s="52"/>
      <c r="H317" s="52"/>
      <c r="I317" s="52"/>
    </row>
    <row r="318" spans="1:9" x14ac:dyDescent="0.25">
      <c r="F318" s="53"/>
      <c r="G318" s="52"/>
      <c r="H318" s="52"/>
      <c r="I318" s="52"/>
    </row>
    <row r="319" spans="1:9" x14ac:dyDescent="0.25">
      <c r="F319" s="56"/>
      <c r="G319" s="52"/>
      <c r="H319" s="52"/>
      <c r="I319" s="52"/>
    </row>
    <row r="320" spans="1:9" x14ac:dyDescent="0.25">
      <c r="D320" s="14"/>
      <c r="E320" s="52"/>
      <c r="F320" s="52"/>
      <c r="G320" s="52"/>
      <c r="H320" s="52"/>
      <c r="I320" s="52"/>
    </row>
    <row r="321" spans="3:9" x14ac:dyDescent="0.25">
      <c r="C321" s="44"/>
      <c r="E321" s="52"/>
      <c r="F321" s="52"/>
      <c r="G321" s="52"/>
      <c r="H321" s="52"/>
      <c r="I321" s="52"/>
    </row>
    <row r="322" spans="3:9" x14ac:dyDescent="0.25">
      <c r="E322" s="52"/>
      <c r="F322" s="52"/>
      <c r="G322" s="52"/>
      <c r="H322" s="52"/>
      <c r="I322" s="52"/>
    </row>
    <row r="323" spans="3:9" x14ac:dyDescent="0.25">
      <c r="E323" s="52"/>
      <c r="F323" s="52"/>
      <c r="G323" s="52"/>
      <c r="H323" s="52"/>
      <c r="I323" s="52"/>
    </row>
    <row r="324" spans="3:9" x14ac:dyDescent="0.25">
      <c r="E324" s="52"/>
      <c r="F324" s="52"/>
      <c r="G324" s="52"/>
      <c r="H324" s="52"/>
      <c r="I324" s="52"/>
    </row>
  </sheetData>
  <sheetProtection sheet="1" objects="1" scenarios="1"/>
  <mergeCells count="11">
    <mergeCell ref="A4:C4"/>
    <mergeCell ref="A10:A11"/>
    <mergeCell ref="I10:I11"/>
    <mergeCell ref="G10:G11"/>
    <mergeCell ref="F10:F11"/>
    <mergeCell ref="C10:C11"/>
    <mergeCell ref="B10:B11"/>
    <mergeCell ref="A5:B5"/>
    <mergeCell ref="A6:B6"/>
    <mergeCell ref="A7:B7"/>
    <mergeCell ref="A8:B8"/>
  </mergeCells>
  <phoneticPr fontId="0" type="noConversion"/>
  <hyperlinks>
    <hyperlink ref="E1" location="VPI!A1" display="← Précédent" xr:uid="{BB8ECA03-C04E-4697-B3DD-619E0FB40F67}"/>
    <hyperlink ref="F1" location="'Table des matières'!A1" display="Table des             matières" xr:uid="{54975323-3646-4DA1-AA62-F5E15D2A8645}"/>
    <hyperlink ref="G1" location="Ecrêtage!A1" display="Suivant →" xr:uid="{6AA66BEC-28C4-4E9D-9CB2-8418588B3BDC}"/>
  </hyperlinks>
  <printOptions horizontalCentered="1"/>
  <pageMargins left="0" right="0" top="0" bottom="0" header="0.51181102362204722" footer="0.51181102362204722"/>
  <pageSetup paperSize="9" scale="73" orientation="portrait" horizontalDpi="4294967292" verticalDpi="4294967292"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7">
    <tabColor theme="5" tint="0.79998168889431442"/>
  </sheetPr>
  <dimension ref="A1:T312"/>
  <sheetViews>
    <sheetView workbookViewId="0">
      <pane xSplit="2" ySplit="5" topLeftCell="C6" activePane="bottomRight" state="frozen"/>
      <selection pane="topRight" activeCell="C1" sqref="C1"/>
      <selection pane="bottomLeft" activeCell="A6" sqref="A6"/>
      <selection pane="bottomRight"/>
    </sheetView>
  </sheetViews>
  <sheetFormatPr baseColWidth="10" defaultColWidth="11" defaultRowHeight="15" x14ac:dyDescent="0.25"/>
  <cols>
    <col min="1" max="1" width="8.75" style="10" customWidth="1"/>
    <col min="2" max="2" width="23.625" style="10" customWidth="1"/>
    <col min="3" max="3" width="16.75" style="265" customWidth="1"/>
    <col min="4" max="4" width="11" style="10" customWidth="1"/>
    <col min="5" max="5" width="14.125" style="10" customWidth="1"/>
    <col min="6" max="6" width="10.875" style="44" customWidth="1"/>
    <col min="7" max="10" width="7" style="10" bestFit="1" customWidth="1"/>
    <col min="11" max="11" width="6.5" style="10" customWidth="1"/>
    <col min="12" max="12" width="9.625" style="10" customWidth="1"/>
    <col min="13" max="13" width="10.75" style="9" bestFit="1" customWidth="1"/>
    <col min="14" max="14" width="3.75" style="141" customWidth="1"/>
    <col min="15" max="15" width="12.625" style="141" customWidth="1"/>
    <col min="16" max="17" width="11" style="141" customWidth="1"/>
    <col min="18" max="18" width="11.25" style="141" customWidth="1"/>
    <col min="19" max="19" width="11" style="10"/>
    <col min="20" max="20" width="5.875" style="10" customWidth="1"/>
    <col min="21" max="16384" width="11" style="10"/>
  </cols>
  <sheetData>
    <row r="1" spans="1:20" s="189" customFormat="1" ht="29.1" customHeight="1" x14ac:dyDescent="0.4">
      <c r="A1" s="187" t="s">
        <v>531</v>
      </c>
      <c r="B1" s="188"/>
      <c r="C1" s="287" t="s">
        <v>402</v>
      </c>
      <c r="D1" s="217" t="s">
        <v>477</v>
      </c>
      <c r="E1" s="348" t="s">
        <v>403</v>
      </c>
      <c r="N1" s="190"/>
      <c r="O1" s="263"/>
      <c r="P1" s="261"/>
      <c r="Q1" s="261"/>
      <c r="R1" s="261"/>
      <c r="S1" s="261"/>
    </row>
    <row r="2" spans="1:20" s="146" customFormat="1" ht="15.75" customHeight="1" x14ac:dyDescent="0.25">
      <c r="A2" s="253" t="str">
        <f>Paramètres!B4</f>
        <v>Décompte 2024</v>
      </c>
      <c r="B2" s="31"/>
      <c r="C2" s="264"/>
      <c r="D2" s="32"/>
      <c r="E2" s="32"/>
      <c r="F2" s="43"/>
      <c r="M2" s="9"/>
      <c r="N2" s="159"/>
      <c r="O2" s="261"/>
      <c r="P2" s="261"/>
      <c r="Q2" s="261"/>
      <c r="R2" s="261"/>
      <c r="S2" s="261"/>
    </row>
    <row r="3" spans="1:20" ht="15" customHeight="1" x14ac:dyDescent="0.25">
      <c r="G3" s="226">
        <f>$E$306*G5</f>
        <v>49.965433808131635</v>
      </c>
      <c r="H3" s="226">
        <f>$E$306*H5</f>
        <v>59.958520569757958</v>
      </c>
      <c r="I3" s="226">
        <f>$E$306*I5</f>
        <v>74.948150712197446</v>
      </c>
      <c r="J3" s="226">
        <f>$E$306*J5</f>
        <v>99.930867616263271</v>
      </c>
      <c r="K3" s="226">
        <f>$E$306*K5</f>
        <v>149.89630142439489</v>
      </c>
      <c r="O3" s="261"/>
      <c r="P3" s="261"/>
      <c r="Q3" s="261"/>
      <c r="R3" s="261"/>
      <c r="S3" s="261"/>
      <c r="T3" s="146"/>
    </row>
    <row r="4" spans="1:20" ht="37.5" customHeight="1" x14ac:dyDescent="0.25">
      <c r="A4" s="737" t="s">
        <v>44</v>
      </c>
      <c r="B4" s="737" t="s">
        <v>84</v>
      </c>
      <c r="C4" s="755" t="s">
        <v>420</v>
      </c>
      <c r="D4" s="756"/>
      <c r="E4" s="757"/>
      <c r="F4" s="753" t="s">
        <v>248</v>
      </c>
      <c r="G4" s="223">
        <f>Paramètres!B24</f>
        <v>0.2</v>
      </c>
      <c r="H4" s="223">
        <f>Paramètres!C24</f>
        <v>0.3</v>
      </c>
      <c r="I4" s="223">
        <f>Paramètres!D24</f>
        <v>0.4</v>
      </c>
      <c r="J4" s="223">
        <f>Paramètres!E24</f>
        <v>0.5</v>
      </c>
      <c r="K4" s="223">
        <f>Paramètres!F24</f>
        <v>0.6</v>
      </c>
      <c r="L4" s="753" t="s">
        <v>251</v>
      </c>
      <c r="M4" s="753" t="s">
        <v>550</v>
      </c>
      <c r="O4" s="261"/>
      <c r="P4" s="261"/>
      <c r="Q4" s="261"/>
      <c r="R4" s="261"/>
      <c r="S4" s="261"/>
      <c r="T4" s="261"/>
    </row>
    <row r="5" spans="1:20" ht="37.5" customHeight="1" x14ac:dyDescent="0.25">
      <c r="A5" s="743"/>
      <c r="B5" s="743"/>
      <c r="C5" s="224" t="s">
        <v>409</v>
      </c>
      <c r="D5" s="224" t="s">
        <v>257</v>
      </c>
      <c r="E5" s="224" t="s">
        <v>479</v>
      </c>
      <c r="F5" s="753"/>
      <c r="G5" s="225">
        <f>Paramètres!B25</f>
        <v>1</v>
      </c>
      <c r="H5" s="225">
        <f>Paramètres!C25</f>
        <v>1.2</v>
      </c>
      <c r="I5" s="225">
        <f>Paramètres!D25</f>
        <v>1.5</v>
      </c>
      <c r="J5" s="225">
        <f>Paramètres!E25</f>
        <v>2</v>
      </c>
      <c r="K5" s="225">
        <f>Paramètres!F25</f>
        <v>3</v>
      </c>
      <c r="L5" s="754"/>
      <c r="M5" s="753"/>
      <c r="O5" s="261"/>
      <c r="P5" s="261"/>
      <c r="Q5" s="261"/>
      <c r="R5" s="261"/>
      <c r="S5" s="261"/>
      <c r="T5" s="261"/>
    </row>
    <row r="6" spans="1:20" x14ac:dyDescent="0.25">
      <c r="A6" s="65">
        <f>Données!A6</f>
        <v>5401</v>
      </c>
      <c r="B6" s="128" t="str">
        <f>Données!B6</f>
        <v>Aigle</v>
      </c>
      <c r="C6" s="266">
        <f>VPI!R6</f>
        <v>311614.01419191912</v>
      </c>
      <c r="D6" s="26">
        <f>Données!Z6</f>
        <v>11780</v>
      </c>
      <c r="E6" s="86">
        <f>C6/D6</f>
        <v>26.452802562981251</v>
      </c>
      <c r="F6" s="140">
        <f>E6/$E$306</f>
        <v>0.52942205334513048</v>
      </c>
      <c r="G6" s="352">
        <f>IF(E6-$G$3&lt;0,0,E6-$G$3)</f>
        <v>0</v>
      </c>
      <c r="H6" s="352">
        <f>IF(E6-$H$3&lt;0,0,E6-$H$3)</f>
        <v>0</v>
      </c>
      <c r="I6" s="352">
        <f>IF(E6-$I$3&lt;0,0,E6-$I$3)</f>
        <v>0</v>
      </c>
      <c r="J6" s="352">
        <f>IF(E6-$J$3&lt;0,0,E6-$J$3)</f>
        <v>0</v>
      </c>
      <c r="K6" s="352">
        <f>IF(E6-$K$3&lt;0,0,E6-$K$3)</f>
        <v>0</v>
      </c>
      <c r="L6" s="353">
        <f>(G6-H6)*$G$4+(H6-I6)*$H$4+(I6-J6)*$I$4+(J6-K6)*$J$4+(K6*$K$4)</f>
        <v>0</v>
      </c>
      <c r="M6" s="227">
        <f>L6*D6*VPI!Q6</f>
        <v>0</v>
      </c>
    </row>
    <row r="7" spans="1:20" x14ac:dyDescent="0.25">
      <c r="A7" s="127">
        <f>Données!A7</f>
        <v>5402</v>
      </c>
      <c r="B7" s="26" t="str">
        <f>Données!B7</f>
        <v>Bex</v>
      </c>
      <c r="C7" s="266">
        <f>VPI!R7</f>
        <v>199600.34901408452</v>
      </c>
      <c r="D7" s="26">
        <f>Données!Z7</f>
        <v>8806</v>
      </c>
      <c r="E7" s="86">
        <f t="shared" ref="E7:E70" si="0">C7/D7</f>
        <v>22.6664034765029</v>
      </c>
      <c r="F7" s="140">
        <f t="shared" ref="F7:F70" si="1">E7/$E$306</f>
        <v>0.45364168283902806</v>
      </c>
      <c r="G7" s="352">
        <f t="shared" ref="G7:G70" si="2">IF(E7-$G$3&lt;0,0,E7-$G$3)</f>
        <v>0</v>
      </c>
      <c r="H7" s="352">
        <f t="shared" ref="H7:H70" si="3">IF(E7-$H$3&lt;0,0,E7-$H$3)</f>
        <v>0</v>
      </c>
      <c r="I7" s="352">
        <f t="shared" ref="I7:I70" si="4">IF(E7-$I$3&lt;0,0,E7-$I$3)</f>
        <v>0</v>
      </c>
      <c r="J7" s="352">
        <f t="shared" ref="J7:J70" si="5">IF(E7-$J$3&lt;0,0,E7-$J$3)</f>
        <v>0</v>
      </c>
      <c r="K7" s="352">
        <f t="shared" ref="K7:K70" si="6">IF(E7-$K$3&lt;0,0,E7-$K$3)</f>
        <v>0</v>
      </c>
      <c r="L7" s="354">
        <f t="shared" ref="L7:L70" si="7">(G7-H7)*$G$4+(H7-I7)*$H$4+(I7-J7)*$I$4+(J7-K7)*$J$4+(K7*$K$4)</f>
        <v>0</v>
      </c>
      <c r="M7" s="227">
        <f>L7*D7*VPI!Q7</f>
        <v>0</v>
      </c>
    </row>
    <row r="8" spans="1:20" x14ac:dyDescent="0.25">
      <c r="A8" s="127">
        <f>Données!A8</f>
        <v>5403</v>
      </c>
      <c r="B8" s="26" t="str">
        <f>Données!B8</f>
        <v>Chessel</v>
      </c>
      <c r="C8" s="266">
        <f>VPI!R8</f>
        <v>12200.842307692306</v>
      </c>
      <c r="D8" s="26">
        <f>Données!Z8</f>
        <v>528</v>
      </c>
      <c r="E8" s="86">
        <f t="shared" si="0"/>
        <v>23.107655885780883</v>
      </c>
      <c r="F8" s="140">
        <f t="shared" si="1"/>
        <v>0.46247283621142549</v>
      </c>
      <c r="G8" s="352">
        <f t="shared" si="2"/>
        <v>0</v>
      </c>
      <c r="H8" s="352">
        <f t="shared" si="3"/>
        <v>0</v>
      </c>
      <c r="I8" s="352">
        <f t="shared" si="4"/>
        <v>0</v>
      </c>
      <c r="J8" s="352">
        <f t="shared" si="5"/>
        <v>0</v>
      </c>
      <c r="K8" s="352">
        <f t="shared" si="6"/>
        <v>0</v>
      </c>
      <c r="L8" s="354">
        <f t="shared" si="7"/>
        <v>0</v>
      </c>
      <c r="M8" s="227">
        <f>L8*D8*VPI!Q8</f>
        <v>0</v>
      </c>
    </row>
    <row r="9" spans="1:20" x14ac:dyDescent="0.25">
      <c r="A9" s="127">
        <f>Données!A9</f>
        <v>5404</v>
      </c>
      <c r="B9" s="26" t="str">
        <f>Données!B9</f>
        <v>Corbeyrier</v>
      </c>
      <c r="C9" s="266">
        <f>VPI!R9</f>
        <v>12100.787342342343</v>
      </c>
      <c r="D9" s="26">
        <f>Données!Z9</f>
        <v>452</v>
      </c>
      <c r="E9" s="86">
        <f t="shared" si="0"/>
        <v>26.77165341226182</v>
      </c>
      <c r="F9" s="140">
        <f t="shared" si="1"/>
        <v>0.53580348196446281</v>
      </c>
      <c r="G9" s="352">
        <f t="shared" si="2"/>
        <v>0</v>
      </c>
      <c r="H9" s="352">
        <f t="shared" si="3"/>
        <v>0</v>
      </c>
      <c r="I9" s="352">
        <f t="shared" si="4"/>
        <v>0</v>
      </c>
      <c r="J9" s="352">
        <f t="shared" si="5"/>
        <v>0</v>
      </c>
      <c r="K9" s="352">
        <f t="shared" si="6"/>
        <v>0</v>
      </c>
      <c r="L9" s="354">
        <f t="shared" si="7"/>
        <v>0</v>
      </c>
      <c r="M9" s="227">
        <f>L9*D9*VPI!Q9</f>
        <v>0</v>
      </c>
    </row>
    <row r="10" spans="1:20" x14ac:dyDescent="0.25">
      <c r="A10" s="127">
        <f>Données!A10</f>
        <v>5405</v>
      </c>
      <c r="B10" s="26" t="str">
        <f>Données!B10</f>
        <v>Gryon</v>
      </c>
      <c r="C10" s="266">
        <f>VPI!R10</f>
        <v>80049.808163265319</v>
      </c>
      <c r="D10" s="26">
        <f>Données!Z10</f>
        <v>1525</v>
      </c>
      <c r="E10" s="86">
        <f t="shared" si="0"/>
        <v>52.491677484108408</v>
      </c>
      <c r="F10" s="140">
        <f t="shared" si="1"/>
        <v>1.0505598267329692</v>
      </c>
      <c r="G10" s="352">
        <f t="shared" si="2"/>
        <v>2.5262436759767724</v>
      </c>
      <c r="H10" s="352">
        <f t="shared" si="3"/>
        <v>0</v>
      </c>
      <c r="I10" s="352">
        <f t="shared" si="4"/>
        <v>0</v>
      </c>
      <c r="J10" s="352">
        <f t="shared" si="5"/>
        <v>0</v>
      </c>
      <c r="K10" s="352">
        <f t="shared" si="6"/>
        <v>0</v>
      </c>
      <c r="L10" s="354">
        <f t="shared" si="7"/>
        <v>0.50524873519535451</v>
      </c>
      <c r="M10" s="227">
        <f>L10*D10*VPI!Q10</f>
        <v>56632.067606209297</v>
      </c>
    </row>
    <row r="11" spans="1:20" x14ac:dyDescent="0.25">
      <c r="A11" s="127">
        <f>Données!A11</f>
        <v>5406</v>
      </c>
      <c r="B11" s="26" t="str">
        <f>Données!B11</f>
        <v>Lavey-Morcles</v>
      </c>
      <c r="C11" s="266">
        <f>VPI!R11</f>
        <v>23811.433641742868</v>
      </c>
      <c r="D11" s="26">
        <f>Données!Z11</f>
        <v>1014</v>
      </c>
      <c r="E11" s="86">
        <f t="shared" si="0"/>
        <v>23.482676175288823</v>
      </c>
      <c r="F11" s="140">
        <f t="shared" si="1"/>
        <v>0.46997843079803564</v>
      </c>
      <c r="G11" s="352">
        <f t="shared" si="2"/>
        <v>0</v>
      </c>
      <c r="H11" s="352">
        <f t="shared" si="3"/>
        <v>0</v>
      </c>
      <c r="I11" s="352">
        <f t="shared" si="4"/>
        <v>0</v>
      </c>
      <c r="J11" s="352">
        <f t="shared" si="5"/>
        <v>0</v>
      </c>
      <c r="K11" s="352">
        <f t="shared" si="6"/>
        <v>0</v>
      </c>
      <c r="L11" s="354">
        <f t="shared" si="7"/>
        <v>0</v>
      </c>
      <c r="M11" s="227">
        <f>L11*D11*VPI!Q11</f>
        <v>0</v>
      </c>
    </row>
    <row r="12" spans="1:20" x14ac:dyDescent="0.25">
      <c r="A12" s="127">
        <f>Données!A12</f>
        <v>5407</v>
      </c>
      <c r="B12" s="26" t="str">
        <f>Données!B12</f>
        <v>Leysin</v>
      </c>
      <c r="C12" s="266">
        <f>VPI!R12</f>
        <v>94315.702863247876</v>
      </c>
      <c r="D12" s="26">
        <f>Données!Z12</f>
        <v>3685</v>
      </c>
      <c r="E12" s="86">
        <f t="shared" si="0"/>
        <v>25.594491957462111</v>
      </c>
      <c r="F12" s="140">
        <f t="shared" si="1"/>
        <v>0.51224396561321817</v>
      </c>
      <c r="G12" s="352">
        <f t="shared" si="2"/>
        <v>0</v>
      </c>
      <c r="H12" s="352">
        <f t="shared" si="3"/>
        <v>0</v>
      </c>
      <c r="I12" s="352">
        <f t="shared" si="4"/>
        <v>0</v>
      </c>
      <c r="J12" s="352">
        <f t="shared" si="5"/>
        <v>0</v>
      </c>
      <c r="K12" s="352">
        <f t="shared" si="6"/>
        <v>0</v>
      </c>
      <c r="L12" s="354">
        <f t="shared" si="7"/>
        <v>0</v>
      </c>
      <c r="M12" s="227">
        <f>L12*D12*VPI!Q12</f>
        <v>0</v>
      </c>
    </row>
    <row r="13" spans="1:20" x14ac:dyDescent="0.25">
      <c r="A13" s="127">
        <f>Données!A13</f>
        <v>5408</v>
      </c>
      <c r="B13" s="26" t="str">
        <f>Données!B13</f>
        <v>Noville</v>
      </c>
      <c r="C13" s="266">
        <f>VPI!R13</f>
        <v>41741.779422222215</v>
      </c>
      <c r="D13" s="26">
        <f>Données!Z13</f>
        <v>1208</v>
      </c>
      <c r="E13" s="86">
        <f t="shared" si="0"/>
        <v>34.554453164091235</v>
      </c>
      <c r="F13" s="140">
        <f t="shared" si="1"/>
        <v>0.69156716014477315</v>
      </c>
      <c r="G13" s="352">
        <f t="shared" si="2"/>
        <v>0</v>
      </c>
      <c r="H13" s="352">
        <f t="shared" si="3"/>
        <v>0</v>
      </c>
      <c r="I13" s="352">
        <f t="shared" si="4"/>
        <v>0</v>
      </c>
      <c r="J13" s="352">
        <f t="shared" si="5"/>
        <v>0</v>
      </c>
      <c r="K13" s="352">
        <f t="shared" si="6"/>
        <v>0</v>
      </c>
      <c r="L13" s="354">
        <f t="shared" si="7"/>
        <v>0</v>
      </c>
      <c r="M13" s="227">
        <f>L13*D13*VPI!Q13</f>
        <v>0</v>
      </c>
    </row>
    <row r="14" spans="1:20" x14ac:dyDescent="0.25">
      <c r="A14" s="127">
        <f>Données!A14</f>
        <v>5409</v>
      </c>
      <c r="B14" s="26" t="str">
        <f>Données!B14</f>
        <v>Ollon</v>
      </c>
      <c r="C14" s="266">
        <f>VPI!R14</f>
        <v>429709.0160746607</v>
      </c>
      <c r="D14" s="26">
        <f>Données!Z14</f>
        <v>8222</v>
      </c>
      <c r="E14" s="86">
        <f t="shared" si="0"/>
        <v>52.263319882590693</v>
      </c>
      <c r="F14" s="140">
        <f t="shared" si="1"/>
        <v>1.0459895151372645</v>
      </c>
      <c r="G14" s="352">
        <f t="shared" si="2"/>
        <v>2.2978860744590577</v>
      </c>
      <c r="H14" s="352">
        <f t="shared" si="3"/>
        <v>0</v>
      </c>
      <c r="I14" s="352">
        <f t="shared" si="4"/>
        <v>0</v>
      </c>
      <c r="J14" s="352">
        <f t="shared" si="5"/>
        <v>0</v>
      </c>
      <c r="K14" s="352">
        <f t="shared" si="6"/>
        <v>0</v>
      </c>
      <c r="L14" s="354">
        <f t="shared" si="7"/>
        <v>0.45957721489181158</v>
      </c>
      <c r="M14" s="227">
        <f>L14*D14*VPI!Q14</f>
        <v>256947.78253715226</v>
      </c>
    </row>
    <row r="15" spans="1:20" x14ac:dyDescent="0.25">
      <c r="A15" s="127">
        <f>Données!A15</f>
        <v>5410</v>
      </c>
      <c r="B15" s="26" t="str">
        <f>Données!B15</f>
        <v>Ormont-Dessous</v>
      </c>
      <c r="C15" s="266">
        <f>VPI!R15</f>
        <v>39461.333506493509</v>
      </c>
      <c r="D15" s="26">
        <f>Données!Z15</f>
        <v>1244</v>
      </c>
      <c r="E15" s="86">
        <f t="shared" si="0"/>
        <v>31.721329185284173</v>
      </c>
      <c r="F15" s="140">
        <f t="shared" si="1"/>
        <v>0.63486548134645993</v>
      </c>
      <c r="G15" s="352">
        <f t="shared" si="2"/>
        <v>0</v>
      </c>
      <c r="H15" s="352">
        <f t="shared" si="3"/>
        <v>0</v>
      </c>
      <c r="I15" s="352">
        <f t="shared" si="4"/>
        <v>0</v>
      </c>
      <c r="J15" s="352">
        <f t="shared" si="5"/>
        <v>0</v>
      </c>
      <c r="K15" s="352">
        <f t="shared" si="6"/>
        <v>0</v>
      </c>
      <c r="L15" s="354">
        <f t="shared" si="7"/>
        <v>0</v>
      </c>
      <c r="M15" s="227">
        <f>L15*D15*VPI!Q15</f>
        <v>0</v>
      </c>
    </row>
    <row r="16" spans="1:20" x14ac:dyDescent="0.25">
      <c r="A16" s="127">
        <f>Données!A16</f>
        <v>5411</v>
      </c>
      <c r="B16" s="26" t="str">
        <f>Données!B16</f>
        <v>Ormont-Dessus</v>
      </c>
      <c r="C16" s="266">
        <f>VPI!R16</f>
        <v>82773.582149122798</v>
      </c>
      <c r="D16" s="26">
        <f>Données!Z16</f>
        <v>1435</v>
      </c>
      <c r="E16" s="86">
        <f t="shared" si="0"/>
        <v>57.681938779876518</v>
      </c>
      <c r="F16" s="140">
        <f t="shared" si="1"/>
        <v>1.1544368653212624</v>
      </c>
      <c r="G16" s="352">
        <f t="shared" si="2"/>
        <v>7.7165049717448824</v>
      </c>
      <c r="H16" s="352">
        <f t="shared" si="3"/>
        <v>0</v>
      </c>
      <c r="I16" s="352">
        <f t="shared" si="4"/>
        <v>0</v>
      </c>
      <c r="J16" s="352">
        <f t="shared" si="5"/>
        <v>0</v>
      </c>
      <c r="K16" s="352">
        <f t="shared" si="6"/>
        <v>0</v>
      </c>
      <c r="L16" s="354">
        <f t="shared" si="7"/>
        <v>1.5433009943489766</v>
      </c>
      <c r="M16" s="227">
        <f>L16*D16*VPI!Q16</f>
        <v>168312.40644369941</v>
      </c>
    </row>
    <row r="17" spans="1:13" x14ac:dyDescent="0.25">
      <c r="A17" s="127">
        <f>Données!A17</f>
        <v>5412</v>
      </c>
      <c r="B17" s="26" t="str">
        <f>Données!B17</f>
        <v>Rennaz</v>
      </c>
      <c r="C17" s="266">
        <f>VPI!R17</f>
        <v>31259.838939393936</v>
      </c>
      <c r="D17" s="26">
        <f>Données!Z17</f>
        <v>949</v>
      </c>
      <c r="E17" s="86">
        <f t="shared" si="0"/>
        <v>32.939767059424589</v>
      </c>
      <c r="F17" s="140">
        <f t="shared" si="1"/>
        <v>0.65925109718678754</v>
      </c>
      <c r="G17" s="352">
        <f t="shared" si="2"/>
        <v>0</v>
      </c>
      <c r="H17" s="352">
        <f t="shared" si="3"/>
        <v>0</v>
      </c>
      <c r="I17" s="352">
        <f t="shared" si="4"/>
        <v>0</v>
      </c>
      <c r="J17" s="352">
        <f t="shared" si="5"/>
        <v>0</v>
      </c>
      <c r="K17" s="352">
        <f t="shared" si="6"/>
        <v>0</v>
      </c>
      <c r="L17" s="354">
        <f t="shared" si="7"/>
        <v>0</v>
      </c>
      <c r="M17" s="227">
        <f>L17*D17*VPI!Q17</f>
        <v>0</v>
      </c>
    </row>
    <row r="18" spans="1:13" x14ac:dyDescent="0.25">
      <c r="A18" s="127">
        <f>Données!A18</f>
        <v>5413</v>
      </c>
      <c r="B18" s="26" t="str">
        <f>Données!B18</f>
        <v>Roche</v>
      </c>
      <c r="C18" s="266">
        <f>VPI!R18</f>
        <v>41768.164926470592</v>
      </c>
      <c r="D18" s="26">
        <f>Données!Z18</f>
        <v>1996</v>
      </c>
      <c r="E18" s="86">
        <f t="shared" si="0"/>
        <v>20.925934331899093</v>
      </c>
      <c r="F18" s="140">
        <f t="shared" si="1"/>
        <v>0.41880821874288415</v>
      </c>
      <c r="G18" s="352">
        <f t="shared" si="2"/>
        <v>0</v>
      </c>
      <c r="H18" s="352">
        <f t="shared" si="3"/>
        <v>0</v>
      </c>
      <c r="I18" s="352">
        <f t="shared" si="4"/>
        <v>0</v>
      </c>
      <c r="J18" s="352">
        <f t="shared" si="5"/>
        <v>0</v>
      </c>
      <c r="K18" s="352">
        <f t="shared" si="6"/>
        <v>0</v>
      </c>
      <c r="L18" s="354">
        <f t="shared" si="7"/>
        <v>0</v>
      </c>
      <c r="M18" s="227">
        <f>L18*D18*VPI!Q18</f>
        <v>0</v>
      </c>
    </row>
    <row r="19" spans="1:13" x14ac:dyDescent="0.25">
      <c r="A19" s="127">
        <f>Données!A19</f>
        <v>5414</v>
      </c>
      <c r="B19" s="26" t="str">
        <f>Données!B19</f>
        <v>Villeneuve</v>
      </c>
      <c r="C19" s="266">
        <f>VPI!R19</f>
        <v>175995.0642105263</v>
      </c>
      <c r="D19" s="26">
        <f>Données!Z19</f>
        <v>6039</v>
      </c>
      <c r="E19" s="86">
        <f t="shared" si="0"/>
        <v>29.143080677351598</v>
      </c>
      <c r="F19" s="140">
        <f t="shared" si="1"/>
        <v>0.58326483843333909</v>
      </c>
      <c r="G19" s="352">
        <f t="shared" si="2"/>
        <v>0</v>
      </c>
      <c r="H19" s="352">
        <f t="shared" si="3"/>
        <v>0</v>
      </c>
      <c r="I19" s="352">
        <f t="shared" si="4"/>
        <v>0</v>
      </c>
      <c r="J19" s="352">
        <f t="shared" si="5"/>
        <v>0</v>
      </c>
      <c r="K19" s="352">
        <f t="shared" si="6"/>
        <v>0</v>
      </c>
      <c r="L19" s="354">
        <f t="shared" si="7"/>
        <v>0</v>
      </c>
      <c r="M19" s="227">
        <f>L19*D19*VPI!Q19</f>
        <v>0</v>
      </c>
    </row>
    <row r="20" spans="1:13" x14ac:dyDescent="0.25">
      <c r="A20" s="127">
        <f>Données!A20</f>
        <v>5415</v>
      </c>
      <c r="B20" s="26" t="str">
        <f>Données!B20</f>
        <v>Yvorne</v>
      </c>
      <c r="C20" s="266">
        <f>VPI!R20</f>
        <v>36884.950722610716</v>
      </c>
      <c r="D20" s="26">
        <f>Données!Z20</f>
        <v>1110</v>
      </c>
      <c r="E20" s="86">
        <f t="shared" si="0"/>
        <v>33.229685335685332</v>
      </c>
      <c r="F20" s="140">
        <f t="shared" si="1"/>
        <v>0.66505347403342985</v>
      </c>
      <c r="G20" s="352">
        <f t="shared" si="2"/>
        <v>0</v>
      </c>
      <c r="H20" s="352">
        <f t="shared" si="3"/>
        <v>0</v>
      </c>
      <c r="I20" s="352">
        <f t="shared" si="4"/>
        <v>0</v>
      </c>
      <c r="J20" s="352">
        <f t="shared" si="5"/>
        <v>0</v>
      </c>
      <c r="K20" s="352">
        <f t="shared" si="6"/>
        <v>0</v>
      </c>
      <c r="L20" s="354">
        <f t="shared" si="7"/>
        <v>0</v>
      </c>
      <c r="M20" s="227">
        <f>L20*D20*VPI!Q20</f>
        <v>0</v>
      </c>
    </row>
    <row r="21" spans="1:13" x14ac:dyDescent="0.25">
      <c r="A21" s="127">
        <f>Données!A21</f>
        <v>5422</v>
      </c>
      <c r="B21" s="26" t="str">
        <f>Données!B21</f>
        <v>Aubonne</v>
      </c>
      <c r="C21" s="266">
        <f>VPI!R21</f>
        <v>367761.87779411761</v>
      </c>
      <c r="D21" s="26">
        <f>Données!Z21</f>
        <v>3862</v>
      </c>
      <c r="E21" s="86">
        <f t="shared" si="0"/>
        <v>95.225758103085866</v>
      </c>
      <c r="F21" s="140">
        <f t="shared" si="1"/>
        <v>1.9058327096439285</v>
      </c>
      <c r="G21" s="352">
        <f t="shared" si="2"/>
        <v>45.260324294954231</v>
      </c>
      <c r="H21" s="352">
        <f t="shared" si="3"/>
        <v>35.267237533327908</v>
      </c>
      <c r="I21" s="352">
        <f t="shared" si="4"/>
        <v>20.27760739088842</v>
      </c>
      <c r="J21" s="352">
        <f t="shared" si="5"/>
        <v>0</v>
      </c>
      <c r="K21" s="352">
        <f t="shared" si="6"/>
        <v>0</v>
      </c>
      <c r="L21" s="354">
        <f t="shared" si="7"/>
        <v>14.606549351412479</v>
      </c>
      <c r="M21" s="227">
        <f>L21*D21*VPI!Q21</f>
        <v>3835913.5644705393</v>
      </c>
    </row>
    <row r="22" spans="1:13" x14ac:dyDescent="0.25">
      <c r="A22" s="127">
        <f>Données!A22</f>
        <v>5423</v>
      </c>
      <c r="B22" s="26" t="str">
        <f>Données!B22</f>
        <v>Ballens</v>
      </c>
      <c r="C22" s="266">
        <f>VPI!R22</f>
        <v>16526.279041095891</v>
      </c>
      <c r="D22" s="26">
        <f>Données!Z22</f>
        <v>579</v>
      </c>
      <c r="E22" s="86">
        <f t="shared" si="0"/>
        <v>28.542796271322782</v>
      </c>
      <c r="F22" s="140">
        <f t="shared" si="1"/>
        <v>0.57125084475254928</v>
      </c>
      <c r="G22" s="352">
        <f t="shared" si="2"/>
        <v>0</v>
      </c>
      <c r="H22" s="352">
        <f t="shared" si="3"/>
        <v>0</v>
      </c>
      <c r="I22" s="352">
        <f t="shared" si="4"/>
        <v>0</v>
      </c>
      <c r="J22" s="352">
        <f t="shared" si="5"/>
        <v>0</v>
      </c>
      <c r="K22" s="352">
        <f t="shared" si="6"/>
        <v>0</v>
      </c>
      <c r="L22" s="354">
        <f t="shared" si="7"/>
        <v>0</v>
      </c>
      <c r="M22" s="227">
        <f>L22*D22*VPI!Q22</f>
        <v>0</v>
      </c>
    </row>
    <row r="23" spans="1:13" x14ac:dyDescent="0.25">
      <c r="A23" s="127">
        <f>Données!A23</f>
        <v>5424</v>
      </c>
      <c r="B23" s="26" t="str">
        <f>Données!B23</f>
        <v>Berolle</v>
      </c>
      <c r="C23" s="266">
        <f>VPI!R23</f>
        <v>9736.045430463575</v>
      </c>
      <c r="D23" s="26">
        <f>Données!Z23</f>
        <v>303</v>
      </c>
      <c r="E23" s="86">
        <f t="shared" si="0"/>
        <v>32.132163136843481</v>
      </c>
      <c r="F23" s="140">
        <f t="shared" si="1"/>
        <v>0.64308784469342739</v>
      </c>
      <c r="G23" s="352">
        <f t="shared" si="2"/>
        <v>0</v>
      </c>
      <c r="H23" s="352">
        <f t="shared" si="3"/>
        <v>0</v>
      </c>
      <c r="I23" s="352">
        <f t="shared" si="4"/>
        <v>0</v>
      </c>
      <c r="J23" s="352">
        <f t="shared" si="5"/>
        <v>0</v>
      </c>
      <c r="K23" s="352">
        <f t="shared" si="6"/>
        <v>0</v>
      </c>
      <c r="L23" s="354">
        <f t="shared" si="7"/>
        <v>0</v>
      </c>
      <c r="M23" s="227">
        <f>L23*D23*VPI!Q23</f>
        <v>0</v>
      </c>
    </row>
    <row r="24" spans="1:13" x14ac:dyDescent="0.25">
      <c r="A24" s="127">
        <f>Données!A24</f>
        <v>5425</v>
      </c>
      <c r="B24" s="26" t="str">
        <f>Données!B24</f>
        <v>Bière</v>
      </c>
      <c r="C24" s="266">
        <f>VPI!R24</f>
        <v>44858.928245877061</v>
      </c>
      <c r="D24" s="26">
        <f>Données!Z24</f>
        <v>1680</v>
      </c>
      <c r="E24" s="86">
        <f t="shared" si="0"/>
        <v>26.701743003498251</v>
      </c>
      <c r="F24" s="140">
        <f t="shared" si="1"/>
        <v>0.53440430650584425</v>
      </c>
      <c r="G24" s="352">
        <f t="shared" si="2"/>
        <v>0</v>
      </c>
      <c r="H24" s="352">
        <f t="shared" si="3"/>
        <v>0</v>
      </c>
      <c r="I24" s="352">
        <f t="shared" si="4"/>
        <v>0</v>
      </c>
      <c r="J24" s="352">
        <f t="shared" si="5"/>
        <v>0</v>
      </c>
      <c r="K24" s="352">
        <f t="shared" si="6"/>
        <v>0</v>
      </c>
      <c r="L24" s="354">
        <f t="shared" si="7"/>
        <v>0</v>
      </c>
      <c r="M24" s="227">
        <f>L24*D24*VPI!Q24</f>
        <v>0</v>
      </c>
    </row>
    <row r="25" spans="1:13" x14ac:dyDescent="0.25">
      <c r="A25" s="127">
        <f>Données!A25</f>
        <v>5426</v>
      </c>
      <c r="B25" s="26" t="str">
        <f>Données!B25</f>
        <v>Bougy-Villars</v>
      </c>
      <c r="C25" s="266">
        <f>VPI!R25</f>
        <v>68704.794547803613</v>
      </c>
      <c r="D25" s="26">
        <f>Données!Z25</f>
        <v>511</v>
      </c>
      <c r="E25" s="86">
        <f t="shared" si="0"/>
        <v>134.45165273542781</v>
      </c>
      <c r="F25" s="140">
        <f t="shared" si="1"/>
        <v>2.6908933334137579</v>
      </c>
      <c r="G25" s="352">
        <f t="shared" si="2"/>
        <v>84.486218927296179</v>
      </c>
      <c r="H25" s="352">
        <f t="shared" si="3"/>
        <v>74.493132165669863</v>
      </c>
      <c r="I25" s="352">
        <f t="shared" si="4"/>
        <v>59.503502023230368</v>
      </c>
      <c r="J25" s="352">
        <f t="shared" si="5"/>
        <v>34.520785119164543</v>
      </c>
      <c r="K25" s="352">
        <f t="shared" si="6"/>
        <v>0</v>
      </c>
      <c r="L25" s="354">
        <f t="shared" si="7"/>
        <v>33.748985716265715</v>
      </c>
      <c r="M25" s="227">
        <f>L25*D25*VPI!Q25</f>
        <v>1112349.6947152598</v>
      </c>
    </row>
    <row r="26" spans="1:13" x14ac:dyDescent="0.25">
      <c r="A26" s="127">
        <f>Données!A26</f>
        <v>5427</v>
      </c>
      <c r="B26" s="26" t="str">
        <f>Données!B26</f>
        <v>Féchy</v>
      </c>
      <c r="C26" s="266">
        <f>VPI!R26</f>
        <v>103018.21625</v>
      </c>
      <c r="D26" s="26">
        <f>Données!Z26</f>
        <v>919</v>
      </c>
      <c r="E26" s="86">
        <f t="shared" si="0"/>
        <v>112.09816784548421</v>
      </c>
      <c r="F26" s="140">
        <f t="shared" si="1"/>
        <v>2.2435143518606013</v>
      </c>
      <c r="G26" s="352">
        <f t="shared" si="2"/>
        <v>62.132734037352577</v>
      </c>
      <c r="H26" s="352">
        <f t="shared" si="3"/>
        <v>52.139647275726254</v>
      </c>
      <c r="I26" s="352">
        <f t="shared" si="4"/>
        <v>37.150017133286767</v>
      </c>
      <c r="J26" s="352">
        <f t="shared" si="5"/>
        <v>12.167300229220942</v>
      </c>
      <c r="K26" s="352">
        <f t="shared" si="6"/>
        <v>0</v>
      </c>
      <c r="L26" s="354">
        <f t="shared" si="7"/>
        <v>22.57224327129391</v>
      </c>
      <c r="M26" s="227">
        <f>L26*D26*VPI!Q26</f>
        <v>1327609.0602444226</v>
      </c>
    </row>
    <row r="27" spans="1:13" x14ac:dyDescent="0.25">
      <c r="A27" s="127">
        <f>Données!A27</f>
        <v>5428</v>
      </c>
      <c r="B27" s="26" t="str">
        <f>Données!B27</f>
        <v>Gimel</v>
      </c>
      <c r="C27" s="266">
        <f>VPI!R27</f>
        <v>75149.866461187237</v>
      </c>
      <c r="D27" s="26">
        <f>Données!Z27</f>
        <v>2458</v>
      </c>
      <c r="E27" s="86">
        <f t="shared" si="0"/>
        <v>30.573582775096515</v>
      </c>
      <c r="F27" s="140">
        <f t="shared" si="1"/>
        <v>0.61189467287524701</v>
      </c>
      <c r="G27" s="352">
        <f t="shared" si="2"/>
        <v>0</v>
      </c>
      <c r="H27" s="352">
        <f t="shared" si="3"/>
        <v>0</v>
      </c>
      <c r="I27" s="352">
        <f t="shared" si="4"/>
        <v>0</v>
      </c>
      <c r="J27" s="352">
        <f t="shared" si="5"/>
        <v>0</v>
      </c>
      <c r="K27" s="352">
        <f t="shared" si="6"/>
        <v>0</v>
      </c>
      <c r="L27" s="354">
        <f t="shared" si="7"/>
        <v>0</v>
      </c>
      <c r="M27" s="227">
        <f>L27*D27*VPI!Q27</f>
        <v>0</v>
      </c>
    </row>
    <row r="28" spans="1:13" x14ac:dyDescent="0.25">
      <c r="A28" s="127">
        <f>Données!A28</f>
        <v>5429</v>
      </c>
      <c r="B28" s="26" t="str">
        <f>Données!B28</f>
        <v>Longirod</v>
      </c>
      <c r="C28" s="266">
        <f>VPI!R28</f>
        <v>17947.478064516126</v>
      </c>
      <c r="D28" s="26">
        <f>Données!Z28</f>
        <v>555</v>
      </c>
      <c r="E28" s="86">
        <f t="shared" si="0"/>
        <v>32.337798314443468</v>
      </c>
      <c r="F28" s="140">
        <f t="shared" si="1"/>
        <v>0.64720339342236721</v>
      </c>
      <c r="G28" s="352">
        <f t="shared" si="2"/>
        <v>0</v>
      </c>
      <c r="H28" s="352">
        <f t="shared" si="3"/>
        <v>0</v>
      </c>
      <c r="I28" s="352">
        <f t="shared" si="4"/>
        <v>0</v>
      </c>
      <c r="J28" s="352">
        <f t="shared" si="5"/>
        <v>0</v>
      </c>
      <c r="K28" s="352">
        <f t="shared" si="6"/>
        <v>0</v>
      </c>
      <c r="L28" s="354">
        <f t="shared" si="7"/>
        <v>0</v>
      </c>
      <c r="M28" s="227">
        <f>L28*D28*VPI!Q28</f>
        <v>0</v>
      </c>
    </row>
    <row r="29" spans="1:13" x14ac:dyDescent="0.25">
      <c r="A29" s="127">
        <f>Données!A29</f>
        <v>5430</v>
      </c>
      <c r="B29" s="26" t="str">
        <f>Données!B29</f>
        <v>Marchissy</v>
      </c>
      <c r="C29" s="266">
        <f>VPI!R29</f>
        <v>16228.828774193547</v>
      </c>
      <c r="D29" s="26">
        <f>Données!Z29</f>
        <v>510</v>
      </c>
      <c r="E29" s="86">
        <f t="shared" si="0"/>
        <v>31.821232890575583</v>
      </c>
      <c r="F29" s="140">
        <f t="shared" si="1"/>
        <v>0.63686493772414376</v>
      </c>
      <c r="G29" s="352">
        <f t="shared" si="2"/>
        <v>0</v>
      </c>
      <c r="H29" s="352">
        <f t="shared" si="3"/>
        <v>0</v>
      </c>
      <c r="I29" s="352">
        <f t="shared" si="4"/>
        <v>0</v>
      </c>
      <c r="J29" s="352">
        <f t="shared" si="5"/>
        <v>0</v>
      </c>
      <c r="K29" s="352">
        <f t="shared" si="6"/>
        <v>0</v>
      </c>
      <c r="L29" s="354">
        <f t="shared" si="7"/>
        <v>0</v>
      </c>
      <c r="M29" s="227">
        <f>L29*D29*VPI!Q29</f>
        <v>0</v>
      </c>
    </row>
    <row r="30" spans="1:13" x14ac:dyDescent="0.25">
      <c r="A30" s="127">
        <f>Données!A30</f>
        <v>5431</v>
      </c>
      <c r="B30" s="26" t="str">
        <f>Données!B30</f>
        <v>Mollens</v>
      </c>
      <c r="C30" s="266">
        <f>VPI!R30</f>
        <v>10701.336756756757</v>
      </c>
      <c r="D30" s="26">
        <f>Données!Z30</f>
        <v>324</v>
      </c>
      <c r="E30" s="86">
        <f t="shared" si="0"/>
        <v>33.028817150483817</v>
      </c>
      <c r="F30" s="140">
        <f t="shared" si="1"/>
        <v>0.66103333110876616</v>
      </c>
      <c r="G30" s="352">
        <f t="shared" si="2"/>
        <v>0</v>
      </c>
      <c r="H30" s="352">
        <f t="shared" si="3"/>
        <v>0</v>
      </c>
      <c r="I30" s="352">
        <f t="shared" si="4"/>
        <v>0</v>
      </c>
      <c r="J30" s="352">
        <f t="shared" si="5"/>
        <v>0</v>
      </c>
      <c r="K30" s="352">
        <f t="shared" si="6"/>
        <v>0</v>
      </c>
      <c r="L30" s="354">
        <f t="shared" si="7"/>
        <v>0</v>
      </c>
      <c r="M30" s="227">
        <f>L30*D30*VPI!Q30</f>
        <v>0</v>
      </c>
    </row>
    <row r="31" spans="1:13" x14ac:dyDescent="0.25">
      <c r="A31" s="127">
        <f>Données!A31</f>
        <v>5434</v>
      </c>
      <c r="B31" s="26" t="str">
        <f>Données!B31</f>
        <v>Saint-George</v>
      </c>
      <c r="C31" s="266">
        <f>VPI!R31</f>
        <v>50881.209304556367</v>
      </c>
      <c r="D31" s="26">
        <f>Données!Z31</f>
        <v>1083</v>
      </c>
      <c r="E31" s="86">
        <f t="shared" si="0"/>
        <v>46.981726042988335</v>
      </c>
      <c r="F31" s="140">
        <f t="shared" si="1"/>
        <v>0.94028456199137977</v>
      </c>
      <c r="G31" s="352">
        <f t="shared" si="2"/>
        <v>0</v>
      </c>
      <c r="H31" s="352">
        <f t="shared" si="3"/>
        <v>0</v>
      </c>
      <c r="I31" s="352">
        <f t="shared" si="4"/>
        <v>0</v>
      </c>
      <c r="J31" s="352">
        <f t="shared" si="5"/>
        <v>0</v>
      </c>
      <c r="K31" s="352">
        <f t="shared" si="6"/>
        <v>0</v>
      </c>
      <c r="L31" s="354">
        <f t="shared" si="7"/>
        <v>0</v>
      </c>
      <c r="M31" s="227">
        <f>L31*D31*VPI!Q31</f>
        <v>0</v>
      </c>
    </row>
    <row r="32" spans="1:13" x14ac:dyDescent="0.25">
      <c r="A32" s="127">
        <f>Données!A32</f>
        <v>5435</v>
      </c>
      <c r="B32" s="26" t="str">
        <f>Données!B32</f>
        <v>Saint-Livres</v>
      </c>
      <c r="C32" s="266">
        <f>VPI!R32</f>
        <v>27013.42144927536</v>
      </c>
      <c r="D32" s="26">
        <f>Données!Z32</f>
        <v>715</v>
      </c>
      <c r="E32" s="86">
        <f t="shared" si="0"/>
        <v>37.781009019965538</v>
      </c>
      <c r="F32" s="140">
        <f t="shared" si="1"/>
        <v>0.75614292002438011</v>
      </c>
      <c r="G32" s="352">
        <f t="shared" si="2"/>
        <v>0</v>
      </c>
      <c r="H32" s="352">
        <f t="shared" si="3"/>
        <v>0</v>
      </c>
      <c r="I32" s="352">
        <f t="shared" si="4"/>
        <v>0</v>
      </c>
      <c r="J32" s="352">
        <f t="shared" si="5"/>
        <v>0</v>
      </c>
      <c r="K32" s="352">
        <f t="shared" si="6"/>
        <v>0</v>
      </c>
      <c r="L32" s="354">
        <f t="shared" si="7"/>
        <v>0</v>
      </c>
      <c r="M32" s="227">
        <f>L32*D32*VPI!Q32</f>
        <v>0</v>
      </c>
    </row>
    <row r="33" spans="1:13" x14ac:dyDescent="0.25">
      <c r="A33" s="127">
        <f>Données!A33</f>
        <v>5436</v>
      </c>
      <c r="B33" s="26" t="str">
        <f>Données!B33</f>
        <v>Saint-Oyens</v>
      </c>
      <c r="C33" s="266">
        <f>VPI!R33</f>
        <v>17587.95702531646</v>
      </c>
      <c r="D33" s="26">
        <f>Données!Z33</f>
        <v>457</v>
      </c>
      <c r="E33" s="86">
        <f t="shared" si="0"/>
        <v>38.485682768744987</v>
      </c>
      <c r="F33" s="140">
        <f t="shared" si="1"/>
        <v>0.77024614489550625</v>
      </c>
      <c r="G33" s="352">
        <f t="shared" si="2"/>
        <v>0</v>
      </c>
      <c r="H33" s="352">
        <f t="shared" si="3"/>
        <v>0</v>
      </c>
      <c r="I33" s="352">
        <f t="shared" si="4"/>
        <v>0</v>
      </c>
      <c r="J33" s="352">
        <f t="shared" si="5"/>
        <v>0</v>
      </c>
      <c r="K33" s="352">
        <f t="shared" si="6"/>
        <v>0</v>
      </c>
      <c r="L33" s="354">
        <f t="shared" si="7"/>
        <v>0</v>
      </c>
      <c r="M33" s="227">
        <f>L33*D33*VPI!Q33</f>
        <v>0</v>
      </c>
    </row>
    <row r="34" spans="1:13" x14ac:dyDescent="0.25">
      <c r="A34" s="127">
        <f>Données!A34</f>
        <v>5437</v>
      </c>
      <c r="B34" s="26" t="str">
        <f>Données!B34</f>
        <v>Saubraz</v>
      </c>
      <c r="C34" s="266">
        <f>VPI!R34</f>
        <v>13211.02075</v>
      </c>
      <c r="D34" s="26">
        <f>Données!Z34</f>
        <v>446</v>
      </c>
      <c r="E34" s="86">
        <f t="shared" si="0"/>
        <v>29.621122757847534</v>
      </c>
      <c r="F34" s="140">
        <f t="shared" si="1"/>
        <v>0.59283229425352924</v>
      </c>
      <c r="G34" s="352">
        <f t="shared" si="2"/>
        <v>0</v>
      </c>
      <c r="H34" s="352">
        <f t="shared" si="3"/>
        <v>0</v>
      </c>
      <c r="I34" s="352">
        <f t="shared" si="4"/>
        <v>0</v>
      </c>
      <c r="J34" s="352">
        <f t="shared" si="5"/>
        <v>0</v>
      </c>
      <c r="K34" s="352">
        <f t="shared" si="6"/>
        <v>0</v>
      </c>
      <c r="L34" s="354">
        <f t="shared" si="7"/>
        <v>0</v>
      </c>
      <c r="M34" s="227">
        <f>L34*D34*VPI!Q34</f>
        <v>0</v>
      </c>
    </row>
    <row r="35" spans="1:13" x14ac:dyDescent="0.25">
      <c r="A35" s="127">
        <f>Données!A35</f>
        <v>5451</v>
      </c>
      <c r="B35" s="26" t="str">
        <f>Données!B35</f>
        <v>Avenches</v>
      </c>
      <c r="C35" s="266">
        <f>VPI!R35</f>
        <v>142009.89482051283</v>
      </c>
      <c r="D35" s="26">
        <f>Données!Z35</f>
        <v>4895</v>
      </c>
      <c r="E35" s="86">
        <f t="shared" si="0"/>
        <v>29.011214467929076</v>
      </c>
      <c r="F35" s="140">
        <f t="shared" si="1"/>
        <v>0.58062568973848561</v>
      </c>
      <c r="G35" s="352">
        <f t="shared" si="2"/>
        <v>0</v>
      </c>
      <c r="H35" s="352">
        <f t="shared" si="3"/>
        <v>0</v>
      </c>
      <c r="I35" s="352">
        <f t="shared" si="4"/>
        <v>0</v>
      </c>
      <c r="J35" s="352">
        <f t="shared" si="5"/>
        <v>0</v>
      </c>
      <c r="K35" s="352">
        <f t="shared" si="6"/>
        <v>0</v>
      </c>
      <c r="L35" s="354">
        <f t="shared" si="7"/>
        <v>0</v>
      </c>
      <c r="M35" s="227">
        <f>L35*D35*VPI!Q35</f>
        <v>0</v>
      </c>
    </row>
    <row r="36" spans="1:13" x14ac:dyDescent="0.25">
      <c r="A36" s="127">
        <f>Données!A36</f>
        <v>5456</v>
      </c>
      <c r="B36" s="26" t="str">
        <f>Données!B36</f>
        <v>Cudrefin</v>
      </c>
      <c r="C36" s="266">
        <f>VPI!R36</f>
        <v>69270.195988700565</v>
      </c>
      <c r="D36" s="26">
        <f>Données!Z36</f>
        <v>1885</v>
      </c>
      <c r="E36" s="86">
        <f t="shared" si="0"/>
        <v>36.748114582865021</v>
      </c>
      <c r="F36" s="140">
        <f t="shared" si="1"/>
        <v>0.73547074011162572</v>
      </c>
      <c r="G36" s="352">
        <f t="shared" si="2"/>
        <v>0</v>
      </c>
      <c r="H36" s="352">
        <f t="shared" si="3"/>
        <v>0</v>
      </c>
      <c r="I36" s="352">
        <f t="shared" si="4"/>
        <v>0</v>
      </c>
      <c r="J36" s="352">
        <f t="shared" si="5"/>
        <v>0</v>
      </c>
      <c r="K36" s="352">
        <f t="shared" si="6"/>
        <v>0</v>
      </c>
      <c r="L36" s="354">
        <f t="shared" si="7"/>
        <v>0</v>
      </c>
      <c r="M36" s="227">
        <f>L36*D36*VPI!Q36</f>
        <v>0</v>
      </c>
    </row>
    <row r="37" spans="1:13" x14ac:dyDescent="0.25">
      <c r="A37" s="127">
        <f>Données!A37</f>
        <v>5458</v>
      </c>
      <c r="B37" s="26" t="str">
        <f>Données!B37</f>
        <v>Faoug</v>
      </c>
      <c r="C37" s="266">
        <f>VPI!R37</f>
        <v>33300.633333333331</v>
      </c>
      <c r="D37" s="26">
        <f>Données!Z37</f>
        <v>900</v>
      </c>
      <c r="E37" s="86">
        <f t="shared" si="0"/>
        <v>37.000703703703699</v>
      </c>
      <c r="F37" s="140">
        <f t="shared" si="1"/>
        <v>0.74052601736206702</v>
      </c>
      <c r="G37" s="352">
        <f t="shared" si="2"/>
        <v>0</v>
      </c>
      <c r="H37" s="352">
        <f t="shared" si="3"/>
        <v>0</v>
      </c>
      <c r="I37" s="352">
        <f t="shared" si="4"/>
        <v>0</v>
      </c>
      <c r="J37" s="352">
        <f t="shared" si="5"/>
        <v>0</v>
      </c>
      <c r="K37" s="352">
        <f t="shared" si="6"/>
        <v>0</v>
      </c>
      <c r="L37" s="354">
        <f t="shared" si="7"/>
        <v>0</v>
      </c>
      <c r="M37" s="227">
        <f>L37*D37*VPI!Q37</f>
        <v>0</v>
      </c>
    </row>
    <row r="38" spans="1:13" x14ac:dyDescent="0.25">
      <c r="A38" s="127">
        <f>Données!A38</f>
        <v>5464</v>
      </c>
      <c r="B38" s="26" t="str">
        <f>Données!B38</f>
        <v>Vully-les-Lacs</v>
      </c>
      <c r="C38" s="266">
        <f>VPI!R38</f>
        <v>124498.36985074625</v>
      </c>
      <c r="D38" s="26">
        <f>Données!Z38</f>
        <v>3639</v>
      </c>
      <c r="E38" s="86">
        <f t="shared" si="0"/>
        <v>34.212247829278994</v>
      </c>
      <c r="F38" s="140">
        <f t="shared" si="1"/>
        <v>0.68471831868116617</v>
      </c>
      <c r="G38" s="352">
        <f t="shared" si="2"/>
        <v>0</v>
      </c>
      <c r="H38" s="352">
        <f t="shared" si="3"/>
        <v>0</v>
      </c>
      <c r="I38" s="352">
        <f t="shared" si="4"/>
        <v>0</v>
      </c>
      <c r="J38" s="352">
        <f t="shared" si="5"/>
        <v>0</v>
      </c>
      <c r="K38" s="352">
        <f t="shared" si="6"/>
        <v>0</v>
      </c>
      <c r="L38" s="354">
        <f t="shared" si="7"/>
        <v>0</v>
      </c>
      <c r="M38" s="227">
        <f>L38*D38*VPI!Q38</f>
        <v>0</v>
      </c>
    </row>
    <row r="39" spans="1:13" x14ac:dyDescent="0.25">
      <c r="A39" s="127">
        <f>Données!A39</f>
        <v>5471</v>
      </c>
      <c r="B39" s="26" t="str">
        <f>Données!B39</f>
        <v>Bettens</v>
      </c>
      <c r="C39" s="266">
        <f>VPI!R39</f>
        <v>23785.854190476188</v>
      </c>
      <c r="D39" s="26">
        <f>Données!Z39</f>
        <v>653</v>
      </c>
      <c r="E39" s="86">
        <f t="shared" si="0"/>
        <v>36.425504120177926</v>
      </c>
      <c r="F39" s="140">
        <f t="shared" si="1"/>
        <v>0.72901406720599415</v>
      </c>
      <c r="G39" s="352">
        <f t="shared" si="2"/>
        <v>0</v>
      </c>
      <c r="H39" s="352">
        <f t="shared" si="3"/>
        <v>0</v>
      </c>
      <c r="I39" s="352">
        <f t="shared" si="4"/>
        <v>0</v>
      </c>
      <c r="J39" s="352">
        <f t="shared" si="5"/>
        <v>0</v>
      </c>
      <c r="K39" s="352">
        <f t="shared" si="6"/>
        <v>0</v>
      </c>
      <c r="L39" s="354">
        <f t="shared" si="7"/>
        <v>0</v>
      </c>
      <c r="M39" s="227">
        <f>L39*D39*VPI!Q39</f>
        <v>0</v>
      </c>
    </row>
    <row r="40" spans="1:13" x14ac:dyDescent="0.25">
      <c r="A40" s="127">
        <f>Données!A40</f>
        <v>5472</v>
      </c>
      <c r="B40" s="26" t="str">
        <f>Données!B40</f>
        <v>Bournens</v>
      </c>
      <c r="C40" s="266">
        <f>VPI!R40</f>
        <v>19794.03169230769</v>
      </c>
      <c r="D40" s="26">
        <f>Données!Z40</f>
        <v>532</v>
      </c>
      <c r="E40" s="86">
        <f t="shared" si="0"/>
        <v>37.20682648930017</v>
      </c>
      <c r="F40" s="140">
        <f t="shared" si="1"/>
        <v>0.74465132499750131</v>
      </c>
      <c r="G40" s="352">
        <f t="shared" si="2"/>
        <v>0</v>
      </c>
      <c r="H40" s="352">
        <f t="shared" si="3"/>
        <v>0</v>
      </c>
      <c r="I40" s="352">
        <f t="shared" si="4"/>
        <v>0</v>
      </c>
      <c r="J40" s="352">
        <f t="shared" si="5"/>
        <v>0</v>
      </c>
      <c r="K40" s="352">
        <f t="shared" si="6"/>
        <v>0</v>
      </c>
      <c r="L40" s="354">
        <f t="shared" si="7"/>
        <v>0</v>
      </c>
      <c r="M40" s="227">
        <f>L40*D40*VPI!Q40</f>
        <v>0</v>
      </c>
    </row>
    <row r="41" spans="1:13" x14ac:dyDescent="0.25">
      <c r="A41" s="127">
        <f>Données!A41</f>
        <v>5473</v>
      </c>
      <c r="B41" s="26" t="str">
        <f>Données!B41</f>
        <v>Boussens</v>
      </c>
      <c r="C41" s="266">
        <f>VPI!R41</f>
        <v>38638.005156250001</v>
      </c>
      <c r="D41" s="26">
        <f>Données!Z41</f>
        <v>1007</v>
      </c>
      <c r="E41" s="86">
        <f t="shared" si="0"/>
        <v>38.369419221698116</v>
      </c>
      <c r="F41" s="140">
        <f t="shared" si="1"/>
        <v>0.76791926532725663</v>
      </c>
      <c r="G41" s="352">
        <f t="shared" si="2"/>
        <v>0</v>
      </c>
      <c r="H41" s="352">
        <f t="shared" si="3"/>
        <v>0</v>
      </c>
      <c r="I41" s="352">
        <f t="shared" si="4"/>
        <v>0</v>
      </c>
      <c r="J41" s="352">
        <f t="shared" si="5"/>
        <v>0</v>
      </c>
      <c r="K41" s="352">
        <f t="shared" si="6"/>
        <v>0</v>
      </c>
      <c r="L41" s="354">
        <f t="shared" si="7"/>
        <v>0</v>
      </c>
      <c r="M41" s="227">
        <f>L41*D41*VPI!Q41</f>
        <v>0</v>
      </c>
    </row>
    <row r="42" spans="1:13" x14ac:dyDescent="0.25">
      <c r="A42" s="127">
        <f>Données!A42</f>
        <v>5474</v>
      </c>
      <c r="B42" s="26" t="str">
        <f>Données!B42</f>
        <v>La Chaux (Cossonay)</v>
      </c>
      <c r="C42" s="266">
        <f>VPI!R42</f>
        <v>13264.060789473682</v>
      </c>
      <c r="D42" s="26">
        <f>Données!Z42</f>
        <v>436</v>
      </c>
      <c r="E42" s="86">
        <f t="shared" si="0"/>
        <v>30.422157774022207</v>
      </c>
      <c r="F42" s="140">
        <f t="shared" si="1"/>
        <v>0.6088640777310963</v>
      </c>
      <c r="G42" s="352">
        <f t="shared" si="2"/>
        <v>0</v>
      </c>
      <c r="H42" s="352">
        <f t="shared" si="3"/>
        <v>0</v>
      </c>
      <c r="I42" s="352">
        <f t="shared" si="4"/>
        <v>0</v>
      </c>
      <c r="J42" s="352">
        <f t="shared" si="5"/>
        <v>0</v>
      </c>
      <c r="K42" s="352">
        <f t="shared" si="6"/>
        <v>0</v>
      </c>
      <c r="L42" s="354">
        <f t="shared" si="7"/>
        <v>0</v>
      </c>
      <c r="M42" s="227">
        <f>L42*D42*VPI!Q42</f>
        <v>0</v>
      </c>
    </row>
    <row r="43" spans="1:13" x14ac:dyDescent="0.25">
      <c r="A43" s="127">
        <f>Données!A43</f>
        <v>5475</v>
      </c>
      <c r="B43" s="26" t="str">
        <f>Données!B43</f>
        <v>Chavannes-le-Veyron</v>
      </c>
      <c r="C43" s="266">
        <f>VPI!R43</f>
        <v>4088.5965333333334</v>
      </c>
      <c r="D43" s="26">
        <f>Données!Z43</f>
        <v>160</v>
      </c>
      <c r="E43" s="86">
        <f t="shared" si="0"/>
        <v>25.553728333333332</v>
      </c>
      <c r="F43" s="140">
        <f t="shared" si="1"/>
        <v>0.51142812912342983</v>
      </c>
      <c r="G43" s="352">
        <f t="shared" si="2"/>
        <v>0</v>
      </c>
      <c r="H43" s="352">
        <f t="shared" si="3"/>
        <v>0</v>
      </c>
      <c r="I43" s="352">
        <f t="shared" si="4"/>
        <v>0</v>
      </c>
      <c r="J43" s="352">
        <f t="shared" si="5"/>
        <v>0</v>
      </c>
      <c r="K43" s="352">
        <f t="shared" si="6"/>
        <v>0</v>
      </c>
      <c r="L43" s="354">
        <f t="shared" si="7"/>
        <v>0</v>
      </c>
      <c r="M43" s="227">
        <f>L43*D43*VPI!Q43</f>
        <v>0</v>
      </c>
    </row>
    <row r="44" spans="1:13" x14ac:dyDescent="0.25">
      <c r="A44" s="127">
        <f>Données!A44</f>
        <v>5476</v>
      </c>
      <c r="B44" s="26" t="str">
        <f>Données!B44</f>
        <v>Chevilly</v>
      </c>
      <c r="C44" s="266">
        <f>VPI!R44</f>
        <v>11956.878714285715</v>
      </c>
      <c r="D44" s="26">
        <f>Données!Z44</f>
        <v>346</v>
      </c>
      <c r="E44" s="86">
        <f t="shared" si="0"/>
        <v>34.557452931461604</v>
      </c>
      <c r="F44" s="140">
        <f t="shared" si="1"/>
        <v>0.69162719699708775</v>
      </c>
      <c r="G44" s="352">
        <f t="shared" si="2"/>
        <v>0</v>
      </c>
      <c r="H44" s="352">
        <f t="shared" si="3"/>
        <v>0</v>
      </c>
      <c r="I44" s="352">
        <f t="shared" si="4"/>
        <v>0</v>
      </c>
      <c r="J44" s="352">
        <f t="shared" si="5"/>
        <v>0</v>
      </c>
      <c r="K44" s="352">
        <f t="shared" si="6"/>
        <v>0</v>
      </c>
      <c r="L44" s="354">
        <f t="shared" si="7"/>
        <v>0</v>
      </c>
      <c r="M44" s="227">
        <f>L44*D44*VPI!Q44</f>
        <v>0</v>
      </c>
    </row>
    <row r="45" spans="1:13" x14ac:dyDescent="0.25">
      <c r="A45" s="127">
        <f>Données!A45</f>
        <v>5477</v>
      </c>
      <c r="B45" s="26" t="str">
        <f>Données!B45</f>
        <v>Cossonay</v>
      </c>
      <c r="C45" s="266">
        <f>VPI!R45</f>
        <v>181500.7204411765</v>
      </c>
      <c r="D45" s="26">
        <f>Données!Z45</f>
        <v>4902</v>
      </c>
      <c r="E45" s="86">
        <f t="shared" si="0"/>
        <v>37.025850763193901</v>
      </c>
      <c r="F45" s="140">
        <f t="shared" si="1"/>
        <v>0.74102930648764065</v>
      </c>
      <c r="G45" s="352">
        <f t="shared" si="2"/>
        <v>0</v>
      </c>
      <c r="H45" s="352">
        <f t="shared" si="3"/>
        <v>0</v>
      </c>
      <c r="I45" s="352">
        <f t="shared" si="4"/>
        <v>0</v>
      </c>
      <c r="J45" s="352">
        <f t="shared" si="5"/>
        <v>0</v>
      </c>
      <c r="K45" s="352">
        <f t="shared" si="6"/>
        <v>0</v>
      </c>
      <c r="L45" s="354">
        <f t="shared" si="7"/>
        <v>0</v>
      </c>
      <c r="M45" s="227">
        <f>L45*D45*VPI!Q45</f>
        <v>0</v>
      </c>
    </row>
    <row r="46" spans="1:13" x14ac:dyDescent="0.25">
      <c r="A46" s="127">
        <f>Données!A46</f>
        <v>5479</v>
      </c>
      <c r="B46" s="26" t="str">
        <f>Données!B46</f>
        <v>Cuarnens</v>
      </c>
      <c r="C46" s="266">
        <f>VPI!R46</f>
        <v>19152.633421052633</v>
      </c>
      <c r="D46" s="26">
        <f>Données!Z46</f>
        <v>561</v>
      </c>
      <c r="E46" s="86">
        <f t="shared" si="0"/>
        <v>34.140166525940522</v>
      </c>
      <c r="F46" s="140">
        <f t="shared" si="1"/>
        <v>0.68327569529446119</v>
      </c>
      <c r="G46" s="352">
        <f t="shared" si="2"/>
        <v>0</v>
      </c>
      <c r="H46" s="352">
        <f t="shared" si="3"/>
        <v>0</v>
      </c>
      <c r="I46" s="352">
        <f t="shared" si="4"/>
        <v>0</v>
      </c>
      <c r="J46" s="352">
        <f t="shared" si="5"/>
        <v>0</v>
      </c>
      <c r="K46" s="352">
        <f t="shared" si="6"/>
        <v>0</v>
      </c>
      <c r="L46" s="354">
        <f t="shared" si="7"/>
        <v>0</v>
      </c>
      <c r="M46" s="227">
        <f>L46*D46*VPI!Q46</f>
        <v>0</v>
      </c>
    </row>
    <row r="47" spans="1:13" x14ac:dyDescent="0.25">
      <c r="A47" s="127">
        <f>Données!A47</f>
        <v>5480</v>
      </c>
      <c r="B47" s="26" t="str">
        <f>Données!B47</f>
        <v>Daillens</v>
      </c>
      <c r="C47" s="266">
        <f>VPI!R47</f>
        <v>49509.108484848482</v>
      </c>
      <c r="D47" s="26">
        <f>Données!Z47</f>
        <v>1099</v>
      </c>
      <c r="E47" s="86">
        <f t="shared" si="0"/>
        <v>45.049234290126009</v>
      </c>
      <c r="F47" s="140">
        <f t="shared" si="1"/>
        <v>0.90160798889720561</v>
      </c>
      <c r="G47" s="352">
        <f t="shared" si="2"/>
        <v>0</v>
      </c>
      <c r="H47" s="352">
        <f t="shared" si="3"/>
        <v>0</v>
      </c>
      <c r="I47" s="352">
        <f t="shared" si="4"/>
        <v>0</v>
      </c>
      <c r="J47" s="352">
        <f t="shared" si="5"/>
        <v>0</v>
      </c>
      <c r="K47" s="352">
        <f t="shared" si="6"/>
        <v>0</v>
      </c>
      <c r="L47" s="354">
        <f t="shared" si="7"/>
        <v>0</v>
      </c>
      <c r="M47" s="227">
        <f>L47*D47*VPI!Q47</f>
        <v>0</v>
      </c>
    </row>
    <row r="48" spans="1:13" x14ac:dyDescent="0.25">
      <c r="A48" s="127">
        <f>Données!A48</f>
        <v>5481</v>
      </c>
      <c r="B48" s="26" t="str">
        <f>Données!B48</f>
        <v>Dizy</v>
      </c>
      <c r="C48" s="266">
        <f>VPI!R48</f>
        <v>12384.965733333334</v>
      </c>
      <c r="D48" s="26">
        <f>Données!Z48</f>
        <v>238</v>
      </c>
      <c r="E48" s="86">
        <f t="shared" si="0"/>
        <v>52.037671148459388</v>
      </c>
      <c r="F48" s="140">
        <f t="shared" si="1"/>
        <v>1.0414734183692909</v>
      </c>
      <c r="G48" s="352">
        <f t="shared" si="2"/>
        <v>2.072237340327753</v>
      </c>
      <c r="H48" s="352">
        <f t="shared" si="3"/>
        <v>0</v>
      </c>
      <c r="I48" s="352">
        <f t="shared" si="4"/>
        <v>0</v>
      </c>
      <c r="J48" s="352">
        <f t="shared" si="5"/>
        <v>0</v>
      </c>
      <c r="K48" s="352">
        <f t="shared" si="6"/>
        <v>0</v>
      </c>
      <c r="L48" s="354">
        <f t="shared" si="7"/>
        <v>0.41444746806555061</v>
      </c>
      <c r="M48" s="227">
        <f>L48*D48*VPI!Q48</f>
        <v>7397.8873049700787</v>
      </c>
    </row>
    <row r="49" spans="1:13" x14ac:dyDescent="0.25">
      <c r="A49" s="127">
        <f>Données!A49</f>
        <v>5482</v>
      </c>
      <c r="B49" s="26" t="str">
        <f>Données!B49</f>
        <v>Eclépens</v>
      </c>
      <c r="C49" s="266">
        <f>VPI!R49</f>
        <v>54393.337391304347</v>
      </c>
      <c r="D49" s="26">
        <f>Données!Z49</f>
        <v>1211</v>
      </c>
      <c r="E49" s="86">
        <f t="shared" si="0"/>
        <v>44.916050694718699</v>
      </c>
      <c r="F49" s="140">
        <f t="shared" si="1"/>
        <v>0.89894247425524854</v>
      </c>
      <c r="G49" s="352">
        <f t="shared" si="2"/>
        <v>0</v>
      </c>
      <c r="H49" s="352">
        <f t="shared" si="3"/>
        <v>0</v>
      </c>
      <c r="I49" s="352">
        <f t="shared" si="4"/>
        <v>0</v>
      </c>
      <c r="J49" s="352">
        <f t="shared" si="5"/>
        <v>0</v>
      </c>
      <c r="K49" s="352">
        <f t="shared" si="6"/>
        <v>0</v>
      </c>
      <c r="L49" s="354">
        <f t="shared" si="7"/>
        <v>0</v>
      </c>
      <c r="M49" s="227">
        <f>L49*D49*VPI!Q49</f>
        <v>0</v>
      </c>
    </row>
    <row r="50" spans="1:13" x14ac:dyDescent="0.25">
      <c r="A50" s="127">
        <f>Données!A50</f>
        <v>5483</v>
      </c>
      <c r="B50" s="26" t="str">
        <f>Données!B50</f>
        <v>Ferreyres</v>
      </c>
      <c r="C50" s="266">
        <f>VPI!R50</f>
        <v>11195.615526315791</v>
      </c>
      <c r="D50" s="26">
        <f>Données!Z50</f>
        <v>309</v>
      </c>
      <c r="E50" s="86">
        <f t="shared" si="0"/>
        <v>36.231765457332656</v>
      </c>
      <c r="F50" s="140">
        <f t="shared" si="1"/>
        <v>0.72513661337282553</v>
      </c>
      <c r="G50" s="352">
        <f t="shared" si="2"/>
        <v>0</v>
      </c>
      <c r="H50" s="352">
        <f t="shared" si="3"/>
        <v>0</v>
      </c>
      <c r="I50" s="352">
        <f t="shared" si="4"/>
        <v>0</v>
      </c>
      <c r="J50" s="352">
        <f t="shared" si="5"/>
        <v>0</v>
      </c>
      <c r="K50" s="352">
        <f t="shared" si="6"/>
        <v>0</v>
      </c>
      <c r="L50" s="354">
        <f t="shared" si="7"/>
        <v>0</v>
      </c>
      <c r="M50" s="227">
        <f>L50*D50*VPI!Q50</f>
        <v>0</v>
      </c>
    </row>
    <row r="51" spans="1:13" x14ac:dyDescent="0.25">
      <c r="A51" s="127">
        <f>Données!A51</f>
        <v>5484</v>
      </c>
      <c r="B51" s="26" t="str">
        <f>Données!B51</f>
        <v>Gollion</v>
      </c>
      <c r="C51" s="266">
        <f>VPI!R51</f>
        <v>33718.962837837833</v>
      </c>
      <c r="D51" s="26">
        <f>Données!Z51</f>
        <v>1064</v>
      </c>
      <c r="E51" s="86">
        <f t="shared" si="0"/>
        <v>31.690754546840068</v>
      </c>
      <c r="F51" s="140">
        <f t="shared" si="1"/>
        <v>0.6342535655455982</v>
      </c>
      <c r="G51" s="352">
        <f t="shared" si="2"/>
        <v>0</v>
      </c>
      <c r="H51" s="352">
        <f t="shared" si="3"/>
        <v>0</v>
      </c>
      <c r="I51" s="352">
        <f t="shared" si="4"/>
        <v>0</v>
      </c>
      <c r="J51" s="352">
        <f t="shared" si="5"/>
        <v>0</v>
      </c>
      <c r="K51" s="352">
        <f t="shared" si="6"/>
        <v>0</v>
      </c>
      <c r="L51" s="354">
        <f t="shared" si="7"/>
        <v>0</v>
      </c>
      <c r="M51" s="227">
        <f>L51*D51*VPI!Q51</f>
        <v>0</v>
      </c>
    </row>
    <row r="52" spans="1:13" x14ac:dyDescent="0.25">
      <c r="A52" s="127">
        <f>Données!A52</f>
        <v>5485</v>
      </c>
      <c r="B52" s="26" t="str">
        <f>Données!B52</f>
        <v>Grancy</v>
      </c>
      <c r="C52" s="266">
        <f>VPI!R52</f>
        <v>26449.499428571431</v>
      </c>
      <c r="D52" s="26">
        <f>Données!Z52</f>
        <v>540</v>
      </c>
      <c r="E52" s="86">
        <f t="shared" si="0"/>
        <v>48.980554497354504</v>
      </c>
      <c r="F52" s="140">
        <f t="shared" si="1"/>
        <v>0.98028878695301458</v>
      </c>
      <c r="G52" s="352">
        <f t="shared" si="2"/>
        <v>0</v>
      </c>
      <c r="H52" s="352">
        <f t="shared" si="3"/>
        <v>0</v>
      </c>
      <c r="I52" s="352">
        <f t="shared" si="4"/>
        <v>0</v>
      </c>
      <c r="J52" s="352">
        <f t="shared" si="5"/>
        <v>0</v>
      </c>
      <c r="K52" s="352">
        <f t="shared" si="6"/>
        <v>0</v>
      </c>
      <c r="L52" s="354">
        <f t="shared" si="7"/>
        <v>0</v>
      </c>
      <c r="M52" s="227">
        <f>L52*D52*VPI!Q52</f>
        <v>0</v>
      </c>
    </row>
    <row r="53" spans="1:13" x14ac:dyDescent="0.25">
      <c r="A53" s="127">
        <f>Données!A53</f>
        <v>5486</v>
      </c>
      <c r="B53" s="26" t="str">
        <f>Données!B53</f>
        <v>L'Isle</v>
      </c>
      <c r="C53" s="266">
        <f>VPI!R53</f>
        <v>36962.66320000001</v>
      </c>
      <c r="D53" s="26">
        <f>Données!Z53</f>
        <v>1096</v>
      </c>
      <c r="E53" s="86">
        <f t="shared" si="0"/>
        <v>33.725057664233589</v>
      </c>
      <c r="F53" s="140">
        <f t="shared" si="1"/>
        <v>0.67496777459670521</v>
      </c>
      <c r="G53" s="352">
        <f t="shared" si="2"/>
        <v>0</v>
      </c>
      <c r="H53" s="352">
        <f t="shared" si="3"/>
        <v>0</v>
      </c>
      <c r="I53" s="352">
        <f t="shared" si="4"/>
        <v>0</v>
      </c>
      <c r="J53" s="352">
        <f t="shared" si="5"/>
        <v>0</v>
      </c>
      <c r="K53" s="352">
        <f t="shared" si="6"/>
        <v>0</v>
      </c>
      <c r="L53" s="354">
        <f t="shared" si="7"/>
        <v>0</v>
      </c>
      <c r="M53" s="227">
        <f>L53*D53*VPI!Q53</f>
        <v>0</v>
      </c>
    </row>
    <row r="54" spans="1:13" x14ac:dyDescent="0.25">
      <c r="A54" s="127">
        <f>Données!A54</f>
        <v>5487</v>
      </c>
      <c r="B54" s="26" t="str">
        <f>Données!B54</f>
        <v>Lussery-Villars</v>
      </c>
      <c r="C54" s="266">
        <f>VPI!R54</f>
        <v>15075.076666666666</v>
      </c>
      <c r="D54" s="26">
        <f>Données!Z54</f>
        <v>468</v>
      </c>
      <c r="E54" s="86">
        <f t="shared" si="0"/>
        <v>32.211702279202278</v>
      </c>
      <c r="F54" s="140">
        <f t="shared" si="1"/>
        <v>0.64467972804751228</v>
      </c>
      <c r="G54" s="352">
        <f t="shared" si="2"/>
        <v>0</v>
      </c>
      <c r="H54" s="352">
        <f t="shared" si="3"/>
        <v>0</v>
      </c>
      <c r="I54" s="352">
        <f t="shared" si="4"/>
        <v>0</v>
      </c>
      <c r="J54" s="352">
        <f t="shared" si="5"/>
        <v>0</v>
      </c>
      <c r="K54" s="352">
        <f t="shared" si="6"/>
        <v>0</v>
      </c>
      <c r="L54" s="354">
        <f t="shared" si="7"/>
        <v>0</v>
      </c>
      <c r="M54" s="227">
        <f>L54*D54*VPI!Q54</f>
        <v>0</v>
      </c>
    </row>
    <row r="55" spans="1:13" x14ac:dyDescent="0.25">
      <c r="A55" s="127">
        <f>Données!A55</f>
        <v>5488</v>
      </c>
      <c r="B55" s="26" t="str">
        <f>Données!B55</f>
        <v>Mauraz</v>
      </c>
      <c r="C55" s="266">
        <f>VPI!R55</f>
        <v>1889.5633766233766</v>
      </c>
      <c r="D55" s="26">
        <f>Données!Z55</f>
        <v>67</v>
      </c>
      <c r="E55" s="86">
        <f t="shared" si="0"/>
        <v>28.202438457065323</v>
      </c>
      <c r="F55" s="140">
        <f t="shared" si="1"/>
        <v>0.56443897926240982</v>
      </c>
      <c r="G55" s="352">
        <f t="shared" si="2"/>
        <v>0</v>
      </c>
      <c r="H55" s="352">
        <f t="shared" si="3"/>
        <v>0</v>
      </c>
      <c r="I55" s="352">
        <f t="shared" si="4"/>
        <v>0</v>
      </c>
      <c r="J55" s="352">
        <f t="shared" si="5"/>
        <v>0</v>
      </c>
      <c r="K55" s="352">
        <f t="shared" si="6"/>
        <v>0</v>
      </c>
      <c r="L55" s="354">
        <f t="shared" si="7"/>
        <v>0</v>
      </c>
      <c r="M55" s="227">
        <f>L55*D55*VPI!Q55</f>
        <v>0</v>
      </c>
    </row>
    <row r="56" spans="1:13" x14ac:dyDescent="0.25">
      <c r="A56" s="127">
        <f>Données!A56</f>
        <v>5489</v>
      </c>
      <c r="B56" s="26" t="str">
        <f>Données!B56</f>
        <v>Mex</v>
      </c>
      <c r="C56" s="266">
        <f>VPI!R56</f>
        <v>77108.405546218492</v>
      </c>
      <c r="D56" s="26">
        <f>Données!Z56</f>
        <v>809</v>
      </c>
      <c r="E56" s="86">
        <f t="shared" si="0"/>
        <v>95.313233060838684</v>
      </c>
      <c r="F56" s="140">
        <f t="shared" si="1"/>
        <v>1.9075834191061685</v>
      </c>
      <c r="G56" s="352">
        <f t="shared" si="2"/>
        <v>45.347799252707048</v>
      </c>
      <c r="H56" s="352">
        <f t="shared" si="3"/>
        <v>35.354712491080726</v>
      </c>
      <c r="I56" s="352">
        <f t="shared" si="4"/>
        <v>20.365082348641238</v>
      </c>
      <c r="J56" s="352">
        <f t="shared" si="5"/>
        <v>0</v>
      </c>
      <c r="K56" s="352">
        <f t="shared" si="6"/>
        <v>0</v>
      </c>
      <c r="L56" s="354">
        <f t="shared" si="7"/>
        <v>14.641539334513606</v>
      </c>
      <c r="M56" s="227">
        <f>L56*D56*VPI!Q56</f>
        <v>704777.81663647969</v>
      </c>
    </row>
    <row r="57" spans="1:13" x14ac:dyDescent="0.25">
      <c r="A57" s="127">
        <f>Données!A57</f>
        <v>5490</v>
      </c>
      <c r="B57" s="26" t="str">
        <f>Données!B57</f>
        <v>Moiry</v>
      </c>
      <c r="C57" s="266">
        <f>VPI!R57</f>
        <v>8086.7260526315777</v>
      </c>
      <c r="D57" s="26">
        <f>Données!Z57</f>
        <v>299</v>
      </c>
      <c r="E57" s="86">
        <f t="shared" si="0"/>
        <v>27.045906530540393</v>
      </c>
      <c r="F57" s="140">
        <f t="shared" si="1"/>
        <v>0.54129233890767903</v>
      </c>
      <c r="G57" s="352">
        <f t="shared" si="2"/>
        <v>0</v>
      </c>
      <c r="H57" s="352">
        <f t="shared" si="3"/>
        <v>0</v>
      </c>
      <c r="I57" s="352">
        <f t="shared" si="4"/>
        <v>0</v>
      </c>
      <c r="J57" s="352">
        <f t="shared" si="5"/>
        <v>0</v>
      </c>
      <c r="K57" s="352">
        <f t="shared" si="6"/>
        <v>0</v>
      </c>
      <c r="L57" s="354">
        <f t="shared" si="7"/>
        <v>0</v>
      </c>
      <c r="M57" s="227">
        <f>L57*D57*VPI!Q57</f>
        <v>0</v>
      </c>
    </row>
    <row r="58" spans="1:13" x14ac:dyDescent="0.25">
      <c r="A58" s="127">
        <f>Données!A58</f>
        <v>5491</v>
      </c>
      <c r="B58" s="26" t="str">
        <f>Données!B58</f>
        <v>Mont-la-Ville</v>
      </c>
      <c r="C58" s="266">
        <f>VPI!R58</f>
        <v>14059.996578947368</v>
      </c>
      <c r="D58" s="26">
        <f>Données!Z58</f>
        <v>495</v>
      </c>
      <c r="E58" s="86">
        <f t="shared" si="0"/>
        <v>28.404033492822965</v>
      </c>
      <c r="F58" s="140">
        <f t="shared" si="1"/>
        <v>0.56847366925493092</v>
      </c>
      <c r="G58" s="352">
        <f t="shared" si="2"/>
        <v>0</v>
      </c>
      <c r="H58" s="352">
        <f t="shared" si="3"/>
        <v>0</v>
      </c>
      <c r="I58" s="352">
        <f t="shared" si="4"/>
        <v>0</v>
      </c>
      <c r="J58" s="352">
        <f t="shared" si="5"/>
        <v>0</v>
      </c>
      <c r="K58" s="352">
        <f t="shared" si="6"/>
        <v>0</v>
      </c>
      <c r="L58" s="354">
        <f t="shared" si="7"/>
        <v>0</v>
      </c>
      <c r="M58" s="227">
        <f>L58*D58*VPI!Q58</f>
        <v>0</v>
      </c>
    </row>
    <row r="59" spans="1:13" x14ac:dyDescent="0.25">
      <c r="A59" s="127">
        <f>Données!A59</f>
        <v>5492</v>
      </c>
      <c r="B59" s="26" t="str">
        <f>Données!B59</f>
        <v>Montricher</v>
      </c>
      <c r="C59" s="266">
        <f>VPI!R59</f>
        <v>198155.03156250002</v>
      </c>
      <c r="D59" s="26">
        <f>Données!Z59</f>
        <v>943</v>
      </c>
      <c r="E59" s="86">
        <f t="shared" si="0"/>
        <v>210.13258914369038</v>
      </c>
      <c r="F59" s="140">
        <f t="shared" si="1"/>
        <v>4.2055591861886787</v>
      </c>
      <c r="G59" s="352">
        <f t="shared" si="2"/>
        <v>160.16715533555873</v>
      </c>
      <c r="H59" s="352">
        <f t="shared" si="3"/>
        <v>150.17406857393243</v>
      </c>
      <c r="I59" s="352">
        <f t="shared" si="4"/>
        <v>135.18443843149294</v>
      </c>
      <c r="J59" s="352">
        <f t="shared" si="5"/>
        <v>110.20172152742711</v>
      </c>
      <c r="K59" s="352">
        <f t="shared" si="6"/>
        <v>60.23628771929549</v>
      </c>
      <c r="L59" s="354">
        <f t="shared" si="7"/>
        <v>77.613082692326543</v>
      </c>
      <c r="M59" s="227">
        <f>L59*D59*VPI!Q59</f>
        <v>4684104.7666472914</v>
      </c>
    </row>
    <row r="60" spans="1:13" x14ac:dyDescent="0.25">
      <c r="A60" s="127">
        <f>Données!A60</f>
        <v>5493</v>
      </c>
      <c r="B60" s="26" t="str">
        <f>Données!B60</f>
        <v>Orny</v>
      </c>
      <c r="C60" s="266">
        <f>VPI!R60</f>
        <v>16121.406280295052</v>
      </c>
      <c r="D60" s="26">
        <f>Données!Z60</f>
        <v>497</v>
      </c>
      <c r="E60" s="86">
        <f t="shared" si="0"/>
        <v>32.437437183692261</v>
      </c>
      <c r="F60" s="140">
        <f t="shared" si="1"/>
        <v>0.64919754941491614</v>
      </c>
      <c r="G60" s="352">
        <f t="shared" si="2"/>
        <v>0</v>
      </c>
      <c r="H60" s="352">
        <f t="shared" si="3"/>
        <v>0</v>
      </c>
      <c r="I60" s="352">
        <f t="shared" si="4"/>
        <v>0</v>
      </c>
      <c r="J60" s="352">
        <f t="shared" si="5"/>
        <v>0</v>
      </c>
      <c r="K60" s="352">
        <f t="shared" si="6"/>
        <v>0</v>
      </c>
      <c r="L60" s="354">
        <f t="shared" si="7"/>
        <v>0</v>
      </c>
      <c r="M60" s="227">
        <f>L60*D60*VPI!Q60</f>
        <v>0</v>
      </c>
    </row>
    <row r="61" spans="1:13" x14ac:dyDescent="0.25">
      <c r="A61" s="127">
        <f>Données!A61</f>
        <v>5495</v>
      </c>
      <c r="B61" s="26" t="str">
        <f>Données!B61</f>
        <v>Penthalaz</v>
      </c>
      <c r="C61" s="266">
        <f>VPI!R61</f>
        <v>96624.252827586228</v>
      </c>
      <c r="D61" s="26">
        <f>Données!Z61</f>
        <v>3177</v>
      </c>
      <c r="E61" s="86">
        <f t="shared" si="0"/>
        <v>30.413677314317351</v>
      </c>
      <c r="F61" s="140">
        <f t="shared" si="1"/>
        <v>0.60869435120100313</v>
      </c>
      <c r="G61" s="352">
        <f t="shared" si="2"/>
        <v>0</v>
      </c>
      <c r="H61" s="352">
        <f t="shared" si="3"/>
        <v>0</v>
      </c>
      <c r="I61" s="352">
        <f t="shared" si="4"/>
        <v>0</v>
      </c>
      <c r="J61" s="352">
        <f t="shared" si="5"/>
        <v>0</v>
      </c>
      <c r="K61" s="352">
        <f t="shared" si="6"/>
        <v>0</v>
      </c>
      <c r="L61" s="354">
        <f t="shared" si="7"/>
        <v>0</v>
      </c>
      <c r="M61" s="227">
        <f>L61*D61*VPI!Q61</f>
        <v>0</v>
      </c>
    </row>
    <row r="62" spans="1:13" x14ac:dyDescent="0.25">
      <c r="A62" s="127">
        <f>Données!A62</f>
        <v>5496</v>
      </c>
      <c r="B62" s="26" t="str">
        <f>Données!B62</f>
        <v>Penthaz</v>
      </c>
      <c r="C62" s="266">
        <f>VPI!R62</f>
        <v>63424.403453237413</v>
      </c>
      <c r="D62" s="26">
        <f>Données!Z62</f>
        <v>1946</v>
      </c>
      <c r="E62" s="86">
        <f t="shared" si="0"/>
        <v>32.592190880389218</v>
      </c>
      <c r="F62" s="140">
        <f t="shared" si="1"/>
        <v>0.65229476452749213</v>
      </c>
      <c r="G62" s="352">
        <f t="shared" si="2"/>
        <v>0</v>
      </c>
      <c r="H62" s="352">
        <f t="shared" si="3"/>
        <v>0</v>
      </c>
      <c r="I62" s="352">
        <f t="shared" si="4"/>
        <v>0</v>
      </c>
      <c r="J62" s="352">
        <f t="shared" si="5"/>
        <v>0</v>
      </c>
      <c r="K62" s="352">
        <f t="shared" si="6"/>
        <v>0</v>
      </c>
      <c r="L62" s="354">
        <f t="shared" si="7"/>
        <v>0</v>
      </c>
      <c r="M62" s="227">
        <f>L62*D62*VPI!Q62</f>
        <v>0</v>
      </c>
    </row>
    <row r="63" spans="1:13" x14ac:dyDescent="0.25">
      <c r="A63" s="127">
        <f>Données!A63</f>
        <v>5497</v>
      </c>
      <c r="B63" s="26" t="str">
        <f>Données!B63</f>
        <v>Pompaples</v>
      </c>
      <c r="C63" s="266">
        <f>VPI!R63</f>
        <v>29282.771666666667</v>
      </c>
      <c r="D63" s="26">
        <f>Données!Z63</f>
        <v>930</v>
      </c>
      <c r="E63" s="86">
        <f t="shared" si="0"/>
        <v>31.486851254480289</v>
      </c>
      <c r="F63" s="140">
        <f t="shared" si="1"/>
        <v>0.63017267848389924</v>
      </c>
      <c r="G63" s="352">
        <f t="shared" si="2"/>
        <v>0</v>
      </c>
      <c r="H63" s="352">
        <f t="shared" si="3"/>
        <v>0</v>
      </c>
      <c r="I63" s="352">
        <f t="shared" si="4"/>
        <v>0</v>
      </c>
      <c r="J63" s="352">
        <f t="shared" si="5"/>
        <v>0</v>
      </c>
      <c r="K63" s="352">
        <f t="shared" si="6"/>
        <v>0</v>
      </c>
      <c r="L63" s="354">
        <f t="shared" si="7"/>
        <v>0</v>
      </c>
      <c r="M63" s="227">
        <f>L63*D63*VPI!Q63</f>
        <v>0</v>
      </c>
    </row>
    <row r="64" spans="1:13" x14ac:dyDescent="0.25">
      <c r="A64" s="127">
        <f>Données!A64</f>
        <v>5498</v>
      </c>
      <c r="B64" s="26" t="str">
        <f>Données!B64</f>
        <v>La Sarraz</v>
      </c>
      <c r="C64" s="266">
        <f>VPI!R64</f>
        <v>76599.208428571437</v>
      </c>
      <c r="D64" s="26">
        <f>Données!Z64</f>
        <v>2618</v>
      </c>
      <c r="E64" s="86">
        <f t="shared" si="0"/>
        <v>29.25867396049329</v>
      </c>
      <c r="F64" s="140">
        <f t="shared" si="1"/>
        <v>0.58557830344968564</v>
      </c>
      <c r="G64" s="352">
        <f t="shared" si="2"/>
        <v>0</v>
      </c>
      <c r="H64" s="352">
        <f t="shared" si="3"/>
        <v>0</v>
      </c>
      <c r="I64" s="352">
        <f t="shared" si="4"/>
        <v>0</v>
      </c>
      <c r="J64" s="352">
        <f t="shared" si="5"/>
        <v>0</v>
      </c>
      <c r="K64" s="352">
        <f t="shared" si="6"/>
        <v>0</v>
      </c>
      <c r="L64" s="354">
        <f t="shared" si="7"/>
        <v>0</v>
      </c>
      <c r="M64" s="227">
        <f>L64*D64*VPI!Q64</f>
        <v>0</v>
      </c>
    </row>
    <row r="65" spans="1:13" x14ac:dyDescent="0.25">
      <c r="A65" s="127">
        <f>Données!A65</f>
        <v>5499</v>
      </c>
      <c r="B65" s="26" t="str">
        <f>Données!B65</f>
        <v>Senarclens</v>
      </c>
      <c r="C65" s="266">
        <f>VPI!R65</f>
        <v>21136.176934306572</v>
      </c>
      <c r="D65" s="26">
        <f>Données!Z65</f>
        <v>480</v>
      </c>
      <c r="E65" s="86">
        <f t="shared" si="0"/>
        <v>44.033701946472021</v>
      </c>
      <c r="F65" s="140">
        <f t="shared" si="1"/>
        <v>0.88128329107603476</v>
      </c>
      <c r="G65" s="352">
        <f t="shared" si="2"/>
        <v>0</v>
      </c>
      <c r="H65" s="352">
        <f t="shared" si="3"/>
        <v>0</v>
      </c>
      <c r="I65" s="352">
        <f t="shared" si="4"/>
        <v>0</v>
      </c>
      <c r="J65" s="352">
        <f t="shared" si="5"/>
        <v>0</v>
      </c>
      <c r="K65" s="352">
        <f t="shared" si="6"/>
        <v>0</v>
      </c>
      <c r="L65" s="354">
        <f t="shared" si="7"/>
        <v>0</v>
      </c>
      <c r="M65" s="227">
        <f>L65*D65*VPI!Q65</f>
        <v>0</v>
      </c>
    </row>
    <row r="66" spans="1:13" x14ac:dyDescent="0.25">
      <c r="A66" s="127">
        <f>Données!A66</f>
        <v>5501</v>
      </c>
      <c r="B66" s="26" t="str">
        <f>Données!B66</f>
        <v>Sullens</v>
      </c>
      <c r="C66" s="266">
        <f>VPI!R66</f>
        <v>57751.835468749996</v>
      </c>
      <c r="D66" s="26">
        <f>Données!Z66</f>
        <v>1225</v>
      </c>
      <c r="E66" s="86">
        <f t="shared" si="0"/>
        <v>47.144355484693875</v>
      </c>
      <c r="F66" s="140">
        <f t="shared" si="1"/>
        <v>0.94353940097326561</v>
      </c>
      <c r="G66" s="352">
        <f t="shared" si="2"/>
        <v>0</v>
      </c>
      <c r="H66" s="352">
        <f t="shared" si="3"/>
        <v>0</v>
      </c>
      <c r="I66" s="352">
        <f t="shared" si="4"/>
        <v>0</v>
      </c>
      <c r="J66" s="352">
        <f t="shared" si="5"/>
        <v>0</v>
      </c>
      <c r="K66" s="352">
        <f t="shared" si="6"/>
        <v>0</v>
      </c>
      <c r="L66" s="354">
        <f t="shared" si="7"/>
        <v>0</v>
      </c>
      <c r="M66" s="227">
        <f>L66*D66*VPI!Q66</f>
        <v>0</v>
      </c>
    </row>
    <row r="67" spans="1:13" x14ac:dyDescent="0.25">
      <c r="A67" s="127">
        <f>Données!A67</f>
        <v>5503</v>
      </c>
      <c r="B67" s="26" t="str">
        <f>Données!B67</f>
        <v>Vufflens-la-Ville</v>
      </c>
      <c r="C67" s="266">
        <f>VPI!R67</f>
        <v>68821.666815920398</v>
      </c>
      <c r="D67" s="26">
        <f>Données!Z67</f>
        <v>1342</v>
      </c>
      <c r="E67" s="86">
        <f t="shared" si="0"/>
        <v>51.282911189210431</v>
      </c>
      <c r="F67" s="140">
        <f t="shared" si="1"/>
        <v>1.0263677762938663</v>
      </c>
      <c r="G67" s="352">
        <f t="shared" si="2"/>
        <v>1.3174773810787954</v>
      </c>
      <c r="H67" s="352">
        <f t="shared" si="3"/>
        <v>0</v>
      </c>
      <c r="I67" s="352">
        <f t="shared" si="4"/>
        <v>0</v>
      </c>
      <c r="J67" s="352">
        <f t="shared" si="5"/>
        <v>0</v>
      </c>
      <c r="K67" s="352">
        <f t="shared" si="6"/>
        <v>0</v>
      </c>
      <c r="L67" s="354">
        <f t="shared" si="7"/>
        <v>0.26349547621575908</v>
      </c>
      <c r="M67" s="227">
        <f>L67*D67*VPI!Q67</f>
        <v>23691.932248463763</v>
      </c>
    </row>
    <row r="68" spans="1:13" x14ac:dyDescent="0.25">
      <c r="A68" s="127">
        <f>Données!A68</f>
        <v>5511</v>
      </c>
      <c r="B68" s="26" t="str">
        <f>Données!B68</f>
        <v>Assens</v>
      </c>
      <c r="C68" s="266">
        <f>VPI!R68</f>
        <v>69828.319999999992</v>
      </c>
      <c r="D68" s="26">
        <f>Données!Z68</f>
        <v>1711</v>
      </c>
      <c r="E68" s="86">
        <f t="shared" si="0"/>
        <v>40.81140853302162</v>
      </c>
      <c r="F68" s="140">
        <f t="shared" si="1"/>
        <v>0.81679283902023803</v>
      </c>
      <c r="G68" s="352">
        <f t="shared" si="2"/>
        <v>0</v>
      </c>
      <c r="H68" s="352">
        <f t="shared" si="3"/>
        <v>0</v>
      </c>
      <c r="I68" s="352">
        <f t="shared" si="4"/>
        <v>0</v>
      </c>
      <c r="J68" s="352">
        <f t="shared" si="5"/>
        <v>0</v>
      </c>
      <c r="K68" s="352">
        <f t="shared" si="6"/>
        <v>0</v>
      </c>
      <c r="L68" s="354">
        <f t="shared" si="7"/>
        <v>0</v>
      </c>
      <c r="M68" s="227">
        <f>L68*D68*VPI!Q68</f>
        <v>0</v>
      </c>
    </row>
    <row r="69" spans="1:13" x14ac:dyDescent="0.25">
      <c r="A69" s="127">
        <f>Données!A69</f>
        <v>5512</v>
      </c>
      <c r="B69" s="26" t="str">
        <f>Données!B69</f>
        <v>Bercher</v>
      </c>
      <c r="C69" s="266">
        <f>VPI!R69</f>
        <v>41189.844430379737</v>
      </c>
      <c r="D69" s="26">
        <f>Données!Z69</f>
        <v>1344</v>
      </c>
      <c r="E69" s="86">
        <f t="shared" si="0"/>
        <v>30.647205677365875</v>
      </c>
      <c r="F69" s="140">
        <f t="shared" si="1"/>
        <v>0.61336814957019725</v>
      </c>
      <c r="G69" s="352">
        <f t="shared" si="2"/>
        <v>0</v>
      </c>
      <c r="H69" s="352">
        <f t="shared" si="3"/>
        <v>0</v>
      </c>
      <c r="I69" s="352">
        <f t="shared" si="4"/>
        <v>0</v>
      </c>
      <c r="J69" s="352">
        <f t="shared" si="5"/>
        <v>0</v>
      </c>
      <c r="K69" s="352">
        <f t="shared" si="6"/>
        <v>0</v>
      </c>
      <c r="L69" s="354">
        <f t="shared" si="7"/>
        <v>0</v>
      </c>
      <c r="M69" s="227">
        <f>L69*D69*VPI!Q69</f>
        <v>0</v>
      </c>
    </row>
    <row r="70" spans="1:13" x14ac:dyDescent="0.25">
      <c r="A70" s="127">
        <f>Données!A70</f>
        <v>5514</v>
      </c>
      <c r="B70" s="26" t="str">
        <f>Données!B70</f>
        <v>Bottens</v>
      </c>
      <c r="C70" s="266">
        <f>VPI!R70</f>
        <v>45955.362896551727</v>
      </c>
      <c r="D70" s="26">
        <f>Données!Z70</f>
        <v>1358</v>
      </c>
      <c r="E70" s="86">
        <f t="shared" si="0"/>
        <v>33.84047341425017</v>
      </c>
      <c r="F70" s="140">
        <f t="shared" si="1"/>
        <v>0.67727768649419384</v>
      </c>
      <c r="G70" s="352">
        <f t="shared" si="2"/>
        <v>0</v>
      </c>
      <c r="H70" s="352">
        <f t="shared" si="3"/>
        <v>0</v>
      </c>
      <c r="I70" s="352">
        <f t="shared" si="4"/>
        <v>0</v>
      </c>
      <c r="J70" s="352">
        <f t="shared" si="5"/>
        <v>0</v>
      </c>
      <c r="K70" s="352">
        <f t="shared" si="6"/>
        <v>0</v>
      </c>
      <c r="L70" s="354">
        <f t="shared" si="7"/>
        <v>0</v>
      </c>
      <c r="M70" s="227">
        <f>L70*D70*VPI!Q70</f>
        <v>0</v>
      </c>
    </row>
    <row r="71" spans="1:13" x14ac:dyDescent="0.25">
      <c r="A71" s="127">
        <f>Données!A71</f>
        <v>5515</v>
      </c>
      <c r="B71" s="26" t="str">
        <f>Données!B71</f>
        <v>Bretigny-sur-Morrens</v>
      </c>
      <c r="C71" s="266">
        <f>VPI!R71</f>
        <v>32116.031538461531</v>
      </c>
      <c r="D71" s="26">
        <f>Données!Z71</f>
        <v>898</v>
      </c>
      <c r="E71" s="86">
        <f t="shared" ref="E71:E134" si="8">C71/D71</f>
        <v>35.763954942607498</v>
      </c>
      <c r="F71" s="140">
        <f t="shared" ref="F71:F134" si="9">E71/$E$306</f>
        <v>0.71577393043242399</v>
      </c>
      <c r="G71" s="352">
        <f t="shared" ref="G71:G134" si="10">IF(E71-$G$3&lt;0,0,E71-$G$3)</f>
        <v>0</v>
      </c>
      <c r="H71" s="352">
        <f t="shared" ref="H71:H134" si="11">IF(E71-$H$3&lt;0,0,E71-$H$3)</f>
        <v>0</v>
      </c>
      <c r="I71" s="352">
        <f t="shared" ref="I71:I134" si="12">IF(E71-$I$3&lt;0,0,E71-$I$3)</f>
        <v>0</v>
      </c>
      <c r="J71" s="352">
        <f t="shared" ref="J71:J134" si="13">IF(E71-$J$3&lt;0,0,E71-$J$3)</f>
        <v>0</v>
      </c>
      <c r="K71" s="352">
        <f t="shared" ref="K71:K134" si="14">IF(E71-$K$3&lt;0,0,E71-$K$3)</f>
        <v>0</v>
      </c>
      <c r="L71" s="354">
        <f t="shared" ref="L71:L134" si="15">(G71-H71)*$G$4+(H71-I71)*$H$4+(I71-J71)*$I$4+(J71-K71)*$J$4+(K71*$K$4)</f>
        <v>0</v>
      </c>
      <c r="M71" s="227">
        <f>L71*D71*VPI!Q71</f>
        <v>0</v>
      </c>
    </row>
    <row r="72" spans="1:13" x14ac:dyDescent="0.25">
      <c r="A72" s="127">
        <f>Données!A72</f>
        <v>5516</v>
      </c>
      <c r="B72" s="26" t="str">
        <f>Données!B72</f>
        <v>Cugy</v>
      </c>
      <c r="C72" s="266">
        <f>VPI!R72</f>
        <v>112038.1875</v>
      </c>
      <c r="D72" s="26">
        <f>Données!Z72</f>
        <v>2790</v>
      </c>
      <c r="E72" s="86">
        <f t="shared" si="8"/>
        <v>40.157056451612902</v>
      </c>
      <c r="F72" s="140">
        <f t="shared" si="9"/>
        <v>0.80369674374922639</v>
      </c>
      <c r="G72" s="352">
        <f t="shared" si="10"/>
        <v>0</v>
      </c>
      <c r="H72" s="352">
        <f t="shared" si="11"/>
        <v>0</v>
      </c>
      <c r="I72" s="352">
        <f t="shared" si="12"/>
        <v>0</v>
      </c>
      <c r="J72" s="352">
        <f t="shared" si="13"/>
        <v>0</v>
      </c>
      <c r="K72" s="352">
        <f t="shared" si="14"/>
        <v>0</v>
      </c>
      <c r="L72" s="354">
        <f t="shared" si="15"/>
        <v>0</v>
      </c>
      <c r="M72" s="227">
        <f>L72*D72*VPI!Q72</f>
        <v>0</v>
      </c>
    </row>
    <row r="73" spans="1:13" x14ac:dyDescent="0.25">
      <c r="A73" s="127">
        <f>Données!A73</f>
        <v>5518</v>
      </c>
      <c r="B73" s="26" t="str">
        <f>Données!B73</f>
        <v>Echallens</v>
      </c>
      <c r="C73" s="266">
        <f>VPI!R73</f>
        <v>216867.084137931</v>
      </c>
      <c r="D73" s="26">
        <f>Données!Z73</f>
        <v>6722</v>
      </c>
      <c r="E73" s="86">
        <f t="shared" si="8"/>
        <v>32.26228564979634</v>
      </c>
      <c r="F73" s="140">
        <f t="shared" si="9"/>
        <v>0.64569209533303018</v>
      </c>
      <c r="G73" s="352">
        <f t="shared" si="10"/>
        <v>0</v>
      </c>
      <c r="H73" s="352">
        <f t="shared" si="11"/>
        <v>0</v>
      </c>
      <c r="I73" s="352">
        <f t="shared" si="12"/>
        <v>0</v>
      </c>
      <c r="J73" s="352">
        <f t="shared" si="13"/>
        <v>0</v>
      </c>
      <c r="K73" s="352">
        <f t="shared" si="14"/>
        <v>0</v>
      </c>
      <c r="L73" s="354">
        <f t="shared" si="15"/>
        <v>0</v>
      </c>
      <c r="M73" s="227">
        <f>L73*D73*VPI!Q73</f>
        <v>0</v>
      </c>
    </row>
    <row r="74" spans="1:13" x14ac:dyDescent="0.25">
      <c r="A74" s="127">
        <f>Données!A74</f>
        <v>5520</v>
      </c>
      <c r="B74" s="26" t="str">
        <f>Données!B74</f>
        <v>Essertines-sur-Yverdon</v>
      </c>
      <c r="C74" s="266">
        <f>VPI!R74</f>
        <v>35335.874054054053</v>
      </c>
      <c r="D74" s="26">
        <f>Données!Z74</f>
        <v>1148</v>
      </c>
      <c r="E74" s="86">
        <f t="shared" si="8"/>
        <v>30.780378095865899</v>
      </c>
      <c r="F74" s="140">
        <f t="shared" si="9"/>
        <v>0.61603344051936437</v>
      </c>
      <c r="G74" s="352">
        <f t="shared" si="10"/>
        <v>0</v>
      </c>
      <c r="H74" s="352">
        <f t="shared" si="11"/>
        <v>0</v>
      </c>
      <c r="I74" s="352">
        <f t="shared" si="12"/>
        <v>0</v>
      </c>
      <c r="J74" s="352">
        <f t="shared" si="13"/>
        <v>0</v>
      </c>
      <c r="K74" s="352">
        <f t="shared" si="14"/>
        <v>0</v>
      </c>
      <c r="L74" s="354">
        <f t="shared" si="15"/>
        <v>0</v>
      </c>
      <c r="M74" s="227">
        <f>L74*D74*VPI!Q74</f>
        <v>0</v>
      </c>
    </row>
    <row r="75" spans="1:13" x14ac:dyDescent="0.25">
      <c r="A75" s="127">
        <f>Données!A75</f>
        <v>5521</v>
      </c>
      <c r="B75" s="26" t="str">
        <f>Données!B75</f>
        <v>Etagnières</v>
      </c>
      <c r="C75" s="266">
        <f>VPI!R75</f>
        <v>46868.677397260268</v>
      </c>
      <c r="D75" s="26">
        <f>Données!Z75</f>
        <v>1189</v>
      </c>
      <c r="E75" s="86">
        <f t="shared" si="8"/>
        <v>39.418568038065828</v>
      </c>
      <c r="F75" s="140">
        <f t="shared" si="9"/>
        <v>0.78891675772162806</v>
      </c>
      <c r="G75" s="352">
        <f t="shared" si="10"/>
        <v>0</v>
      </c>
      <c r="H75" s="352">
        <f t="shared" si="11"/>
        <v>0</v>
      </c>
      <c r="I75" s="352">
        <f t="shared" si="12"/>
        <v>0</v>
      </c>
      <c r="J75" s="352">
        <f t="shared" si="13"/>
        <v>0</v>
      </c>
      <c r="K75" s="352">
        <f t="shared" si="14"/>
        <v>0</v>
      </c>
      <c r="L75" s="354">
        <f t="shared" si="15"/>
        <v>0</v>
      </c>
      <c r="M75" s="227">
        <f>L75*D75*VPI!Q75</f>
        <v>0</v>
      </c>
    </row>
    <row r="76" spans="1:13" x14ac:dyDescent="0.25">
      <c r="A76" s="127">
        <f>Données!A76</f>
        <v>5522</v>
      </c>
      <c r="B76" s="26" t="str">
        <f>Données!B76</f>
        <v>Fey</v>
      </c>
      <c r="C76" s="266">
        <f>VPI!R76</f>
        <v>25183.4012</v>
      </c>
      <c r="D76" s="26">
        <f>Données!Z76</f>
        <v>789</v>
      </c>
      <c r="E76" s="86">
        <f t="shared" si="8"/>
        <v>31.918125728770598</v>
      </c>
      <c r="F76" s="140">
        <f t="shared" si="9"/>
        <v>0.63880413510141631</v>
      </c>
      <c r="G76" s="352">
        <f t="shared" si="10"/>
        <v>0</v>
      </c>
      <c r="H76" s="352">
        <f t="shared" si="11"/>
        <v>0</v>
      </c>
      <c r="I76" s="352">
        <f t="shared" si="12"/>
        <v>0</v>
      </c>
      <c r="J76" s="352">
        <f t="shared" si="13"/>
        <v>0</v>
      </c>
      <c r="K76" s="352">
        <f t="shared" si="14"/>
        <v>0</v>
      </c>
      <c r="L76" s="354">
        <f t="shared" si="15"/>
        <v>0</v>
      </c>
      <c r="M76" s="227">
        <f>L76*D76*VPI!Q76</f>
        <v>0</v>
      </c>
    </row>
    <row r="77" spans="1:13" x14ac:dyDescent="0.25">
      <c r="A77" s="127">
        <f>Données!A77</f>
        <v>5523</v>
      </c>
      <c r="B77" s="26" t="str">
        <f>Données!B77</f>
        <v>Froideville</v>
      </c>
      <c r="C77" s="266">
        <f>VPI!R77</f>
        <v>89218.615555555531</v>
      </c>
      <c r="D77" s="26">
        <f>Données!Z77</f>
        <v>2731</v>
      </c>
      <c r="E77" s="86">
        <f t="shared" si="8"/>
        <v>32.668844948940141</v>
      </c>
      <c r="F77" s="140">
        <f t="shared" si="9"/>
        <v>0.65382890648741732</v>
      </c>
      <c r="G77" s="352">
        <f t="shared" si="10"/>
        <v>0</v>
      </c>
      <c r="H77" s="352">
        <f t="shared" si="11"/>
        <v>0</v>
      </c>
      <c r="I77" s="352">
        <f t="shared" si="12"/>
        <v>0</v>
      </c>
      <c r="J77" s="352">
        <f t="shared" si="13"/>
        <v>0</v>
      </c>
      <c r="K77" s="352">
        <f t="shared" si="14"/>
        <v>0</v>
      </c>
      <c r="L77" s="354">
        <f t="shared" si="15"/>
        <v>0</v>
      </c>
      <c r="M77" s="227">
        <f>L77*D77*VPI!Q77</f>
        <v>0</v>
      </c>
    </row>
    <row r="78" spans="1:13" x14ac:dyDescent="0.25">
      <c r="A78" s="127">
        <f>Données!A78</f>
        <v>5527</v>
      </c>
      <c r="B78" s="26" t="str">
        <f>Données!B78</f>
        <v>Morrens</v>
      </c>
      <c r="C78" s="266">
        <f>VPI!R78</f>
        <v>42618.641486486493</v>
      </c>
      <c r="D78" s="26">
        <f>Données!Z78</f>
        <v>1153</v>
      </c>
      <c r="E78" s="86">
        <f t="shared" si="8"/>
        <v>36.963262347343012</v>
      </c>
      <c r="F78" s="140">
        <f t="shared" si="9"/>
        <v>0.73977667219467669</v>
      </c>
      <c r="G78" s="352">
        <f t="shared" si="10"/>
        <v>0</v>
      </c>
      <c r="H78" s="352">
        <f t="shared" si="11"/>
        <v>0</v>
      </c>
      <c r="I78" s="352">
        <f t="shared" si="12"/>
        <v>0</v>
      </c>
      <c r="J78" s="352">
        <f t="shared" si="13"/>
        <v>0</v>
      </c>
      <c r="K78" s="352">
        <f t="shared" si="14"/>
        <v>0</v>
      </c>
      <c r="L78" s="354">
        <f t="shared" si="15"/>
        <v>0</v>
      </c>
      <c r="M78" s="227">
        <f>L78*D78*VPI!Q78</f>
        <v>0</v>
      </c>
    </row>
    <row r="79" spans="1:13" x14ac:dyDescent="0.25">
      <c r="A79" s="127">
        <f>Données!A79</f>
        <v>5529</v>
      </c>
      <c r="B79" s="26" t="str">
        <f>Données!B79</f>
        <v>Oulens-sous-Echallens</v>
      </c>
      <c r="C79" s="266">
        <f>VPI!R79</f>
        <v>21320.008028169017</v>
      </c>
      <c r="D79" s="26">
        <f>Données!Z79</f>
        <v>607</v>
      </c>
      <c r="E79" s="86">
        <f t="shared" si="8"/>
        <v>35.123571710327873</v>
      </c>
      <c r="F79" s="140">
        <f t="shared" si="9"/>
        <v>0.70295740541757645</v>
      </c>
      <c r="G79" s="352">
        <f t="shared" si="10"/>
        <v>0</v>
      </c>
      <c r="H79" s="352">
        <f t="shared" si="11"/>
        <v>0</v>
      </c>
      <c r="I79" s="352">
        <f t="shared" si="12"/>
        <v>0</v>
      </c>
      <c r="J79" s="352">
        <f t="shared" si="13"/>
        <v>0</v>
      </c>
      <c r="K79" s="352">
        <f t="shared" si="14"/>
        <v>0</v>
      </c>
      <c r="L79" s="354">
        <f t="shared" si="15"/>
        <v>0</v>
      </c>
      <c r="M79" s="227">
        <f>L79*D79*VPI!Q79</f>
        <v>0</v>
      </c>
    </row>
    <row r="80" spans="1:13" x14ac:dyDescent="0.25">
      <c r="A80" s="127">
        <f>Données!A80</f>
        <v>5530</v>
      </c>
      <c r="B80" s="26" t="str">
        <f>Données!B80</f>
        <v>Pailly</v>
      </c>
      <c r="C80" s="266">
        <f>VPI!R80</f>
        <v>18985.526425438595</v>
      </c>
      <c r="D80" s="26">
        <f>Données!Z80</f>
        <v>576</v>
      </c>
      <c r="E80" s="86">
        <f t="shared" si="8"/>
        <v>32.960983377497563</v>
      </c>
      <c r="F80" s="140">
        <f t="shared" si="9"/>
        <v>0.65967571709811357</v>
      </c>
      <c r="G80" s="352">
        <f t="shared" si="10"/>
        <v>0</v>
      </c>
      <c r="H80" s="352">
        <f t="shared" si="11"/>
        <v>0</v>
      </c>
      <c r="I80" s="352">
        <f t="shared" si="12"/>
        <v>0</v>
      </c>
      <c r="J80" s="352">
        <f t="shared" si="13"/>
        <v>0</v>
      </c>
      <c r="K80" s="352">
        <f t="shared" si="14"/>
        <v>0</v>
      </c>
      <c r="L80" s="354">
        <f t="shared" si="15"/>
        <v>0</v>
      </c>
      <c r="M80" s="227">
        <f>L80*D80*VPI!Q80</f>
        <v>0</v>
      </c>
    </row>
    <row r="81" spans="1:13" x14ac:dyDescent="0.25">
      <c r="A81" s="127">
        <f>Données!A81</f>
        <v>5531</v>
      </c>
      <c r="B81" s="26" t="str">
        <f>Données!B81</f>
        <v>Penthéréaz</v>
      </c>
      <c r="C81" s="266">
        <f>VPI!R81</f>
        <v>16979.020135135139</v>
      </c>
      <c r="D81" s="26">
        <f>Données!Z81</f>
        <v>430</v>
      </c>
      <c r="E81" s="86">
        <f t="shared" si="8"/>
        <v>39.486093337523577</v>
      </c>
      <c r="F81" s="140">
        <f t="shared" si="9"/>
        <v>0.79026819799365788</v>
      </c>
      <c r="G81" s="352">
        <f t="shared" si="10"/>
        <v>0</v>
      </c>
      <c r="H81" s="352">
        <f t="shared" si="11"/>
        <v>0</v>
      </c>
      <c r="I81" s="352">
        <f t="shared" si="12"/>
        <v>0</v>
      </c>
      <c r="J81" s="352">
        <f t="shared" si="13"/>
        <v>0</v>
      </c>
      <c r="K81" s="352">
        <f t="shared" si="14"/>
        <v>0</v>
      </c>
      <c r="L81" s="354">
        <f t="shared" si="15"/>
        <v>0</v>
      </c>
      <c r="M81" s="227">
        <f>L81*D81*VPI!Q81</f>
        <v>0</v>
      </c>
    </row>
    <row r="82" spans="1:13" x14ac:dyDescent="0.25">
      <c r="A82" s="127">
        <f>Données!A82</f>
        <v>5533</v>
      </c>
      <c r="B82" s="26" t="str">
        <f>Données!B82</f>
        <v>Poliez-Pittet</v>
      </c>
      <c r="C82" s="266">
        <f>VPI!R82</f>
        <v>27367.358493150681</v>
      </c>
      <c r="D82" s="26">
        <f>Données!Z82</f>
        <v>850</v>
      </c>
      <c r="E82" s="86">
        <f t="shared" si="8"/>
        <v>32.196892344883153</v>
      </c>
      <c r="F82" s="140">
        <f t="shared" si="9"/>
        <v>0.64438332445025748</v>
      </c>
      <c r="G82" s="352">
        <f t="shared" si="10"/>
        <v>0</v>
      </c>
      <c r="H82" s="352">
        <f t="shared" si="11"/>
        <v>0</v>
      </c>
      <c r="I82" s="352">
        <f t="shared" si="12"/>
        <v>0</v>
      </c>
      <c r="J82" s="352">
        <f t="shared" si="13"/>
        <v>0</v>
      </c>
      <c r="K82" s="352">
        <f t="shared" si="14"/>
        <v>0</v>
      </c>
      <c r="L82" s="354">
        <f t="shared" si="15"/>
        <v>0</v>
      </c>
      <c r="M82" s="227">
        <f>L82*D82*VPI!Q82</f>
        <v>0</v>
      </c>
    </row>
    <row r="83" spans="1:13" x14ac:dyDescent="0.25">
      <c r="A83" s="127">
        <f>Données!A83</f>
        <v>5534</v>
      </c>
      <c r="B83" s="26" t="str">
        <f>Données!B83</f>
        <v>Rueyres</v>
      </c>
      <c r="C83" s="266">
        <f>VPI!R83</f>
        <v>17982.384452054797</v>
      </c>
      <c r="D83" s="26">
        <f>Données!Z83</f>
        <v>304</v>
      </c>
      <c r="E83" s="86">
        <f t="shared" si="8"/>
        <v>59.152580434390778</v>
      </c>
      <c r="F83" s="140">
        <f t="shared" si="9"/>
        <v>1.183870046271148</v>
      </c>
      <c r="G83" s="352">
        <f t="shared" si="10"/>
        <v>9.1871466262591426</v>
      </c>
      <c r="H83" s="352">
        <f t="shared" si="11"/>
        <v>0</v>
      </c>
      <c r="I83" s="352">
        <f t="shared" si="12"/>
        <v>0</v>
      </c>
      <c r="J83" s="352">
        <f t="shared" si="13"/>
        <v>0</v>
      </c>
      <c r="K83" s="352">
        <f t="shared" si="14"/>
        <v>0</v>
      </c>
      <c r="L83" s="354">
        <f t="shared" si="15"/>
        <v>1.8374293252518286</v>
      </c>
      <c r="M83" s="227">
        <f>L83*D83*VPI!Q83</f>
        <v>40776.231585988578</v>
      </c>
    </row>
    <row r="84" spans="1:13" x14ac:dyDescent="0.25">
      <c r="A84" s="127">
        <f>Données!A84</f>
        <v>5535</v>
      </c>
      <c r="B84" s="26" t="str">
        <f>Données!B84</f>
        <v>Saint-Barthélemy</v>
      </c>
      <c r="C84" s="266">
        <f>VPI!R84</f>
        <v>26523.088000000003</v>
      </c>
      <c r="D84" s="26">
        <f>Données!Z84</f>
        <v>837</v>
      </c>
      <c r="E84" s="86">
        <f t="shared" si="8"/>
        <v>31.688277180406217</v>
      </c>
      <c r="F84" s="140">
        <f t="shared" si="9"/>
        <v>0.63420398393997535</v>
      </c>
      <c r="G84" s="352">
        <f t="shared" si="10"/>
        <v>0</v>
      </c>
      <c r="H84" s="352">
        <f t="shared" si="11"/>
        <v>0</v>
      </c>
      <c r="I84" s="352">
        <f t="shared" si="12"/>
        <v>0</v>
      </c>
      <c r="J84" s="352">
        <f t="shared" si="13"/>
        <v>0</v>
      </c>
      <c r="K84" s="352">
        <f t="shared" si="14"/>
        <v>0</v>
      </c>
      <c r="L84" s="354">
        <f t="shared" si="15"/>
        <v>0</v>
      </c>
      <c r="M84" s="227">
        <f>L84*D84*VPI!Q84</f>
        <v>0</v>
      </c>
    </row>
    <row r="85" spans="1:13" x14ac:dyDescent="0.25">
      <c r="A85" s="127">
        <f>Données!A85</f>
        <v>5537</v>
      </c>
      <c r="B85" s="26" t="str">
        <f>Données!B85</f>
        <v>Villars-le-Terroir</v>
      </c>
      <c r="C85" s="266">
        <f>VPI!R85</f>
        <v>36821.563947368428</v>
      </c>
      <c r="D85" s="26">
        <f>Données!Z85</f>
        <v>1307</v>
      </c>
      <c r="E85" s="86">
        <f t="shared" si="8"/>
        <v>28.172581444046234</v>
      </c>
      <c r="F85" s="140">
        <f t="shared" si="9"/>
        <v>0.56384142589914388</v>
      </c>
      <c r="G85" s="352">
        <f t="shared" si="10"/>
        <v>0</v>
      </c>
      <c r="H85" s="352">
        <f t="shared" si="11"/>
        <v>0</v>
      </c>
      <c r="I85" s="352">
        <f t="shared" si="12"/>
        <v>0</v>
      </c>
      <c r="J85" s="352">
        <f t="shared" si="13"/>
        <v>0</v>
      </c>
      <c r="K85" s="352">
        <f t="shared" si="14"/>
        <v>0</v>
      </c>
      <c r="L85" s="354">
        <f t="shared" si="15"/>
        <v>0</v>
      </c>
      <c r="M85" s="227">
        <f>L85*D85*VPI!Q85</f>
        <v>0</v>
      </c>
    </row>
    <row r="86" spans="1:13" x14ac:dyDescent="0.25">
      <c r="A86" s="127">
        <f>Données!A86</f>
        <v>5539</v>
      </c>
      <c r="B86" s="26" t="str">
        <f>Données!B86</f>
        <v>Vuarrens</v>
      </c>
      <c r="C86" s="266">
        <f>VPI!R86</f>
        <v>34903.7481632653</v>
      </c>
      <c r="D86" s="26">
        <f>Données!Z86</f>
        <v>1120</v>
      </c>
      <c r="E86" s="86">
        <f t="shared" si="8"/>
        <v>31.164060860058303</v>
      </c>
      <c r="F86" s="140">
        <f t="shared" si="9"/>
        <v>0.62371240445402676</v>
      </c>
      <c r="G86" s="352">
        <f t="shared" si="10"/>
        <v>0</v>
      </c>
      <c r="H86" s="352">
        <f t="shared" si="11"/>
        <v>0</v>
      </c>
      <c r="I86" s="352">
        <f t="shared" si="12"/>
        <v>0</v>
      </c>
      <c r="J86" s="352">
        <f t="shared" si="13"/>
        <v>0</v>
      </c>
      <c r="K86" s="352">
        <f t="shared" si="14"/>
        <v>0</v>
      </c>
      <c r="L86" s="354">
        <f t="shared" si="15"/>
        <v>0</v>
      </c>
      <c r="M86" s="227">
        <f>L86*D86*VPI!Q86</f>
        <v>0</v>
      </c>
    </row>
    <row r="87" spans="1:13" x14ac:dyDescent="0.25">
      <c r="A87" s="127">
        <f>Données!A87</f>
        <v>5540</v>
      </c>
      <c r="B87" s="26" t="str">
        <f>Données!B87</f>
        <v>Montilliez</v>
      </c>
      <c r="C87" s="266">
        <f>VPI!R87</f>
        <v>65033.644896551712</v>
      </c>
      <c r="D87" s="26">
        <f>Données!Z87</f>
        <v>1874</v>
      </c>
      <c r="E87" s="86">
        <f t="shared" si="8"/>
        <v>34.703118941596429</v>
      </c>
      <c r="F87" s="140">
        <f t="shared" si="9"/>
        <v>0.69454253264080867</v>
      </c>
      <c r="G87" s="352">
        <f t="shared" si="10"/>
        <v>0</v>
      </c>
      <c r="H87" s="352">
        <f t="shared" si="11"/>
        <v>0</v>
      </c>
      <c r="I87" s="352">
        <f t="shared" si="12"/>
        <v>0</v>
      </c>
      <c r="J87" s="352">
        <f t="shared" si="13"/>
        <v>0</v>
      </c>
      <c r="K87" s="352">
        <f t="shared" si="14"/>
        <v>0</v>
      </c>
      <c r="L87" s="354">
        <f t="shared" si="15"/>
        <v>0</v>
      </c>
      <c r="M87" s="227">
        <f>L87*D87*VPI!Q87</f>
        <v>0</v>
      </c>
    </row>
    <row r="88" spans="1:13" x14ac:dyDescent="0.25">
      <c r="A88" s="127">
        <f>Données!A88</f>
        <v>5541</v>
      </c>
      <c r="B88" s="26" t="str">
        <f>Données!B88</f>
        <v>Goumoëns</v>
      </c>
      <c r="C88" s="266">
        <f>VPI!R88</f>
        <v>41006.934834437088</v>
      </c>
      <c r="D88" s="26">
        <f>Données!Z88</f>
        <v>1211</v>
      </c>
      <c r="E88" s="86">
        <f t="shared" si="8"/>
        <v>33.862043628767211</v>
      </c>
      <c r="F88" s="140">
        <f t="shared" si="9"/>
        <v>0.67770938923092716</v>
      </c>
      <c r="G88" s="352">
        <f t="shared" si="10"/>
        <v>0</v>
      </c>
      <c r="H88" s="352">
        <f t="shared" si="11"/>
        <v>0</v>
      </c>
      <c r="I88" s="352">
        <f t="shared" si="12"/>
        <v>0</v>
      </c>
      <c r="J88" s="352">
        <f t="shared" si="13"/>
        <v>0</v>
      </c>
      <c r="K88" s="352">
        <f t="shared" si="14"/>
        <v>0</v>
      </c>
      <c r="L88" s="354">
        <f t="shared" si="15"/>
        <v>0</v>
      </c>
      <c r="M88" s="227">
        <f>L88*D88*VPI!Q88</f>
        <v>0</v>
      </c>
    </row>
    <row r="89" spans="1:13" x14ac:dyDescent="0.25">
      <c r="A89" s="127">
        <f>Données!A89</f>
        <v>5551</v>
      </c>
      <c r="B89" s="26" t="str">
        <f>Données!B89</f>
        <v>Bonvillars</v>
      </c>
      <c r="C89" s="266">
        <f>VPI!R89</f>
        <v>19467.158771929826</v>
      </c>
      <c r="D89" s="26">
        <f>Données!Z89</f>
        <v>518</v>
      </c>
      <c r="E89" s="86">
        <f t="shared" si="8"/>
        <v>37.581387590598119</v>
      </c>
      <c r="F89" s="140">
        <f t="shared" si="9"/>
        <v>0.75214772946656427</v>
      </c>
      <c r="G89" s="352">
        <f t="shared" si="10"/>
        <v>0</v>
      </c>
      <c r="H89" s="352">
        <f t="shared" si="11"/>
        <v>0</v>
      </c>
      <c r="I89" s="352">
        <f t="shared" si="12"/>
        <v>0</v>
      </c>
      <c r="J89" s="352">
        <f t="shared" si="13"/>
        <v>0</v>
      </c>
      <c r="K89" s="352">
        <f t="shared" si="14"/>
        <v>0</v>
      </c>
      <c r="L89" s="354">
        <f t="shared" si="15"/>
        <v>0</v>
      </c>
      <c r="M89" s="227">
        <f>L89*D89*VPI!Q89</f>
        <v>0</v>
      </c>
    </row>
    <row r="90" spans="1:13" x14ac:dyDescent="0.25">
      <c r="A90" s="127">
        <f>Données!A90</f>
        <v>5552</v>
      </c>
      <c r="B90" s="26" t="str">
        <f>Données!B90</f>
        <v>Bullet</v>
      </c>
      <c r="C90" s="266">
        <f>VPI!R90</f>
        <v>20081.650000000001</v>
      </c>
      <c r="D90" s="26">
        <f>Données!Z90</f>
        <v>682</v>
      </c>
      <c r="E90" s="86">
        <f t="shared" si="8"/>
        <v>29.445234604105575</v>
      </c>
      <c r="F90" s="140">
        <f t="shared" si="9"/>
        <v>0.58931209758281944</v>
      </c>
      <c r="G90" s="352">
        <f t="shared" si="10"/>
        <v>0</v>
      </c>
      <c r="H90" s="352">
        <f t="shared" si="11"/>
        <v>0</v>
      </c>
      <c r="I90" s="352">
        <f t="shared" si="12"/>
        <v>0</v>
      </c>
      <c r="J90" s="352">
        <f t="shared" si="13"/>
        <v>0</v>
      </c>
      <c r="K90" s="352">
        <f t="shared" si="14"/>
        <v>0</v>
      </c>
      <c r="L90" s="354">
        <f t="shared" si="15"/>
        <v>0</v>
      </c>
      <c r="M90" s="227">
        <f>L90*D90*VPI!Q90</f>
        <v>0</v>
      </c>
    </row>
    <row r="91" spans="1:13" x14ac:dyDescent="0.25">
      <c r="A91" s="127">
        <f>Données!A91</f>
        <v>5553</v>
      </c>
      <c r="B91" s="26" t="str">
        <f>Données!B91</f>
        <v>Champagne</v>
      </c>
      <c r="C91" s="266">
        <f>VPI!R91</f>
        <v>38368.423846153841</v>
      </c>
      <c r="D91" s="26">
        <f>Données!Z91</f>
        <v>1071</v>
      </c>
      <c r="E91" s="86">
        <f t="shared" si="8"/>
        <v>35.824858866623565</v>
      </c>
      <c r="F91" s="140">
        <f t="shared" si="9"/>
        <v>0.71699285158199189</v>
      </c>
      <c r="G91" s="352">
        <f t="shared" si="10"/>
        <v>0</v>
      </c>
      <c r="H91" s="352">
        <f t="shared" si="11"/>
        <v>0</v>
      </c>
      <c r="I91" s="352">
        <f t="shared" si="12"/>
        <v>0</v>
      </c>
      <c r="J91" s="352">
        <f t="shared" si="13"/>
        <v>0</v>
      </c>
      <c r="K91" s="352">
        <f t="shared" si="14"/>
        <v>0</v>
      </c>
      <c r="L91" s="354">
        <f t="shared" si="15"/>
        <v>0</v>
      </c>
      <c r="M91" s="227">
        <f>L91*D91*VPI!Q91</f>
        <v>0</v>
      </c>
    </row>
    <row r="92" spans="1:13" x14ac:dyDescent="0.25">
      <c r="A92" s="127">
        <f>Données!A92</f>
        <v>5554</v>
      </c>
      <c r="B92" s="26" t="str">
        <f>Données!B92</f>
        <v>Concise</v>
      </c>
      <c r="C92" s="266">
        <f>VPI!R92</f>
        <v>33009.838309859158</v>
      </c>
      <c r="D92" s="26">
        <f>Données!Z92</f>
        <v>1025</v>
      </c>
      <c r="E92" s="86">
        <f t="shared" si="8"/>
        <v>32.204720302301617</v>
      </c>
      <c r="F92" s="140">
        <f t="shared" si="9"/>
        <v>0.64453999190657385</v>
      </c>
      <c r="G92" s="352">
        <f t="shared" si="10"/>
        <v>0</v>
      </c>
      <c r="H92" s="352">
        <f t="shared" si="11"/>
        <v>0</v>
      </c>
      <c r="I92" s="352">
        <f t="shared" si="12"/>
        <v>0</v>
      </c>
      <c r="J92" s="352">
        <f t="shared" si="13"/>
        <v>0</v>
      </c>
      <c r="K92" s="352">
        <f t="shared" si="14"/>
        <v>0</v>
      </c>
      <c r="L92" s="354">
        <f t="shared" si="15"/>
        <v>0</v>
      </c>
      <c r="M92" s="227">
        <f>L92*D92*VPI!Q92</f>
        <v>0</v>
      </c>
    </row>
    <row r="93" spans="1:13" x14ac:dyDescent="0.25">
      <c r="A93" s="127">
        <f>Données!A93</f>
        <v>5555</v>
      </c>
      <c r="B93" s="26" t="str">
        <f>Données!B93</f>
        <v>Corcelles-près-Concise</v>
      </c>
      <c r="C93" s="266">
        <f>VPI!R93</f>
        <v>14189.979565217391</v>
      </c>
      <c r="D93" s="26">
        <f>Données!Z93</f>
        <v>438</v>
      </c>
      <c r="E93" s="86">
        <f t="shared" si="8"/>
        <v>32.397213619217787</v>
      </c>
      <c r="F93" s="140">
        <f t="shared" si="9"/>
        <v>0.64839252159050198</v>
      </c>
      <c r="G93" s="352">
        <f t="shared" si="10"/>
        <v>0</v>
      </c>
      <c r="H93" s="352">
        <f t="shared" si="11"/>
        <v>0</v>
      </c>
      <c r="I93" s="352">
        <f t="shared" si="12"/>
        <v>0</v>
      </c>
      <c r="J93" s="352">
        <f t="shared" si="13"/>
        <v>0</v>
      </c>
      <c r="K93" s="352">
        <f t="shared" si="14"/>
        <v>0</v>
      </c>
      <c r="L93" s="354">
        <f t="shared" si="15"/>
        <v>0</v>
      </c>
      <c r="M93" s="227">
        <f>L93*D93*VPI!Q93</f>
        <v>0</v>
      </c>
    </row>
    <row r="94" spans="1:13" x14ac:dyDescent="0.25">
      <c r="A94" s="127">
        <f>Données!A94</f>
        <v>5556</v>
      </c>
      <c r="B94" s="26" t="str">
        <f>Données!B94</f>
        <v>Fiez</v>
      </c>
      <c r="C94" s="266">
        <f>VPI!R94</f>
        <v>12811.352608695654</v>
      </c>
      <c r="D94" s="26">
        <f>Données!Z94</f>
        <v>431</v>
      </c>
      <c r="E94" s="86">
        <f t="shared" si="8"/>
        <v>29.724716029456271</v>
      </c>
      <c r="F94" s="140">
        <f t="shared" si="9"/>
        <v>0.59490559300655399</v>
      </c>
      <c r="G94" s="352">
        <f t="shared" si="10"/>
        <v>0</v>
      </c>
      <c r="H94" s="352">
        <f t="shared" si="11"/>
        <v>0</v>
      </c>
      <c r="I94" s="352">
        <f t="shared" si="12"/>
        <v>0</v>
      </c>
      <c r="J94" s="352">
        <f t="shared" si="13"/>
        <v>0</v>
      </c>
      <c r="K94" s="352">
        <f t="shared" si="14"/>
        <v>0</v>
      </c>
      <c r="L94" s="354">
        <f t="shared" si="15"/>
        <v>0</v>
      </c>
      <c r="M94" s="227">
        <f>L94*D94*VPI!Q94</f>
        <v>0</v>
      </c>
    </row>
    <row r="95" spans="1:13" x14ac:dyDescent="0.25">
      <c r="A95" s="127">
        <f>Données!A95</f>
        <v>5557</v>
      </c>
      <c r="B95" s="26" t="str">
        <f>Données!B95</f>
        <v>Fontaines-sur-Grandson</v>
      </c>
      <c r="C95" s="266">
        <f>VPI!R95</f>
        <v>5164.2157971014494</v>
      </c>
      <c r="D95" s="26">
        <f>Données!Z95</f>
        <v>220</v>
      </c>
      <c r="E95" s="86">
        <f t="shared" si="8"/>
        <v>23.473708168642951</v>
      </c>
      <c r="F95" s="140">
        <f t="shared" si="9"/>
        <v>0.46979894658340215</v>
      </c>
      <c r="G95" s="352">
        <f t="shared" si="10"/>
        <v>0</v>
      </c>
      <c r="H95" s="352">
        <f t="shared" si="11"/>
        <v>0</v>
      </c>
      <c r="I95" s="352">
        <f t="shared" si="12"/>
        <v>0</v>
      </c>
      <c r="J95" s="352">
        <f t="shared" si="13"/>
        <v>0</v>
      </c>
      <c r="K95" s="352">
        <f t="shared" si="14"/>
        <v>0</v>
      </c>
      <c r="L95" s="354">
        <f t="shared" si="15"/>
        <v>0</v>
      </c>
      <c r="M95" s="227">
        <f>L95*D95*VPI!Q95</f>
        <v>0</v>
      </c>
    </row>
    <row r="96" spans="1:13" x14ac:dyDescent="0.25">
      <c r="A96" s="127">
        <f>Données!A96</f>
        <v>5559</v>
      </c>
      <c r="B96" s="26" t="str">
        <f>Données!B96</f>
        <v>Giez</v>
      </c>
      <c r="C96" s="266">
        <f>VPI!R96</f>
        <v>23273.261029411766</v>
      </c>
      <c r="D96" s="26">
        <f>Données!Z96</f>
        <v>464</v>
      </c>
      <c r="E96" s="86">
        <f t="shared" si="8"/>
        <v>50.157890149594323</v>
      </c>
      <c r="F96" s="140">
        <f t="shared" si="9"/>
        <v>1.0038517896632644</v>
      </c>
      <c r="G96" s="352">
        <f t="shared" si="10"/>
        <v>0.19245634146268742</v>
      </c>
      <c r="H96" s="352">
        <f t="shared" si="11"/>
        <v>0</v>
      </c>
      <c r="I96" s="352">
        <f t="shared" si="12"/>
        <v>0</v>
      </c>
      <c r="J96" s="352">
        <f t="shared" si="13"/>
        <v>0</v>
      </c>
      <c r="K96" s="352">
        <f t="shared" si="14"/>
        <v>0</v>
      </c>
      <c r="L96" s="354">
        <f t="shared" si="15"/>
        <v>3.8491268292537489E-2</v>
      </c>
      <c r="M96" s="227">
        <f>L96*D96*VPI!Q96</f>
        <v>1214.4764971661427</v>
      </c>
    </row>
    <row r="97" spans="1:13" x14ac:dyDescent="0.25">
      <c r="A97" s="127">
        <f>Données!A97</f>
        <v>5560</v>
      </c>
      <c r="B97" s="26" t="str">
        <f>Données!B97</f>
        <v>Grandevent</v>
      </c>
      <c r="C97" s="266">
        <f>VPI!R97</f>
        <v>8016.4264285714298</v>
      </c>
      <c r="D97" s="26">
        <f>Données!Z97</f>
        <v>241</v>
      </c>
      <c r="E97" s="86">
        <f t="shared" si="8"/>
        <v>33.263180201541203</v>
      </c>
      <c r="F97" s="140">
        <f t="shared" si="9"/>
        <v>0.66572383478691588</v>
      </c>
      <c r="G97" s="352">
        <f t="shared" si="10"/>
        <v>0</v>
      </c>
      <c r="H97" s="352">
        <f t="shared" si="11"/>
        <v>0</v>
      </c>
      <c r="I97" s="352">
        <f t="shared" si="12"/>
        <v>0</v>
      </c>
      <c r="J97" s="352">
        <f t="shared" si="13"/>
        <v>0</v>
      </c>
      <c r="K97" s="352">
        <f t="shared" si="14"/>
        <v>0</v>
      </c>
      <c r="L97" s="354">
        <f t="shared" si="15"/>
        <v>0</v>
      </c>
      <c r="M97" s="227">
        <f>L97*D97*VPI!Q97</f>
        <v>0</v>
      </c>
    </row>
    <row r="98" spans="1:13" x14ac:dyDescent="0.25">
      <c r="A98" s="127">
        <f>Données!A98</f>
        <v>5561</v>
      </c>
      <c r="B98" s="26" t="str">
        <f>Données!B98</f>
        <v>Grandson</v>
      </c>
      <c r="C98" s="266">
        <f>VPI!R98</f>
        <v>125721.38057971014</v>
      </c>
      <c r="D98" s="26">
        <f>Données!Z98</f>
        <v>3396</v>
      </c>
      <c r="E98" s="86">
        <f t="shared" si="8"/>
        <v>37.020430088253867</v>
      </c>
      <c r="F98" s="140">
        <f t="shared" si="9"/>
        <v>0.74092081798815423</v>
      </c>
      <c r="G98" s="352">
        <f t="shared" si="10"/>
        <v>0</v>
      </c>
      <c r="H98" s="352">
        <f t="shared" si="11"/>
        <v>0</v>
      </c>
      <c r="I98" s="352">
        <f t="shared" si="12"/>
        <v>0</v>
      </c>
      <c r="J98" s="352">
        <f t="shared" si="13"/>
        <v>0</v>
      </c>
      <c r="K98" s="352">
        <f t="shared" si="14"/>
        <v>0</v>
      </c>
      <c r="L98" s="354">
        <f t="shared" si="15"/>
        <v>0</v>
      </c>
      <c r="M98" s="227">
        <f>L98*D98*VPI!Q98</f>
        <v>0</v>
      </c>
    </row>
    <row r="99" spans="1:13" x14ac:dyDescent="0.25">
      <c r="A99" s="127">
        <f>Données!A99</f>
        <v>5562</v>
      </c>
      <c r="B99" s="26" t="str">
        <f>Données!B99</f>
        <v>Mauborget</v>
      </c>
      <c r="C99" s="266">
        <f>VPI!R99</f>
        <v>4554.1072619047618</v>
      </c>
      <c r="D99" s="26">
        <f>Données!Z99</f>
        <v>145</v>
      </c>
      <c r="E99" s="86">
        <f t="shared" si="8"/>
        <v>31.407636288998358</v>
      </c>
      <c r="F99" s="140">
        <f t="shared" si="9"/>
        <v>0.62858728315267653</v>
      </c>
      <c r="G99" s="352">
        <f t="shared" si="10"/>
        <v>0</v>
      </c>
      <c r="H99" s="352">
        <f t="shared" si="11"/>
        <v>0</v>
      </c>
      <c r="I99" s="352">
        <f t="shared" si="12"/>
        <v>0</v>
      </c>
      <c r="J99" s="352">
        <f t="shared" si="13"/>
        <v>0</v>
      </c>
      <c r="K99" s="352">
        <f t="shared" si="14"/>
        <v>0</v>
      </c>
      <c r="L99" s="354">
        <f t="shared" si="15"/>
        <v>0</v>
      </c>
      <c r="M99" s="227">
        <f>L99*D99*VPI!Q99</f>
        <v>0</v>
      </c>
    </row>
    <row r="100" spans="1:13" x14ac:dyDescent="0.25">
      <c r="A100" s="127">
        <f>Données!A100</f>
        <v>5563</v>
      </c>
      <c r="B100" s="26" t="str">
        <f>Données!B100</f>
        <v>Mutrux</v>
      </c>
      <c r="C100" s="266">
        <f>VPI!R100</f>
        <v>4029.343875</v>
      </c>
      <c r="D100" s="26">
        <f>Données!Z100</f>
        <v>144</v>
      </c>
      <c r="E100" s="86">
        <f t="shared" si="8"/>
        <v>27.981554687500001</v>
      </c>
      <c r="F100" s="140">
        <f t="shared" si="9"/>
        <v>0.56001824771400532</v>
      </c>
      <c r="G100" s="352">
        <f t="shared" si="10"/>
        <v>0</v>
      </c>
      <c r="H100" s="352">
        <f t="shared" si="11"/>
        <v>0</v>
      </c>
      <c r="I100" s="352">
        <f t="shared" si="12"/>
        <v>0</v>
      </c>
      <c r="J100" s="352">
        <f t="shared" si="13"/>
        <v>0</v>
      </c>
      <c r="K100" s="352">
        <f t="shared" si="14"/>
        <v>0</v>
      </c>
      <c r="L100" s="354">
        <f t="shared" si="15"/>
        <v>0</v>
      </c>
      <c r="M100" s="227">
        <f>L100*D100*VPI!Q100</f>
        <v>0</v>
      </c>
    </row>
    <row r="101" spans="1:13" x14ac:dyDescent="0.25">
      <c r="A101" s="127">
        <f>Données!A101</f>
        <v>5564</v>
      </c>
      <c r="B101" s="26" t="str">
        <f>Données!B101</f>
        <v>Novalles</v>
      </c>
      <c r="C101" s="266">
        <f>VPI!R101</f>
        <v>2464.3180592105264</v>
      </c>
      <c r="D101" s="26">
        <f>Données!Z101</f>
        <v>106</v>
      </c>
      <c r="E101" s="86">
        <f t="shared" si="8"/>
        <v>23.248283577457794</v>
      </c>
      <c r="F101" s="140">
        <f t="shared" si="9"/>
        <v>0.46528733577560266</v>
      </c>
      <c r="G101" s="352">
        <f t="shared" si="10"/>
        <v>0</v>
      </c>
      <c r="H101" s="352">
        <f t="shared" si="11"/>
        <v>0</v>
      </c>
      <c r="I101" s="352">
        <f t="shared" si="12"/>
        <v>0</v>
      </c>
      <c r="J101" s="352">
        <f t="shared" si="13"/>
        <v>0</v>
      </c>
      <c r="K101" s="352">
        <f t="shared" si="14"/>
        <v>0</v>
      </c>
      <c r="L101" s="354">
        <f t="shared" si="15"/>
        <v>0</v>
      </c>
      <c r="M101" s="227">
        <f>L101*D101*VPI!Q101</f>
        <v>0</v>
      </c>
    </row>
    <row r="102" spans="1:13" x14ac:dyDescent="0.25">
      <c r="A102" s="127">
        <f>Données!A102</f>
        <v>5565</v>
      </c>
      <c r="B102" s="26" t="str">
        <f>Données!B102</f>
        <v>Onnens</v>
      </c>
      <c r="C102" s="266">
        <f>VPI!R102</f>
        <v>20188.105039370083</v>
      </c>
      <c r="D102" s="26">
        <f>Données!Z102</f>
        <v>520</v>
      </c>
      <c r="E102" s="86">
        <f t="shared" si="8"/>
        <v>38.823278921865544</v>
      </c>
      <c r="F102" s="140">
        <f t="shared" si="9"/>
        <v>0.77700273895244842</v>
      </c>
      <c r="G102" s="352">
        <f t="shared" si="10"/>
        <v>0</v>
      </c>
      <c r="H102" s="352">
        <f t="shared" si="11"/>
        <v>0</v>
      </c>
      <c r="I102" s="352">
        <f t="shared" si="12"/>
        <v>0</v>
      </c>
      <c r="J102" s="352">
        <f t="shared" si="13"/>
        <v>0</v>
      </c>
      <c r="K102" s="352">
        <f t="shared" si="14"/>
        <v>0</v>
      </c>
      <c r="L102" s="354">
        <f t="shared" si="15"/>
        <v>0</v>
      </c>
      <c r="M102" s="227">
        <f>L102*D102*VPI!Q102</f>
        <v>0</v>
      </c>
    </row>
    <row r="103" spans="1:13" x14ac:dyDescent="0.25">
      <c r="A103" s="127">
        <f>Données!A103</f>
        <v>5566</v>
      </c>
      <c r="B103" s="26" t="str">
        <f>Données!B103</f>
        <v>Provence</v>
      </c>
      <c r="C103" s="266">
        <f>VPI!R103</f>
        <v>11354.81353909465</v>
      </c>
      <c r="D103" s="26">
        <f>Données!Z103</f>
        <v>411</v>
      </c>
      <c r="E103" s="86">
        <f t="shared" si="8"/>
        <v>27.627283550108636</v>
      </c>
      <c r="F103" s="140">
        <f t="shared" si="9"/>
        <v>0.55292792325586548</v>
      </c>
      <c r="G103" s="352">
        <f t="shared" si="10"/>
        <v>0</v>
      </c>
      <c r="H103" s="352">
        <f t="shared" si="11"/>
        <v>0</v>
      </c>
      <c r="I103" s="352">
        <f t="shared" si="12"/>
        <v>0</v>
      </c>
      <c r="J103" s="352">
        <f t="shared" si="13"/>
        <v>0</v>
      </c>
      <c r="K103" s="352">
        <f t="shared" si="14"/>
        <v>0</v>
      </c>
      <c r="L103" s="354">
        <f t="shared" si="15"/>
        <v>0</v>
      </c>
      <c r="M103" s="227">
        <f>L103*D103*VPI!Q103</f>
        <v>0</v>
      </c>
    </row>
    <row r="104" spans="1:13" x14ac:dyDescent="0.25">
      <c r="A104" s="127">
        <f>Données!A104</f>
        <v>5568</v>
      </c>
      <c r="B104" s="26" t="str">
        <f>Données!B104</f>
        <v>Sainte-Croix</v>
      </c>
      <c r="C104" s="266">
        <f>VPI!R104</f>
        <v>114571.34028571429</v>
      </c>
      <c r="D104" s="26">
        <f>Données!Z104</f>
        <v>5130</v>
      </c>
      <c r="E104" s="86">
        <f t="shared" si="8"/>
        <v>22.333594597605124</v>
      </c>
      <c r="F104" s="140">
        <f t="shared" si="9"/>
        <v>0.44698090050346845</v>
      </c>
      <c r="G104" s="352">
        <f t="shared" si="10"/>
        <v>0</v>
      </c>
      <c r="H104" s="352">
        <f t="shared" si="11"/>
        <v>0</v>
      </c>
      <c r="I104" s="352">
        <f t="shared" si="12"/>
        <v>0</v>
      </c>
      <c r="J104" s="352">
        <f t="shared" si="13"/>
        <v>0</v>
      </c>
      <c r="K104" s="352">
        <f t="shared" si="14"/>
        <v>0</v>
      </c>
      <c r="L104" s="354">
        <f t="shared" si="15"/>
        <v>0</v>
      </c>
      <c r="M104" s="227">
        <f>L104*D104*VPI!Q104</f>
        <v>0</v>
      </c>
    </row>
    <row r="105" spans="1:13" x14ac:dyDescent="0.25">
      <c r="A105" s="127">
        <f>Données!A105</f>
        <v>5571</v>
      </c>
      <c r="B105" s="26" t="str">
        <f>Données!B105</f>
        <v>Tévenon</v>
      </c>
      <c r="C105" s="266">
        <f>VPI!R105</f>
        <v>26145.544382284381</v>
      </c>
      <c r="D105" s="26">
        <f>Données!Z105</f>
        <v>861</v>
      </c>
      <c r="E105" s="86">
        <f t="shared" si="8"/>
        <v>30.36648592599812</v>
      </c>
      <c r="F105" s="140">
        <f t="shared" si="9"/>
        <v>0.60774987049259077</v>
      </c>
      <c r="G105" s="352">
        <f t="shared" si="10"/>
        <v>0</v>
      </c>
      <c r="H105" s="352">
        <f t="shared" si="11"/>
        <v>0</v>
      </c>
      <c r="I105" s="352">
        <f t="shared" si="12"/>
        <v>0</v>
      </c>
      <c r="J105" s="352">
        <f t="shared" si="13"/>
        <v>0</v>
      </c>
      <c r="K105" s="352">
        <f t="shared" si="14"/>
        <v>0</v>
      </c>
      <c r="L105" s="354">
        <f t="shared" si="15"/>
        <v>0</v>
      </c>
      <c r="M105" s="227">
        <f>L105*D105*VPI!Q105</f>
        <v>0</v>
      </c>
    </row>
    <row r="106" spans="1:13" x14ac:dyDescent="0.25">
      <c r="A106" s="127">
        <f>Données!A106</f>
        <v>5581</v>
      </c>
      <c r="B106" s="26" t="str">
        <f>Données!B106</f>
        <v>Belmont-sur-Lausanne</v>
      </c>
      <c r="C106" s="266">
        <f>VPI!R106</f>
        <v>246930.40333333338</v>
      </c>
      <c r="D106" s="26">
        <f>Données!Z106</f>
        <v>3922</v>
      </c>
      <c r="E106" s="86">
        <f t="shared" si="8"/>
        <v>62.960327214006469</v>
      </c>
      <c r="F106" s="140">
        <f t="shared" si="9"/>
        <v>1.2600776660075745</v>
      </c>
      <c r="G106" s="352">
        <f t="shared" si="10"/>
        <v>12.994893405874834</v>
      </c>
      <c r="H106" s="352">
        <f t="shared" si="11"/>
        <v>3.0018066442485107</v>
      </c>
      <c r="I106" s="352">
        <f t="shared" si="12"/>
        <v>0</v>
      </c>
      <c r="J106" s="352">
        <f t="shared" si="13"/>
        <v>0</v>
      </c>
      <c r="K106" s="352">
        <f t="shared" si="14"/>
        <v>0</v>
      </c>
      <c r="L106" s="354">
        <f t="shared" si="15"/>
        <v>2.8991593455998177</v>
      </c>
      <c r="M106" s="227">
        <f>L106*D106*VPI!Q106</f>
        <v>818676.21264785889</v>
      </c>
    </row>
    <row r="107" spans="1:13" x14ac:dyDescent="0.25">
      <c r="A107" s="127">
        <f>Données!A107</f>
        <v>5582</v>
      </c>
      <c r="B107" s="26" t="str">
        <f>Données!B107</f>
        <v>Cheseaux-sur-Lausanne</v>
      </c>
      <c r="C107" s="266">
        <f>VPI!R107</f>
        <v>179580.92342465755</v>
      </c>
      <c r="D107" s="26">
        <f>Données!Z107</f>
        <v>4855</v>
      </c>
      <c r="E107" s="86">
        <f t="shared" si="8"/>
        <v>36.988861673461905</v>
      </c>
      <c r="F107" s="140">
        <f t="shared" si="9"/>
        <v>0.74028901291040416</v>
      </c>
      <c r="G107" s="352">
        <f t="shared" si="10"/>
        <v>0</v>
      </c>
      <c r="H107" s="352">
        <f t="shared" si="11"/>
        <v>0</v>
      </c>
      <c r="I107" s="352">
        <f t="shared" si="12"/>
        <v>0</v>
      </c>
      <c r="J107" s="352">
        <f t="shared" si="13"/>
        <v>0</v>
      </c>
      <c r="K107" s="352">
        <f t="shared" si="14"/>
        <v>0</v>
      </c>
      <c r="L107" s="354">
        <f t="shared" si="15"/>
        <v>0</v>
      </c>
      <c r="M107" s="227">
        <f>L107*D107*VPI!Q107</f>
        <v>0</v>
      </c>
    </row>
    <row r="108" spans="1:13" x14ac:dyDescent="0.25">
      <c r="A108" s="127">
        <f>Données!A108</f>
        <v>5583</v>
      </c>
      <c r="B108" s="26" t="str">
        <f>Données!B108</f>
        <v>Crissier</v>
      </c>
      <c r="C108" s="266">
        <f>VPI!R108</f>
        <v>456346.42330708652</v>
      </c>
      <c r="D108" s="26">
        <f>Données!Z108</f>
        <v>10680</v>
      </c>
      <c r="E108" s="86">
        <f t="shared" si="8"/>
        <v>42.729065852723458</v>
      </c>
      <c r="F108" s="140">
        <f t="shared" si="9"/>
        <v>0.8551725182013632</v>
      </c>
      <c r="G108" s="352">
        <f t="shared" si="10"/>
        <v>0</v>
      </c>
      <c r="H108" s="352">
        <f t="shared" si="11"/>
        <v>0</v>
      </c>
      <c r="I108" s="352">
        <f t="shared" si="12"/>
        <v>0</v>
      </c>
      <c r="J108" s="352">
        <f t="shared" si="13"/>
        <v>0</v>
      </c>
      <c r="K108" s="352">
        <f t="shared" si="14"/>
        <v>0</v>
      </c>
      <c r="L108" s="354">
        <f t="shared" si="15"/>
        <v>0</v>
      </c>
      <c r="M108" s="227">
        <f>L108*D108*VPI!Q108</f>
        <v>0</v>
      </c>
    </row>
    <row r="109" spans="1:13" x14ac:dyDescent="0.25">
      <c r="A109" s="127">
        <f>Données!A109</f>
        <v>5584</v>
      </c>
      <c r="B109" s="26" t="str">
        <f>Données!B109</f>
        <v>Epalinges</v>
      </c>
      <c r="C109" s="266">
        <f>VPI!R109</f>
        <v>527681.12604651169</v>
      </c>
      <c r="D109" s="26">
        <f>Données!Z109</f>
        <v>9905</v>
      </c>
      <c r="E109" s="86">
        <f t="shared" si="8"/>
        <v>53.274217672540303</v>
      </c>
      <c r="F109" s="140">
        <f t="shared" si="9"/>
        <v>1.0662214577604683</v>
      </c>
      <c r="G109" s="352">
        <f t="shared" si="10"/>
        <v>3.3087838644086673</v>
      </c>
      <c r="H109" s="352">
        <f t="shared" si="11"/>
        <v>0</v>
      </c>
      <c r="I109" s="352">
        <f t="shared" si="12"/>
        <v>0</v>
      </c>
      <c r="J109" s="352">
        <f t="shared" si="13"/>
        <v>0</v>
      </c>
      <c r="K109" s="352">
        <f t="shared" si="14"/>
        <v>0</v>
      </c>
      <c r="L109" s="354">
        <f t="shared" si="15"/>
        <v>0.66175677288173351</v>
      </c>
      <c r="M109" s="227">
        <f>L109*D109*VPI!Q109</f>
        <v>422778.20388288534</v>
      </c>
    </row>
    <row r="110" spans="1:13" x14ac:dyDescent="0.25">
      <c r="A110" s="127">
        <f>Données!A110</f>
        <v>5585</v>
      </c>
      <c r="B110" s="26" t="str">
        <f>Données!B110</f>
        <v>Jouxtens-Mézery</v>
      </c>
      <c r="C110" s="266">
        <f>VPI!R110</f>
        <v>207839.61429378533</v>
      </c>
      <c r="D110" s="26">
        <f>Données!Z110</f>
        <v>1482</v>
      </c>
      <c r="E110" s="86">
        <f t="shared" si="8"/>
        <v>140.24265471915339</v>
      </c>
      <c r="F110" s="140">
        <f t="shared" si="9"/>
        <v>2.8067934976345503</v>
      </c>
      <c r="G110" s="352">
        <f t="shared" si="10"/>
        <v>90.277220911021757</v>
      </c>
      <c r="H110" s="352">
        <f t="shared" si="11"/>
        <v>80.284134149395442</v>
      </c>
      <c r="I110" s="352">
        <f t="shared" si="12"/>
        <v>65.294504006955947</v>
      </c>
      <c r="J110" s="352">
        <f t="shared" si="13"/>
        <v>40.311787102890122</v>
      </c>
      <c r="K110" s="352">
        <f t="shared" si="14"/>
        <v>0</v>
      </c>
      <c r="L110" s="354">
        <f t="shared" si="15"/>
        <v>36.644486708128504</v>
      </c>
      <c r="M110" s="227">
        <f>L110*D110*VPI!Q110</f>
        <v>3204120.6287853401</v>
      </c>
    </row>
    <row r="111" spans="1:13" x14ac:dyDescent="0.25">
      <c r="A111" s="127">
        <f>Données!A111</f>
        <v>5586</v>
      </c>
      <c r="B111" s="26" t="str">
        <f>Données!B111</f>
        <v>Lausanne</v>
      </c>
      <c r="C111" s="266">
        <f>VPI!R111</f>
        <v>7026947.2679830147</v>
      </c>
      <c r="D111" s="26">
        <f>Données!Z111</f>
        <v>145037</v>
      </c>
      <c r="E111" s="86">
        <f t="shared" si="8"/>
        <v>48.449342360797694</v>
      </c>
      <c r="F111" s="140">
        <f t="shared" si="9"/>
        <v>0.96965719434848163</v>
      </c>
      <c r="G111" s="352">
        <f t="shared" si="10"/>
        <v>0</v>
      </c>
      <c r="H111" s="352">
        <f t="shared" si="11"/>
        <v>0</v>
      </c>
      <c r="I111" s="352">
        <f t="shared" si="12"/>
        <v>0</v>
      </c>
      <c r="J111" s="352">
        <f t="shared" si="13"/>
        <v>0</v>
      </c>
      <c r="K111" s="352">
        <f t="shared" si="14"/>
        <v>0</v>
      </c>
      <c r="L111" s="354">
        <f t="shared" si="15"/>
        <v>0</v>
      </c>
      <c r="M111" s="227">
        <f>L111*D111*VPI!Q111</f>
        <v>0</v>
      </c>
    </row>
    <row r="112" spans="1:13" x14ac:dyDescent="0.25">
      <c r="A112" s="127">
        <f>Données!A112</f>
        <v>5587</v>
      </c>
      <c r="B112" s="26" t="str">
        <f>Données!B112</f>
        <v>Le Mont-sur-Lausanne</v>
      </c>
      <c r="C112" s="266">
        <f>VPI!R112</f>
        <v>515123.14148148138</v>
      </c>
      <c r="D112" s="26">
        <f>Données!Z112</f>
        <v>9543</v>
      </c>
      <c r="E112" s="86">
        <f t="shared" si="8"/>
        <v>53.979161844438998</v>
      </c>
      <c r="F112" s="140">
        <f t="shared" si="9"/>
        <v>1.080330094835565</v>
      </c>
      <c r="G112" s="352">
        <f t="shared" si="10"/>
        <v>4.0137280363073629</v>
      </c>
      <c r="H112" s="352">
        <f t="shared" si="11"/>
        <v>0</v>
      </c>
      <c r="I112" s="352">
        <f t="shared" si="12"/>
        <v>0</v>
      </c>
      <c r="J112" s="352">
        <f t="shared" si="13"/>
        <v>0</v>
      </c>
      <c r="K112" s="352">
        <f t="shared" si="14"/>
        <v>0</v>
      </c>
      <c r="L112" s="354">
        <f t="shared" si="15"/>
        <v>0.80274560726147259</v>
      </c>
      <c r="M112" s="227">
        <f>L112*D112*VPI!Q112</f>
        <v>551563.29576692882</v>
      </c>
    </row>
    <row r="113" spans="1:13" x14ac:dyDescent="0.25">
      <c r="A113" s="127">
        <f>Données!A113</f>
        <v>5588</v>
      </c>
      <c r="B113" s="26" t="str">
        <f>Données!B113</f>
        <v>Paudex</v>
      </c>
      <c r="C113" s="266">
        <f>VPI!R113</f>
        <v>151788.7450912997</v>
      </c>
      <c r="D113" s="26">
        <f>Données!Z113</f>
        <v>1512</v>
      </c>
      <c r="E113" s="86">
        <f t="shared" si="8"/>
        <v>100.38938167414001</v>
      </c>
      <c r="F113" s="140">
        <f t="shared" si="9"/>
        <v>2.0091766251772665</v>
      </c>
      <c r="G113" s="352">
        <f t="shared" si="10"/>
        <v>50.423947866008376</v>
      </c>
      <c r="H113" s="352">
        <f t="shared" si="11"/>
        <v>40.430861104382053</v>
      </c>
      <c r="I113" s="352">
        <f t="shared" si="12"/>
        <v>25.441230961942566</v>
      </c>
      <c r="J113" s="352">
        <f t="shared" si="13"/>
        <v>0.45851405787674082</v>
      </c>
      <c r="K113" s="352">
        <f t="shared" si="14"/>
        <v>0</v>
      </c>
      <c r="L113" s="354">
        <f t="shared" si="15"/>
        <v>16.71785018562181</v>
      </c>
      <c r="M113" s="227">
        <f>L113*D113*VPI!Q113</f>
        <v>1680946.4004639017</v>
      </c>
    </row>
    <row r="114" spans="1:13" x14ac:dyDescent="0.25">
      <c r="A114" s="127">
        <f>Données!A114</f>
        <v>5589</v>
      </c>
      <c r="B114" s="26" t="str">
        <f>Données!B114</f>
        <v>Prilly</v>
      </c>
      <c r="C114" s="266">
        <f>VPI!R114</f>
        <v>442584.39482228115</v>
      </c>
      <c r="D114" s="26">
        <f>Données!Z114</f>
        <v>12766</v>
      </c>
      <c r="E114" s="86">
        <f t="shared" si="8"/>
        <v>34.668995364427474</v>
      </c>
      <c r="F114" s="140">
        <f t="shared" si="9"/>
        <v>0.69385958896218491</v>
      </c>
      <c r="G114" s="352">
        <f t="shared" si="10"/>
        <v>0</v>
      </c>
      <c r="H114" s="352">
        <f t="shared" si="11"/>
        <v>0</v>
      </c>
      <c r="I114" s="352">
        <f t="shared" si="12"/>
        <v>0</v>
      </c>
      <c r="J114" s="352">
        <f t="shared" si="13"/>
        <v>0</v>
      </c>
      <c r="K114" s="352">
        <f t="shared" si="14"/>
        <v>0</v>
      </c>
      <c r="L114" s="354">
        <f t="shared" si="15"/>
        <v>0</v>
      </c>
      <c r="M114" s="227">
        <f>L114*D114*VPI!Q114</f>
        <v>0</v>
      </c>
    </row>
    <row r="115" spans="1:13" x14ac:dyDescent="0.25">
      <c r="A115" s="127">
        <f>Données!A115</f>
        <v>5590</v>
      </c>
      <c r="B115" s="26" t="str">
        <f>Données!B115</f>
        <v>Pully</v>
      </c>
      <c r="C115" s="266">
        <f>VPI!R115</f>
        <v>1670113.1662763469</v>
      </c>
      <c r="D115" s="26">
        <f>Données!Z115</f>
        <v>19545</v>
      </c>
      <c r="E115" s="86">
        <f t="shared" si="8"/>
        <v>85.449637568500734</v>
      </c>
      <c r="F115" s="140">
        <f t="shared" si="9"/>
        <v>1.7101750361385677</v>
      </c>
      <c r="G115" s="352">
        <f t="shared" si="10"/>
        <v>35.484203760369098</v>
      </c>
      <c r="H115" s="352">
        <f t="shared" si="11"/>
        <v>25.491116998742775</v>
      </c>
      <c r="I115" s="352">
        <f t="shared" si="12"/>
        <v>10.501486856303288</v>
      </c>
      <c r="J115" s="352">
        <f t="shared" si="13"/>
        <v>0</v>
      </c>
      <c r="K115" s="352">
        <f t="shared" si="14"/>
        <v>0</v>
      </c>
      <c r="L115" s="354">
        <f t="shared" si="15"/>
        <v>10.696101137578426</v>
      </c>
      <c r="M115" s="227">
        <f>L115*D115*VPI!Q115</f>
        <v>12752373.100772189</v>
      </c>
    </row>
    <row r="116" spans="1:13" x14ac:dyDescent="0.25">
      <c r="A116" s="127">
        <f>Données!A116</f>
        <v>5591</v>
      </c>
      <c r="B116" s="26" t="str">
        <f>Données!B116</f>
        <v>Renens</v>
      </c>
      <c r="C116" s="266">
        <f>VPI!R116</f>
        <v>627232.40092764387</v>
      </c>
      <c r="D116" s="26">
        <f>Données!Z116</f>
        <v>21568</v>
      </c>
      <c r="E116" s="86">
        <f t="shared" si="8"/>
        <v>29.081620962891499</v>
      </c>
      <c r="F116" s="140">
        <f t="shared" si="9"/>
        <v>0.58203479378495071</v>
      </c>
      <c r="G116" s="352">
        <f t="shared" si="10"/>
        <v>0</v>
      </c>
      <c r="H116" s="352">
        <f t="shared" si="11"/>
        <v>0</v>
      </c>
      <c r="I116" s="352">
        <f t="shared" si="12"/>
        <v>0</v>
      </c>
      <c r="J116" s="352">
        <f t="shared" si="13"/>
        <v>0</v>
      </c>
      <c r="K116" s="352">
        <f t="shared" si="14"/>
        <v>0</v>
      </c>
      <c r="L116" s="354">
        <f t="shared" si="15"/>
        <v>0</v>
      </c>
      <c r="M116" s="227">
        <f>L116*D116*VPI!Q116</f>
        <v>0</v>
      </c>
    </row>
    <row r="117" spans="1:13" x14ac:dyDescent="0.25">
      <c r="A117" s="127">
        <f>Données!A117</f>
        <v>5592</v>
      </c>
      <c r="B117" s="26" t="str">
        <f>Données!B117</f>
        <v>Romanel-sur-Lausanne</v>
      </c>
      <c r="C117" s="266">
        <f>VPI!R117</f>
        <v>146863.22056737586</v>
      </c>
      <c r="D117" s="26">
        <f>Données!Z117</f>
        <v>4325</v>
      </c>
      <c r="E117" s="86">
        <f t="shared" si="8"/>
        <v>33.956814004017538</v>
      </c>
      <c r="F117" s="140">
        <f t="shared" si="9"/>
        <v>0.67960610798281973</v>
      </c>
      <c r="G117" s="352">
        <f t="shared" si="10"/>
        <v>0</v>
      </c>
      <c r="H117" s="352">
        <f t="shared" si="11"/>
        <v>0</v>
      </c>
      <c r="I117" s="352">
        <f t="shared" si="12"/>
        <v>0</v>
      </c>
      <c r="J117" s="352">
        <f t="shared" si="13"/>
        <v>0</v>
      </c>
      <c r="K117" s="352">
        <f t="shared" si="14"/>
        <v>0</v>
      </c>
      <c r="L117" s="354">
        <f t="shared" si="15"/>
        <v>0</v>
      </c>
      <c r="M117" s="227">
        <f>L117*D117*VPI!Q117</f>
        <v>0</v>
      </c>
    </row>
    <row r="118" spans="1:13" x14ac:dyDescent="0.25">
      <c r="A118" s="127">
        <f>Données!A118</f>
        <v>5601</v>
      </c>
      <c r="B118" s="26" t="str">
        <f>Données!B118</f>
        <v>Chexbres</v>
      </c>
      <c r="C118" s="266">
        <f>VPI!R118</f>
        <v>111006.30192592592</v>
      </c>
      <c r="D118" s="26">
        <f>Données!Z118</f>
        <v>2263</v>
      </c>
      <c r="E118" s="86">
        <f t="shared" si="8"/>
        <v>49.05271848251256</v>
      </c>
      <c r="F118" s="140">
        <f t="shared" si="9"/>
        <v>0.98173306512010039</v>
      </c>
      <c r="G118" s="352">
        <f t="shared" si="10"/>
        <v>0</v>
      </c>
      <c r="H118" s="352">
        <f t="shared" si="11"/>
        <v>0</v>
      </c>
      <c r="I118" s="352">
        <f t="shared" si="12"/>
        <v>0</v>
      </c>
      <c r="J118" s="352">
        <f t="shared" si="13"/>
        <v>0</v>
      </c>
      <c r="K118" s="352">
        <f t="shared" si="14"/>
        <v>0</v>
      </c>
      <c r="L118" s="354">
        <f t="shared" si="15"/>
        <v>0</v>
      </c>
      <c r="M118" s="227">
        <f>L118*D118*VPI!Q118</f>
        <v>0</v>
      </c>
    </row>
    <row r="119" spans="1:13" x14ac:dyDescent="0.25">
      <c r="A119" s="127">
        <f>Données!A119</f>
        <v>5604</v>
      </c>
      <c r="B119" s="26" t="str">
        <f>Données!B119</f>
        <v>Forel (Lavaux)</v>
      </c>
      <c r="C119" s="266">
        <f>VPI!R119</f>
        <v>74097.487681159415</v>
      </c>
      <c r="D119" s="26">
        <f>Données!Z119</f>
        <v>2088</v>
      </c>
      <c r="E119" s="86">
        <f t="shared" si="8"/>
        <v>35.487302529290908</v>
      </c>
      <c r="F119" s="140">
        <f t="shared" si="9"/>
        <v>0.71023705439170071</v>
      </c>
      <c r="G119" s="352">
        <f t="shared" si="10"/>
        <v>0</v>
      </c>
      <c r="H119" s="352">
        <f t="shared" si="11"/>
        <v>0</v>
      </c>
      <c r="I119" s="352">
        <f t="shared" si="12"/>
        <v>0</v>
      </c>
      <c r="J119" s="352">
        <f t="shared" si="13"/>
        <v>0</v>
      </c>
      <c r="K119" s="352">
        <f t="shared" si="14"/>
        <v>0</v>
      </c>
      <c r="L119" s="354">
        <f t="shared" si="15"/>
        <v>0</v>
      </c>
      <c r="M119" s="227">
        <f>L119*D119*VPI!Q119</f>
        <v>0</v>
      </c>
    </row>
    <row r="120" spans="1:13" x14ac:dyDescent="0.25">
      <c r="A120" s="127">
        <f>Données!A120</f>
        <v>5606</v>
      </c>
      <c r="B120" s="26" t="str">
        <f>Données!B120</f>
        <v>Lutry</v>
      </c>
      <c r="C120" s="266">
        <f>VPI!R120</f>
        <v>967121.48857142858</v>
      </c>
      <c r="D120" s="26">
        <f>Données!Z120</f>
        <v>10750</v>
      </c>
      <c r="E120" s="86">
        <f t="shared" si="8"/>
        <v>89.964789634551494</v>
      </c>
      <c r="F120" s="140">
        <f t="shared" si="9"/>
        <v>1.8005405492929025</v>
      </c>
      <c r="G120" s="352">
        <f t="shared" si="10"/>
        <v>39.999355826419858</v>
      </c>
      <c r="H120" s="352">
        <f t="shared" si="11"/>
        <v>30.006269064793536</v>
      </c>
      <c r="I120" s="352">
        <f t="shared" si="12"/>
        <v>15.016638922354048</v>
      </c>
      <c r="J120" s="352">
        <f t="shared" si="13"/>
        <v>0</v>
      </c>
      <c r="K120" s="352">
        <f t="shared" si="14"/>
        <v>0</v>
      </c>
      <c r="L120" s="354">
        <f t="shared" si="15"/>
        <v>12.502161963998731</v>
      </c>
      <c r="M120" s="227">
        <f>L120*D120*VPI!Q120</f>
        <v>7257505.0201012623</v>
      </c>
    </row>
    <row r="121" spans="1:13" x14ac:dyDescent="0.25">
      <c r="A121" s="127">
        <f>Données!A121</f>
        <v>5607</v>
      </c>
      <c r="B121" s="26" t="str">
        <f>Données!B121</f>
        <v>Puidoux</v>
      </c>
      <c r="C121" s="266">
        <f>VPI!R121</f>
        <v>136783.21297365916</v>
      </c>
      <c r="D121" s="26">
        <f>Données!Z121</f>
        <v>2976</v>
      </c>
      <c r="E121" s="86">
        <f t="shared" si="8"/>
        <v>45.962101133622028</v>
      </c>
      <c r="F121" s="140">
        <f t="shared" si="9"/>
        <v>0.91987795623105184</v>
      </c>
      <c r="G121" s="352">
        <f t="shared" si="10"/>
        <v>0</v>
      </c>
      <c r="H121" s="352">
        <f t="shared" si="11"/>
        <v>0</v>
      </c>
      <c r="I121" s="352">
        <f t="shared" si="12"/>
        <v>0</v>
      </c>
      <c r="J121" s="352">
        <f t="shared" si="13"/>
        <v>0</v>
      </c>
      <c r="K121" s="352">
        <f t="shared" si="14"/>
        <v>0</v>
      </c>
      <c r="L121" s="354">
        <f t="shared" si="15"/>
        <v>0</v>
      </c>
      <c r="M121" s="227">
        <f>L121*D121*VPI!Q121</f>
        <v>0</v>
      </c>
    </row>
    <row r="122" spans="1:13" x14ac:dyDescent="0.25">
      <c r="A122" s="127">
        <f>Données!A122</f>
        <v>5609</v>
      </c>
      <c r="B122" s="26" t="str">
        <f>Données!B122</f>
        <v>Rivaz</v>
      </c>
      <c r="C122" s="266">
        <f>VPI!R122</f>
        <v>15606.865161290323</v>
      </c>
      <c r="D122" s="26">
        <f>Données!Z122</f>
        <v>329</v>
      </c>
      <c r="E122" s="86">
        <f t="shared" si="8"/>
        <v>47.437280125502504</v>
      </c>
      <c r="F122" s="140">
        <f t="shared" si="9"/>
        <v>0.94940194670705158</v>
      </c>
      <c r="G122" s="352">
        <f t="shared" si="10"/>
        <v>0</v>
      </c>
      <c r="H122" s="352">
        <f t="shared" si="11"/>
        <v>0</v>
      </c>
      <c r="I122" s="352">
        <f t="shared" si="12"/>
        <v>0</v>
      </c>
      <c r="J122" s="352">
        <f t="shared" si="13"/>
        <v>0</v>
      </c>
      <c r="K122" s="352">
        <f t="shared" si="14"/>
        <v>0</v>
      </c>
      <c r="L122" s="354">
        <f t="shared" si="15"/>
        <v>0</v>
      </c>
      <c r="M122" s="227">
        <f>L122*D122*VPI!Q122</f>
        <v>0</v>
      </c>
    </row>
    <row r="123" spans="1:13" x14ac:dyDescent="0.25">
      <c r="A123" s="127">
        <f>Données!A123</f>
        <v>5610</v>
      </c>
      <c r="B123" s="26" t="str">
        <f>Données!B123</f>
        <v>St-Saphorin (Lavaux)</v>
      </c>
      <c r="C123" s="266">
        <f>VPI!R123</f>
        <v>17690.752229729729</v>
      </c>
      <c r="D123" s="26">
        <f>Données!Z123</f>
        <v>389</v>
      </c>
      <c r="E123" s="86">
        <f t="shared" si="8"/>
        <v>45.477512158688249</v>
      </c>
      <c r="F123" s="140">
        <f t="shared" si="9"/>
        <v>0.91017947193899884</v>
      </c>
      <c r="G123" s="352">
        <f t="shared" si="10"/>
        <v>0</v>
      </c>
      <c r="H123" s="352">
        <f t="shared" si="11"/>
        <v>0</v>
      </c>
      <c r="I123" s="352">
        <f t="shared" si="12"/>
        <v>0</v>
      </c>
      <c r="J123" s="352">
        <f t="shared" si="13"/>
        <v>0</v>
      </c>
      <c r="K123" s="352">
        <f t="shared" si="14"/>
        <v>0</v>
      </c>
      <c r="L123" s="354">
        <f t="shared" si="15"/>
        <v>0</v>
      </c>
      <c r="M123" s="227">
        <f>L123*D123*VPI!Q123</f>
        <v>0</v>
      </c>
    </row>
    <row r="124" spans="1:13" x14ac:dyDescent="0.25">
      <c r="A124" s="127">
        <f>Données!A124</f>
        <v>5611</v>
      </c>
      <c r="B124" s="26" t="str">
        <f>Données!B124</f>
        <v>Savigny</v>
      </c>
      <c r="C124" s="266">
        <f>VPI!R124</f>
        <v>157298.88888888891</v>
      </c>
      <c r="D124" s="26">
        <f>Données!Z124</f>
        <v>3506</v>
      </c>
      <c r="E124" s="86">
        <f t="shared" si="8"/>
        <v>44.865627178804594</v>
      </c>
      <c r="F124" s="140">
        <f t="shared" si="9"/>
        <v>0.89793330627508583</v>
      </c>
      <c r="G124" s="352">
        <f t="shared" si="10"/>
        <v>0</v>
      </c>
      <c r="H124" s="352">
        <f t="shared" si="11"/>
        <v>0</v>
      </c>
      <c r="I124" s="352">
        <f t="shared" si="12"/>
        <v>0</v>
      </c>
      <c r="J124" s="352">
        <f t="shared" si="13"/>
        <v>0</v>
      </c>
      <c r="K124" s="352">
        <f t="shared" si="14"/>
        <v>0</v>
      </c>
      <c r="L124" s="354">
        <f t="shared" si="15"/>
        <v>0</v>
      </c>
      <c r="M124" s="227">
        <f>L124*D124*VPI!Q124</f>
        <v>0</v>
      </c>
    </row>
    <row r="125" spans="1:13" x14ac:dyDescent="0.25">
      <c r="A125" s="127">
        <f>Données!A125</f>
        <v>5613</v>
      </c>
      <c r="B125" s="26" t="str">
        <f>Données!B125</f>
        <v>Bourg-en-Lavaux</v>
      </c>
      <c r="C125" s="266">
        <f>VPI!R125</f>
        <v>362275.1242133333</v>
      </c>
      <c r="D125" s="26">
        <f>Données!Z125</f>
        <v>5465</v>
      </c>
      <c r="E125" s="86">
        <f t="shared" si="8"/>
        <v>66.290050176273255</v>
      </c>
      <c r="F125" s="140">
        <f t="shared" si="9"/>
        <v>1.3267181954394414</v>
      </c>
      <c r="G125" s="352">
        <f t="shared" si="10"/>
        <v>16.324616368141619</v>
      </c>
      <c r="H125" s="352">
        <f t="shared" si="11"/>
        <v>6.3315296065152964</v>
      </c>
      <c r="I125" s="352">
        <f t="shared" si="12"/>
        <v>0</v>
      </c>
      <c r="J125" s="352">
        <f t="shared" si="13"/>
        <v>0</v>
      </c>
      <c r="K125" s="352">
        <f t="shared" si="14"/>
        <v>0</v>
      </c>
      <c r="L125" s="354">
        <f t="shared" si="15"/>
        <v>3.8980762342798534</v>
      </c>
      <c r="M125" s="227">
        <f>L125*D125*VPI!Q125</f>
        <v>1331436.6637712123</v>
      </c>
    </row>
    <row r="126" spans="1:13" x14ac:dyDescent="0.25">
      <c r="A126" s="127">
        <f>Données!A126</f>
        <v>5621</v>
      </c>
      <c r="B126" s="26" t="str">
        <f>Données!B126</f>
        <v>Aclens</v>
      </c>
      <c r="C126" s="266">
        <f>VPI!R126</f>
        <v>31275.873303030305</v>
      </c>
      <c r="D126" s="26">
        <f>Données!Z126</f>
        <v>587</v>
      </c>
      <c r="E126" s="86">
        <f t="shared" si="8"/>
        <v>53.28087445149967</v>
      </c>
      <c r="F126" s="140">
        <f t="shared" si="9"/>
        <v>1.0663546854431285</v>
      </c>
      <c r="G126" s="352">
        <f t="shared" si="10"/>
        <v>3.315440643368035</v>
      </c>
      <c r="H126" s="352">
        <f t="shared" si="11"/>
        <v>0</v>
      </c>
      <c r="I126" s="352">
        <f t="shared" si="12"/>
        <v>0</v>
      </c>
      <c r="J126" s="352">
        <f t="shared" si="13"/>
        <v>0</v>
      </c>
      <c r="K126" s="352">
        <f t="shared" si="14"/>
        <v>0</v>
      </c>
      <c r="L126" s="354">
        <f t="shared" si="15"/>
        <v>0.663088128673607</v>
      </c>
      <c r="M126" s="227">
        <f>L126*D126*VPI!Q126</f>
        <v>23353.963891884439</v>
      </c>
    </row>
    <row r="127" spans="1:13" x14ac:dyDescent="0.25">
      <c r="A127" s="127">
        <f>Données!A127</f>
        <v>5622</v>
      </c>
      <c r="B127" s="26" t="str">
        <f>Données!B127</f>
        <v>Bremblens</v>
      </c>
      <c r="C127" s="266">
        <f>VPI!R127</f>
        <v>29645.912352941177</v>
      </c>
      <c r="D127" s="26">
        <f>Données!Z127</f>
        <v>615</v>
      </c>
      <c r="E127" s="86">
        <f t="shared" si="8"/>
        <v>48.204735533237688</v>
      </c>
      <c r="F127" s="140">
        <f t="shared" si="9"/>
        <v>0.9647616734069584</v>
      </c>
      <c r="G127" s="352">
        <f t="shared" si="10"/>
        <v>0</v>
      </c>
      <c r="H127" s="352">
        <f t="shared" si="11"/>
        <v>0</v>
      </c>
      <c r="I127" s="352">
        <f t="shared" si="12"/>
        <v>0</v>
      </c>
      <c r="J127" s="352">
        <f t="shared" si="13"/>
        <v>0</v>
      </c>
      <c r="K127" s="352">
        <f t="shared" si="14"/>
        <v>0</v>
      </c>
      <c r="L127" s="354">
        <f t="shared" si="15"/>
        <v>0</v>
      </c>
      <c r="M127" s="227">
        <f>L127*D127*VPI!Q127</f>
        <v>0</v>
      </c>
    </row>
    <row r="128" spans="1:13" x14ac:dyDescent="0.25">
      <c r="A128" s="127">
        <f>Données!A128</f>
        <v>5623</v>
      </c>
      <c r="B128" s="26" t="str">
        <f>Données!B128</f>
        <v>Buchillon</v>
      </c>
      <c r="C128" s="266">
        <f>VPI!R128</f>
        <v>102629.43480769232</v>
      </c>
      <c r="D128" s="26">
        <f>Données!Z128</f>
        <v>686</v>
      </c>
      <c r="E128" s="86">
        <f t="shared" si="8"/>
        <v>149.60559009867686</v>
      </c>
      <c r="F128" s="140">
        <f t="shared" si="9"/>
        <v>2.9941817511915461</v>
      </c>
      <c r="G128" s="352">
        <f t="shared" si="10"/>
        <v>99.640156290545221</v>
      </c>
      <c r="H128" s="352">
        <f t="shared" si="11"/>
        <v>89.647069528918905</v>
      </c>
      <c r="I128" s="352">
        <f t="shared" si="12"/>
        <v>74.65743938647941</v>
      </c>
      <c r="J128" s="352">
        <f t="shared" si="13"/>
        <v>49.674722482413586</v>
      </c>
      <c r="K128" s="352">
        <f t="shared" si="14"/>
        <v>0</v>
      </c>
      <c r="L128" s="354">
        <f t="shared" si="15"/>
        <v>41.325954397890236</v>
      </c>
      <c r="M128" s="227">
        <f>L128*D128*VPI!Q128</f>
        <v>1474179.4452815405</v>
      </c>
    </row>
    <row r="129" spans="1:13" x14ac:dyDescent="0.25">
      <c r="A129" s="127">
        <f>Données!A129</f>
        <v>5624</v>
      </c>
      <c r="B129" s="26" t="str">
        <f>Données!B129</f>
        <v>Bussigny</v>
      </c>
      <c r="C129" s="266">
        <f>VPI!R129</f>
        <v>450667.46672000003</v>
      </c>
      <c r="D129" s="26">
        <f>Données!Z129</f>
        <v>11667</v>
      </c>
      <c r="E129" s="86">
        <f t="shared" si="8"/>
        <v>38.627536360675414</v>
      </c>
      <c r="F129" s="140">
        <f t="shared" si="9"/>
        <v>0.77308517942636112</v>
      </c>
      <c r="G129" s="352">
        <f t="shared" si="10"/>
        <v>0</v>
      </c>
      <c r="H129" s="352">
        <f t="shared" si="11"/>
        <v>0</v>
      </c>
      <c r="I129" s="352">
        <f t="shared" si="12"/>
        <v>0</v>
      </c>
      <c r="J129" s="352">
        <f t="shared" si="13"/>
        <v>0</v>
      </c>
      <c r="K129" s="352">
        <f t="shared" si="14"/>
        <v>0</v>
      </c>
      <c r="L129" s="354">
        <f t="shared" si="15"/>
        <v>0</v>
      </c>
      <c r="M129" s="227">
        <f>L129*D129*VPI!Q129</f>
        <v>0</v>
      </c>
    </row>
    <row r="130" spans="1:13" x14ac:dyDescent="0.25">
      <c r="A130" s="127">
        <f>Données!A130</f>
        <v>5627</v>
      </c>
      <c r="B130" s="26" t="str">
        <f>Données!B130</f>
        <v>Chavannes-près-Renens</v>
      </c>
      <c r="C130" s="266">
        <f>VPI!R130</f>
        <v>202046.51840860216</v>
      </c>
      <c r="D130" s="26">
        <f>Données!Z130</f>
        <v>9771</v>
      </c>
      <c r="E130" s="86">
        <f t="shared" si="8"/>
        <v>20.678182213550524</v>
      </c>
      <c r="F130" s="140">
        <f t="shared" si="9"/>
        <v>0.41384974846721434</v>
      </c>
      <c r="G130" s="352">
        <f t="shared" si="10"/>
        <v>0</v>
      </c>
      <c r="H130" s="352">
        <f t="shared" si="11"/>
        <v>0</v>
      </c>
      <c r="I130" s="352">
        <f t="shared" si="12"/>
        <v>0</v>
      </c>
      <c r="J130" s="352">
        <f t="shared" si="13"/>
        <v>0</v>
      </c>
      <c r="K130" s="352">
        <f t="shared" si="14"/>
        <v>0</v>
      </c>
      <c r="L130" s="354">
        <f t="shared" si="15"/>
        <v>0</v>
      </c>
      <c r="M130" s="227">
        <f>L130*D130*VPI!Q130</f>
        <v>0</v>
      </c>
    </row>
    <row r="131" spans="1:13" x14ac:dyDescent="0.25">
      <c r="A131" s="127">
        <f>Données!A131</f>
        <v>5628</v>
      </c>
      <c r="B131" s="26" t="str">
        <f>Données!B131</f>
        <v>Chigny</v>
      </c>
      <c r="C131" s="266">
        <f>VPI!R131</f>
        <v>31766.144193548385</v>
      </c>
      <c r="D131" s="26">
        <f>Données!Z131</f>
        <v>420</v>
      </c>
      <c r="E131" s="86">
        <f t="shared" si="8"/>
        <v>75.633676651305677</v>
      </c>
      <c r="F131" s="140">
        <f t="shared" si="9"/>
        <v>1.513720003747804</v>
      </c>
      <c r="G131" s="352">
        <f t="shared" si="10"/>
        <v>25.668242843174042</v>
      </c>
      <c r="H131" s="352">
        <f t="shared" si="11"/>
        <v>15.675156081547719</v>
      </c>
      <c r="I131" s="352">
        <f t="shared" si="12"/>
        <v>0.68552593910823134</v>
      </c>
      <c r="J131" s="352">
        <f t="shared" si="13"/>
        <v>0</v>
      </c>
      <c r="K131" s="352">
        <f t="shared" si="14"/>
        <v>0</v>
      </c>
      <c r="L131" s="354">
        <f t="shared" si="15"/>
        <v>6.7697167707004029</v>
      </c>
      <c r="M131" s="227">
        <f>L131*D131*VPI!Q131</f>
        <v>176283.42470903849</v>
      </c>
    </row>
    <row r="132" spans="1:13" x14ac:dyDescent="0.25">
      <c r="A132" s="127">
        <f>Données!A132</f>
        <v>5629</v>
      </c>
      <c r="B132" s="26" t="str">
        <f>Données!B132</f>
        <v>Clarmont</v>
      </c>
      <c r="C132" s="266">
        <f>VPI!R132</f>
        <v>8028.6466666666693</v>
      </c>
      <c r="D132" s="26">
        <f>Données!Z132</f>
        <v>228</v>
      </c>
      <c r="E132" s="86">
        <f t="shared" si="8"/>
        <v>35.213362573099424</v>
      </c>
      <c r="F132" s="140">
        <f t="shared" si="9"/>
        <v>0.70475446502314998</v>
      </c>
      <c r="G132" s="352">
        <f t="shared" si="10"/>
        <v>0</v>
      </c>
      <c r="H132" s="352">
        <f t="shared" si="11"/>
        <v>0</v>
      </c>
      <c r="I132" s="352">
        <f t="shared" si="12"/>
        <v>0</v>
      </c>
      <c r="J132" s="352">
        <f t="shared" si="13"/>
        <v>0</v>
      </c>
      <c r="K132" s="352">
        <f t="shared" si="14"/>
        <v>0</v>
      </c>
      <c r="L132" s="354">
        <f t="shared" si="15"/>
        <v>0</v>
      </c>
      <c r="M132" s="227">
        <f>L132*D132*VPI!Q132</f>
        <v>0</v>
      </c>
    </row>
    <row r="133" spans="1:13" x14ac:dyDescent="0.25">
      <c r="A133" s="127">
        <f>Données!A133</f>
        <v>5631</v>
      </c>
      <c r="B133" s="26" t="str">
        <f>Données!B133</f>
        <v>Denens</v>
      </c>
      <c r="C133" s="266">
        <f>VPI!R133</f>
        <v>46857.544615384613</v>
      </c>
      <c r="D133" s="26">
        <f>Données!Z133</f>
        <v>742</v>
      </c>
      <c r="E133" s="86">
        <f t="shared" si="8"/>
        <v>63.150329670329668</v>
      </c>
      <c r="F133" s="140">
        <f t="shared" si="9"/>
        <v>1.2638803440159916</v>
      </c>
      <c r="G133" s="352">
        <f t="shared" si="10"/>
        <v>13.184895862198033</v>
      </c>
      <c r="H133" s="352">
        <f t="shared" si="11"/>
        <v>3.1918091005717102</v>
      </c>
      <c r="I133" s="352">
        <f t="shared" si="12"/>
        <v>0</v>
      </c>
      <c r="J133" s="352">
        <f t="shared" si="13"/>
        <v>0</v>
      </c>
      <c r="K133" s="352">
        <f t="shared" si="14"/>
        <v>0</v>
      </c>
      <c r="L133" s="354">
        <f t="shared" si="15"/>
        <v>2.9561600824967775</v>
      </c>
      <c r="M133" s="227">
        <f>L133*D133*VPI!Q133</f>
        <v>142575.60077881959</v>
      </c>
    </row>
    <row r="134" spans="1:13" x14ac:dyDescent="0.25">
      <c r="A134" s="127">
        <f>Données!A134</f>
        <v>5632</v>
      </c>
      <c r="B134" s="26" t="str">
        <f>Données!B134</f>
        <v>Denges</v>
      </c>
      <c r="C134" s="266">
        <f>VPI!R134</f>
        <v>84931.199193548397</v>
      </c>
      <c r="D134" s="26">
        <f>Données!Z134</f>
        <v>1837</v>
      </c>
      <c r="E134" s="86">
        <f t="shared" si="8"/>
        <v>46.233641368289817</v>
      </c>
      <c r="F134" s="140">
        <f t="shared" si="9"/>
        <v>0.92531251796648095</v>
      </c>
      <c r="G134" s="352">
        <f t="shared" si="10"/>
        <v>0</v>
      </c>
      <c r="H134" s="352">
        <f t="shared" si="11"/>
        <v>0</v>
      </c>
      <c r="I134" s="352">
        <f t="shared" si="12"/>
        <v>0</v>
      </c>
      <c r="J134" s="352">
        <f t="shared" si="13"/>
        <v>0</v>
      </c>
      <c r="K134" s="352">
        <f t="shared" si="14"/>
        <v>0</v>
      </c>
      <c r="L134" s="354">
        <f t="shared" si="15"/>
        <v>0</v>
      </c>
      <c r="M134" s="227">
        <f>L134*D134*VPI!Q134</f>
        <v>0</v>
      </c>
    </row>
    <row r="135" spans="1:13" x14ac:dyDescent="0.25">
      <c r="A135" s="127">
        <f>Données!A135</f>
        <v>5633</v>
      </c>
      <c r="B135" s="26" t="str">
        <f>Données!B135</f>
        <v>Echandens</v>
      </c>
      <c r="C135" s="266">
        <f>VPI!R135</f>
        <v>152816.5752066116</v>
      </c>
      <c r="D135" s="26">
        <f>Données!Z135</f>
        <v>3004</v>
      </c>
      <c r="E135" s="86">
        <f t="shared" ref="E135:E198" si="16">C135/D135</f>
        <v>50.871030361721573</v>
      </c>
      <c r="F135" s="140">
        <f t="shared" ref="F135:F198" si="17">E135/$E$306</f>
        <v>1.0181244609436886</v>
      </c>
      <c r="G135" s="352">
        <f t="shared" ref="G135:G198" si="18">IF(E135-$G$3&lt;0,0,E135-$G$3)</f>
        <v>0.90559655358993751</v>
      </c>
      <c r="H135" s="352">
        <f t="shared" ref="H135:H198" si="19">IF(E135-$H$3&lt;0,0,E135-$H$3)</f>
        <v>0</v>
      </c>
      <c r="I135" s="352">
        <f t="shared" ref="I135:I198" si="20">IF(E135-$I$3&lt;0,0,E135-$I$3)</f>
        <v>0</v>
      </c>
      <c r="J135" s="352">
        <f t="shared" ref="J135:J198" si="21">IF(E135-$J$3&lt;0,0,E135-$J$3)</f>
        <v>0</v>
      </c>
      <c r="K135" s="352">
        <f t="shared" ref="K135:K198" si="22">IF(E135-$K$3&lt;0,0,E135-$K$3)</f>
        <v>0</v>
      </c>
      <c r="L135" s="354">
        <f t="shared" ref="L135:L198" si="23">(G135-H135)*$G$4+(H135-I135)*$H$4+(I135-J135)*$I$4+(J135-K135)*$J$4+(K135*$K$4)</f>
        <v>0.18111931071798751</v>
      </c>
      <c r="M135" s="227">
        <f>L135*D135*VPI!Q135</f>
        <v>32916.985768508486</v>
      </c>
    </row>
    <row r="136" spans="1:13" x14ac:dyDescent="0.25">
      <c r="A136" s="127">
        <f>Données!A136</f>
        <v>5634</v>
      </c>
      <c r="B136" s="26" t="str">
        <f>Données!B136</f>
        <v>Echichens</v>
      </c>
      <c r="C136" s="266">
        <f>VPI!R136</f>
        <v>172315.76318181818</v>
      </c>
      <c r="D136" s="26">
        <f>Données!Z136</f>
        <v>3218</v>
      </c>
      <c r="E136" s="86">
        <f t="shared" si="16"/>
        <v>53.547471467314537</v>
      </c>
      <c r="F136" s="140">
        <f t="shared" si="17"/>
        <v>1.0716903144069159</v>
      </c>
      <c r="G136" s="352">
        <f t="shared" si="18"/>
        <v>3.5820376591829017</v>
      </c>
      <c r="H136" s="352">
        <f t="shared" si="19"/>
        <v>0</v>
      </c>
      <c r="I136" s="352">
        <f t="shared" si="20"/>
        <v>0</v>
      </c>
      <c r="J136" s="352">
        <f t="shared" si="21"/>
        <v>0</v>
      </c>
      <c r="K136" s="352">
        <f t="shared" si="22"/>
        <v>0</v>
      </c>
      <c r="L136" s="354">
        <f t="shared" si="23"/>
        <v>0.71640753183658035</v>
      </c>
      <c r="M136" s="227">
        <f>L136*D136*VPI!Q136</f>
        <v>152156.36287170762</v>
      </c>
    </row>
    <row r="137" spans="1:13" x14ac:dyDescent="0.25">
      <c r="A137" s="127">
        <f>Données!A137</f>
        <v>5635</v>
      </c>
      <c r="B137" s="26" t="str">
        <f>Données!B137</f>
        <v>Ecublens</v>
      </c>
      <c r="C137" s="266">
        <f>VPI!R137</f>
        <v>544882.47829333332</v>
      </c>
      <c r="D137" s="26">
        <f>Données!Z137</f>
        <v>13391</v>
      </c>
      <c r="E137" s="86">
        <f t="shared" si="16"/>
        <v>40.690200753740072</v>
      </c>
      <c r="F137" s="140">
        <f t="shared" si="17"/>
        <v>0.81436700639869031</v>
      </c>
      <c r="G137" s="352">
        <f t="shared" si="18"/>
        <v>0</v>
      </c>
      <c r="H137" s="352">
        <f t="shared" si="19"/>
        <v>0</v>
      </c>
      <c r="I137" s="352">
        <f t="shared" si="20"/>
        <v>0</v>
      </c>
      <c r="J137" s="352">
        <f t="shared" si="21"/>
        <v>0</v>
      </c>
      <c r="K137" s="352">
        <f t="shared" si="22"/>
        <v>0</v>
      </c>
      <c r="L137" s="354">
        <f t="shared" si="23"/>
        <v>0</v>
      </c>
      <c r="M137" s="227">
        <f>L137*D137*VPI!Q137</f>
        <v>0</v>
      </c>
    </row>
    <row r="138" spans="1:13" x14ac:dyDescent="0.25">
      <c r="A138" s="127">
        <f>Données!A138</f>
        <v>5636</v>
      </c>
      <c r="B138" s="26" t="str">
        <f>Données!B138</f>
        <v>Etoy</v>
      </c>
      <c r="C138" s="266">
        <f>VPI!R138</f>
        <v>214499.46883333332</v>
      </c>
      <c r="D138" s="26">
        <f>Données!Z138</f>
        <v>2966</v>
      </c>
      <c r="E138" s="86">
        <f t="shared" si="16"/>
        <v>72.319443301865576</v>
      </c>
      <c r="F138" s="140">
        <f t="shared" si="17"/>
        <v>1.4473894808874037</v>
      </c>
      <c r="G138" s="352">
        <f t="shared" si="18"/>
        <v>22.35400949373394</v>
      </c>
      <c r="H138" s="352">
        <f t="shared" si="19"/>
        <v>12.360922732107618</v>
      </c>
      <c r="I138" s="352">
        <f t="shared" si="20"/>
        <v>0</v>
      </c>
      <c r="J138" s="352">
        <f t="shared" si="21"/>
        <v>0</v>
      </c>
      <c r="K138" s="352">
        <f t="shared" si="22"/>
        <v>0</v>
      </c>
      <c r="L138" s="354">
        <f t="shared" si="23"/>
        <v>5.7068941719575497</v>
      </c>
      <c r="M138" s="227">
        <f>L138*D138*VPI!Q138</f>
        <v>1015598.8868415655</v>
      </c>
    </row>
    <row r="139" spans="1:13" x14ac:dyDescent="0.25">
      <c r="A139" s="127">
        <f>Données!A139</f>
        <v>5637</v>
      </c>
      <c r="B139" s="26" t="str">
        <f>Données!B139</f>
        <v>Lavigny</v>
      </c>
      <c r="C139" s="266">
        <f>VPI!R139</f>
        <v>37437.327945205478</v>
      </c>
      <c r="D139" s="26">
        <f>Données!Z139</f>
        <v>1100</v>
      </c>
      <c r="E139" s="86">
        <f t="shared" si="16"/>
        <v>34.03393449564134</v>
      </c>
      <c r="F139" s="140">
        <f t="shared" si="17"/>
        <v>0.68114958485765176</v>
      </c>
      <c r="G139" s="352">
        <f t="shared" si="18"/>
        <v>0</v>
      </c>
      <c r="H139" s="352">
        <f t="shared" si="19"/>
        <v>0</v>
      </c>
      <c r="I139" s="352">
        <f t="shared" si="20"/>
        <v>0</v>
      </c>
      <c r="J139" s="352">
        <f t="shared" si="21"/>
        <v>0</v>
      </c>
      <c r="K139" s="352">
        <f t="shared" si="22"/>
        <v>0</v>
      </c>
      <c r="L139" s="354">
        <f t="shared" si="23"/>
        <v>0</v>
      </c>
      <c r="M139" s="227">
        <f>L139*D139*VPI!Q139</f>
        <v>0</v>
      </c>
    </row>
    <row r="140" spans="1:13" x14ac:dyDescent="0.25">
      <c r="A140" s="127">
        <f>Données!A140</f>
        <v>5638</v>
      </c>
      <c r="B140" s="26" t="str">
        <f>Données!B140</f>
        <v>Lonay</v>
      </c>
      <c r="C140" s="266">
        <f>VPI!R140</f>
        <v>156370.75327272728</v>
      </c>
      <c r="D140" s="26">
        <f>Données!Z140</f>
        <v>2733</v>
      </c>
      <c r="E140" s="86">
        <f t="shared" si="16"/>
        <v>57.215789708279281</v>
      </c>
      <c r="F140" s="140">
        <f t="shared" si="17"/>
        <v>1.1451074342312162</v>
      </c>
      <c r="G140" s="352">
        <f t="shared" si="18"/>
        <v>7.2503559001476461</v>
      </c>
      <c r="H140" s="352">
        <f t="shared" si="19"/>
        <v>0</v>
      </c>
      <c r="I140" s="352">
        <f t="shared" si="20"/>
        <v>0</v>
      </c>
      <c r="J140" s="352">
        <f t="shared" si="21"/>
        <v>0</v>
      </c>
      <c r="K140" s="352">
        <f t="shared" si="22"/>
        <v>0</v>
      </c>
      <c r="L140" s="354">
        <f t="shared" si="23"/>
        <v>1.4500711800295294</v>
      </c>
      <c r="M140" s="227">
        <f>L140*D140*VPI!Q140</f>
        <v>217967.44942613872</v>
      </c>
    </row>
    <row r="141" spans="1:13" x14ac:dyDescent="0.25">
      <c r="A141" s="127">
        <f>Données!A141</f>
        <v>5639</v>
      </c>
      <c r="B141" s="26" t="str">
        <f>Données!B141</f>
        <v>Lully</v>
      </c>
      <c r="C141" s="266">
        <f>VPI!R141</f>
        <v>55829.926885245906</v>
      </c>
      <c r="D141" s="26">
        <f>Données!Z141</f>
        <v>838</v>
      </c>
      <c r="E141" s="86">
        <f t="shared" si="16"/>
        <v>66.622824445400838</v>
      </c>
      <c r="F141" s="140">
        <f t="shared" si="17"/>
        <v>1.3333782851007348</v>
      </c>
      <c r="G141" s="352">
        <f t="shared" si="18"/>
        <v>16.657390637269202</v>
      </c>
      <c r="H141" s="352">
        <f t="shared" si="19"/>
        <v>6.6643038756428794</v>
      </c>
      <c r="I141" s="352">
        <f t="shared" si="20"/>
        <v>0</v>
      </c>
      <c r="J141" s="352">
        <f t="shared" si="21"/>
        <v>0</v>
      </c>
      <c r="K141" s="352">
        <f t="shared" si="22"/>
        <v>0</v>
      </c>
      <c r="L141" s="354">
        <f t="shared" si="23"/>
        <v>3.9979085150181284</v>
      </c>
      <c r="M141" s="227">
        <f>L141*D141*VPI!Q141</f>
        <v>204365.08747069669</v>
      </c>
    </row>
    <row r="142" spans="1:13" x14ac:dyDescent="0.25">
      <c r="A142" s="127">
        <f>Données!A142</f>
        <v>5640</v>
      </c>
      <c r="B142" s="26" t="str">
        <f>Données!B142</f>
        <v>Lussy-sur-Morges</v>
      </c>
      <c r="C142" s="266">
        <f>VPI!R142</f>
        <v>63303.13934959349</v>
      </c>
      <c r="D142" s="26">
        <f>Données!Z142</f>
        <v>719</v>
      </c>
      <c r="E142" s="86">
        <f t="shared" si="16"/>
        <v>88.043309248391509</v>
      </c>
      <c r="F142" s="140">
        <f t="shared" si="17"/>
        <v>1.7620843558865065</v>
      </c>
      <c r="G142" s="352">
        <f t="shared" si="18"/>
        <v>38.077875440259874</v>
      </c>
      <c r="H142" s="352">
        <f t="shared" si="19"/>
        <v>28.084788678633551</v>
      </c>
      <c r="I142" s="352">
        <f t="shared" si="20"/>
        <v>13.095158536194063</v>
      </c>
      <c r="J142" s="352">
        <f t="shared" si="21"/>
        <v>0</v>
      </c>
      <c r="K142" s="352">
        <f t="shared" si="22"/>
        <v>0</v>
      </c>
      <c r="L142" s="354">
        <f t="shared" si="23"/>
        <v>11.733569809534735</v>
      </c>
      <c r="M142" s="227">
        <f>L142*D142*VPI!Q142</f>
        <v>518840.8566229117</v>
      </c>
    </row>
    <row r="143" spans="1:13" x14ac:dyDescent="0.25">
      <c r="A143" s="127">
        <f>Données!A143</f>
        <v>5642</v>
      </c>
      <c r="B143" s="26" t="str">
        <f>Données!B143</f>
        <v>Morges</v>
      </c>
      <c r="C143" s="266">
        <f>VPI!R143</f>
        <v>1061989.5101492535</v>
      </c>
      <c r="D143" s="26">
        <f>Données!Z143</f>
        <v>17715</v>
      </c>
      <c r="E143" s="86">
        <f t="shared" si="16"/>
        <v>59.948603451834806</v>
      </c>
      <c r="F143" s="140">
        <f t="shared" si="17"/>
        <v>1.1998015204278774</v>
      </c>
      <c r="G143" s="352">
        <f t="shared" si="18"/>
        <v>9.9831696437031709</v>
      </c>
      <c r="H143" s="352">
        <f t="shared" si="19"/>
        <v>0</v>
      </c>
      <c r="I143" s="352">
        <f t="shared" si="20"/>
        <v>0</v>
      </c>
      <c r="J143" s="352">
        <f t="shared" si="21"/>
        <v>0</v>
      </c>
      <c r="K143" s="352">
        <f t="shared" si="22"/>
        <v>0</v>
      </c>
      <c r="L143" s="354">
        <f t="shared" si="23"/>
        <v>1.9966339287406343</v>
      </c>
      <c r="M143" s="227">
        <f>L143*D143*VPI!Q143</f>
        <v>2369814.7931919028</v>
      </c>
    </row>
    <row r="144" spans="1:13" x14ac:dyDescent="0.25">
      <c r="A144" s="127">
        <f>Données!A144</f>
        <v>5643</v>
      </c>
      <c r="B144" s="26" t="str">
        <f>Données!B144</f>
        <v>Préverenges</v>
      </c>
      <c r="C144" s="266">
        <f>VPI!R144</f>
        <v>254683.39384615389</v>
      </c>
      <c r="D144" s="26">
        <f>Données!Z144</f>
        <v>5273</v>
      </c>
      <c r="E144" s="86">
        <f t="shared" si="16"/>
        <v>48.29952471954369</v>
      </c>
      <c r="F144" s="140">
        <f t="shared" si="17"/>
        <v>0.96665876864023492</v>
      </c>
      <c r="G144" s="352">
        <f t="shared" si="18"/>
        <v>0</v>
      </c>
      <c r="H144" s="352">
        <f t="shared" si="19"/>
        <v>0</v>
      </c>
      <c r="I144" s="352">
        <f t="shared" si="20"/>
        <v>0</v>
      </c>
      <c r="J144" s="352">
        <f t="shared" si="21"/>
        <v>0</v>
      </c>
      <c r="K144" s="352">
        <f t="shared" si="22"/>
        <v>0</v>
      </c>
      <c r="L144" s="354">
        <f t="shared" si="23"/>
        <v>0</v>
      </c>
      <c r="M144" s="227">
        <f>L144*D144*VPI!Q144</f>
        <v>0</v>
      </c>
    </row>
    <row r="145" spans="1:13" x14ac:dyDescent="0.25">
      <c r="A145" s="127">
        <f>Données!A145</f>
        <v>5645</v>
      </c>
      <c r="B145" s="26" t="str">
        <f>Données!B145</f>
        <v>Romanel-sur-Morges</v>
      </c>
      <c r="C145" s="266">
        <f>VPI!R145</f>
        <v>28308.714642857147</v>
      </c>
      <c r="D145" s="26">
        <f>Données!Z145</f>
        <v>454</v>
      </c>
      <c r="E145" s="86">
        <f t="shared" si="16"/>
        <v>62.353997010698563</v>
      </c>
      <c r="F145" s="140">
        <f t="shared" si="17"/>
        <v>1.2479426727312983</v>
      </c>
      <c r="G145" s="352">
        <f t="shared" si="18"/>
        <v>12.388563202566928</v>
      </c>
      <c r="H145" s="352">
        <f t="shared" si="19"/>
        <v>2.3954764409406053</v>
      </c>
      <c r="I145" s="352">
        <f t="shared" si="20"/>
        <v>0</v>
      </c>
      <c r="J145" s="352">
        <f t="shared" si="21"/>
        <v>0</v>
      </c>
      <c r="K145" s="352">
        <f t="shared" si="22"/>
        <v>0</v>
      </c>
      <c r="L145" s="354">
        <f t="shared" si="23"/>
        <v>2.7172602846074461</v>
      </c>
      <c r="M145" s="227">
        <f>L145*D145*VPI!Q145</f>
        <v>69083.625475859706</v>
      </c>
    </row>
    <row r="146" spans="1:13" x14ac:dyDescent="0.25">
      <c r="A146" s="127">
        <f>Données!A146</f>
        <v>5646</v>
      </c>
      <c r="B146" s="26" t="str">
        <f>Données!B146</f>
        <v>Saint-Prex</v>
      </c>
      <c r="C146" s="266">
        <f>VPI!R146</f>
        <v>465798.68426553684</v>
      </c>
      <c r="D146" s="26">
        <f>Données!Z146</f>
        <v>5868</v>
      </c>
      <c r="E146" s="86">
        <f t="shared" si="16"/>
        <v>79.379462212940837</v>
      </c>
      <c r="F146" s="140">
        <f t="shared" si="17"/>
        <v>1.58868754182661</v>
      </c>
      <c r="G146" s="352">
        <f t="shared" si="18"/>
        <v>29.414028404809201</v>
      </c>
      <c r="H146" s="352">
        <f t="shared" si="19"/>
        <v>19.420941643182879</v>
      </c>
      <c r="I146" s="352">
        <f t="shared" si="20"/>
        <v>4.4313115007433908</v>
      </c>
      <c r="J146" s="352">
        <f t="shared" si="21"/>
        <v>0</v>
      </c>
      <c r="K146" s="352">
        <f t="shared" si="22"/>
        <v>0</v>
      </c>
      <c r="L146" s="354">
        <f t="shared" si="23"/>
        <v>8.2680309953544668</v>
      </c>
      <c r="M146" s="227">
        <f>L146*D146*VPI!Q146</f>
        <v>2862491.5469636605</v>
      </c>
    </row>
    <row r="147" spans="1:13" x14ac:dyDescent="0.25">
      <c r="A147" s="127">
        <f>Données!A147</f>
        <v>5648</v>
      </c>
      <c r="B147" s="26" t="str">
        <f>Données!B147</f>
        <v>Saint-Sulpice</v>
      </c>
      <c r="C147" s="266">
        <f>VPI!R147</f>
        <v>424880.94159090909</v>
      </c>
      <c r="D147" s="26">
        <f>Données!Z147</f>
        <v>5157</v>
      </c>
      <c r="E147" s="86">
        <f t="shared" si="16"/>
        <v>82.389168429495655</v>
      </c>
      <c r="F147" s="140">
        <f t="shared" si="17"/>
        <v>1.6489233085791244</v>
      </c>
      <c r="G147" s="352">
        <f t="shared" si="18"/>
        <v>32.423734621364019</v>
      </c>
      <c r="H147" s="352">
        <f t="shared" si="19"/>
        <v>22.430647859737697</v>
      </c>
      <c r="I147" s="352">
        <f t="shared" si="20"/>
        <v>7.4410177172982088</v>
      </c>
      <c r="J147" s="352">
        <f t="shared" si="21"/>
        <v>0</v>
      </c>
      <c r="K147" s="352">
        <f t="shared" si="22"/>
        <v>0</v>
      </c>
      <c r="L147" s="354">
        <f t="shared" si="23"/>
        <v>9.4719134819763937</v>
      </c>
      <c r="M147" s="227">
        <f>L147*D147*VPI!Q147</f>
        <v>2686566.1804603743</v>
      </c>
    </row>
    <row r="148" spans="1:13" x14ac:dyDescent="0.25">
      <c r="A148" s="127">
        <f>Données!A148</f>
        <v>5649</v>
      </c>
      <c r="B148" s="26" t="str">
        <f>Données!B148</f>
        <v>Tolochenaz</v>
      </c>
      <c r="C148" s="266">
        <f>VPI!R148</f>
        <v>431976.43718750001</v>
      </c>
      <c r="D148" s="26">
        <f>Données!Z148</f>
        <v>1934</v>
      </c>
      <c r="E148" s="86">
        <f t="shared" si="16"/>
        <v>223.35906783221304</v>
      </c>
      <c r="F148" s="140">
        <f t="shared" si="17"/>
        <v>4.4702717620728913</v>
      </c>
      <c r="G148" s="352">
        <f t="shared" si="18"/>
        <v>173.39363402408139</v>
      </c>
      <c r="H148" s="352">
        <f t="shared" si="19"/>
        <v>163.40054726245509</v>
      </c>
      <c r="I148" s="352">
        <f t="shared" si="20"/>
        <v>148.4109171200156</v>
      </c>
      <c r="J148" s="352">
        <f t="shared" si="21"/>
        <v>123.42820021594977</v>
      </c>
      <c r="K148" s="352">
        <f t="shared" si="22"/>
        <v>73.462766407818151</v>
      </c>
      <c r="L148" s="354">
        <f t="shared" si="23"/>
        <v>85.548969905440146</v>
      </c>
      <c r="M148" s="227">
        <f>L148*D148*VPI!Q148</f>
        <v>10588909.299015759</v>
      </c>
    </row>
    <row r="149" spans="1:13" x14ac:dyDescent="0.25">
      <c r="A149" s="127">
        <f>Données!A149</f>
        <v>5650</v>
      </c>
      <c r="B149" s="26" t="str">
        <f>Données!B149</f>
        <v>Vaux-sur-Morges</v>
      </c>
      <c r="C149" s="266">
        <f>VPI!R149</f>
        <v>116547.05321428573</v>
      </c>
      <c r="D149" s="26">
        <f>Données!Z149</f>
        <v>185</v>
      </c>
      <c r="E149" s="86">
        <f t="shared" si="16"/>
        <v>629.9840714285715</v>
      </c>
      <c r="F149" s="140">
        <f t="shared" si="17"/>
        <v>12.608397914600806</v>
      </c>
      <c r="G149" s="352">
        <f t="shared" si="18"/>
        <v>580.0186376204399</v>
      </c>
      <c r="H149" s="352">
        <f t="shared" si="19"/>
        <v>570.02555085881352</v>
      </c>
      <c r="I149" s="352">
        <f t="shared" si="20"/>
        <v>555.03592071637399</v>
      </c>
      <c r="J149" s="352">
        <f t="shared" si="21"/>
        <v>530.0532038123082</v>
      </c>
      <c r="K149" s="352">
        <f t="shared" si="22"/>
        <v>480.0877700041766</v>
      </c>
      <c r="L149" s="354">
        <f t="shared" si="23"/>
        <v>329.5239720632552</v>
      </c>
      <c r="M149" s="227">
        <f>L149*D149*VPI!Q149</f>
        <v>3413868.3505753237</v>
      </c>
    </row>
    <row r="150" spans="1:13" x14ac:dyDescent="0.25">
      <c r="A150" s="127">
        <f>Données!A150</f>
        <v>5651</v>
      </c>
      <c r="B150" s="26" t="str">
        <f>Données!B150</f>
        <v>Villars-Sainte-Croix</v>
      </c>
      <c r="C150" s="266">
        <f>VPI!R150</f>
        <v>62685.817685950416</v>
      </c>
      <c r="D150" s="26">
        <f>Données!Z150</f>
        <v>955</v>
      </c>
      <c r="E150" s="86">
        <f t="shared" si="16"/>
        <v>65.639599671152268</v>
      </c>
      <c r="F150" s="140">
        <f t="shared" si="17"/>
        <v>1.3137001856765573</v>
      </c>
      <c r="G150" s="352">
        <f t="shared" si="18"/>
        <v>15.674165863020633</v>
      </c>
      <c r="H150" s="352">
        <f t="shared" si="19"/>
        <v>5.6810791013943103</v>
      </c>
      <c r="I150" s="352">
        <f t="shared" si="20"/>
        <v>0</v>
      </c>
      <c r="J150" s="352">
        <f t="shared" si="21"/>
        <v>0</v>
      </c>
      <c r="K150" s="352">
        <f t="shared" si="22"/>
        <v>0</v>
      </c>
      <c r="L150" s="354">
        <f t="shared" si="23"/>
        <v>3.7029410827435578</v>
      </c>
      <c r="M150" s="227">
        <f>L150*D150*VPI!Q150</f>
        <v>213946.6784082159</v>
      </c>
    </row>
    <row r="151" spans="1:13" x14ac:dyDescent="0.25">
      <c r="A151" s="127">
        <f>Données!A151</f>
        <v>5652</v>
      </c>
      <c r="B151" s="26" t="str">
        <f>Données!B151</f>
        <v>Villars-sous-Yens</v>
      </c>
      <c r="C151" s="266">
        <f>VPI!R151</f>
        <v>27337.435990990991</v>
      </c>
      <c r="D151" s="26">
        <f>Données!Z151</f>
        <v>602</v>
      </c>
      <c r="E151" s="86">
        <f t="shared" si="16"/>
        <v>45.41102324084882</v>
      </c>
      <c r="F151" s="140">
        <f t="shared" si="17"/>
        <v>0.90884877363875494</v>
      </c>
      <c r="G151" s="352">
        <f t="shared" si="18"/>
        <v>0</v>
      </c>
      <c r="H151" s="352">
        <f t="shared" si="19"/>
        <v>0</v>
      </c>
      <c r="I151" s="352">
        <f t="shared" si="20"/>
        <v>0</v>
      </c>
      <c r="J151" s="352">
        <f t="shared" si="21"/>
        <v>0</v>
      </c>
      <c r="K151" s="352">
        <f t="shared" si="22"/>
        <v>0</v>
      </c>
      <c r="L151" s="354">
        <f t="shared" si="23"/>
        <v>0</v>
      </c>
      <c r="M151" s="227">
        <f>L151*D151*VPI!Q151</f>
        <v>0</v>
      </c>
    </row>
    <row r="152" spans="1:13" x14ac:dyDescent="0.25">
      <c r="A152" s="127">
        <f>Données!A152</f>
        <v>5653</v>
      </c>
      <c r="B152" s="26" t="str">
        <f>Données!B152</f>
        <v>Vufflens-le-Château</v>
      </c>
      <c r="C152" s="266">
        <f>VPI!R152</f>
        <v>76227.69876033059</v>
      </c>
      <c r="D152" s="26">
        <f>Données!Z152</f>
        <v>838</v>
      </c>
      <c r="E152" s="86">
        <f t="shared" si="16"/>
        <v>90.963841002781137</v>
      </c>
      <c r="F152" s="140">
        <f t="shared" si="17"/>
        <v>1.8205353995741194</v>
      </c>
      <c r="G152" s="352">
        <f t="shared" si="18"/>
        <v>40.998407194649502</v>
      </c>
      <c r="H152" s="352">
        <f t="shared" si="19"/>
        <v>31.005320433023179</v>
      </c>
      <c r="I152" s="352">
        <f t="shared" si="20"/>
        <v>16.015690290583692</v>
      </c>
      <c r="J152" s="352">
        <f t="shared" si="21"/>
        <v>0</v>
      </c>
      <c r="K152" s="352">
        <f t="shared" si="22"/>
        <v>0</v>
      </c>
      <c r="L152" s="354">
        <f t="shared" si="23"/>
        <v>12.901782511290588</v>
      </c>
      <c r="M152" s="227">
        <f>L152*D152*VPI!Q152</f>
        <v>654107.47153992148</v>
      </c>
    </row>
    <row r="153" spans="1:13" x14ac:dyDescent="0.25">
      <c r="A153" s="127">
        <f>Données!A153</f>
        <v>5654</v>
      </c>
      <c r="B153" s="26" t="str">
        <f>Données!B153</f>
        <v>Vullierens</v>
      </c>
      <c r="C153" s="266">
        <f>VPI!R153</f>
        <v>23074.815394736848</v>
      </c>
      <c r="D153" s="26">
        <f>Données!Z153</f>
        <v>548</v>
      </c>
      <c r="E153" s="86">
        <f t="shared" si="16"/>
        <v>42.107327362658481</v>
      </c>
      <c r="F153" s="140">
        <f t="shared" si="17"/>
        <v>0.84272914600024373</v>
      </c>
      <c r="G153" s="352">
        <f t="shared" si="18"/>
        <v>0</v>
      </c>
      <c r="H153" s="352">
        <f t="shared" si="19"/>
        <v>0</v>
      </c>
      <c r="I153" s="352">
        <f t="shared" si="20"/>
        <v>0</v>
      </c>
      <c r="J153" s="352">
        <f t="shared" si="21"/>
        <v>0</v>
      </c>
      <c r="K153" s="352">
        <f t="shared" si="22"/>
        <v>0</v>
      </c>
      <c r="L153" s="354">
        <f t="shared" si="23"/>
        <v>0</v>
      </c>
      <c r="M153" s="227">
        <f>L153*D153*VPI!Q153</f>
        <v>0</v>
      </c>
    </row>
    <row r="154" spans="1:13" x14ac:dyDescent="0.25">
      <c r="A154" s="127">
        <f>Données!A154</f>
        <v>5655</v>
      </c>
      <c r="B154" s="26" t="str">
        <f>Données!B154</f>
        <v>Yens</v>
      </c>
      <c r="C154" s="266">
        <f>VPI!R154</f>
        <v>99930.986000000004</v>
      </c>
      <c r="D154" s="26">
        <f>Données!Z154</f>
        <v>1502</v>
      </c>
      <c r="E154" s="86">
        <f t="shared" si="16"/>
        <v>66.531948069241011</v>
      </c>
      <c r="F154" s="140">
        <f t="shared" si="17"/>
        <v>1.331559500208187</v>
      </c>
      <c r="G154" s="352">
        <f t="shared" si="18"/>
        <v>16.566514261109376</v>
      </c>
      <c r="H154" s="352">
        <f t="shared" si="19"/>
        <v>6.5734274994830528</v>
      </c>
      <c r="I154" s="352">
        <f t="shared" si="20"/>
        <v>0</v>
      </c>
      <c r="J154" s="352">
        <f t="shared" si="21"/>
        <v>0</v>
      </c>
      <c r="K154" s="352">
        <f t="shared" si="22"/>
        <v>0</v>
      </c>
      <c r="L154" s="354">
        <f t="shared" si="23"/>
        <v>3.9706456021701806</v>
      </c>
      <c r="M154" s="227">
        <f>L154*D154*VPI!Q154</f>
        <v>417473.67861217278</v>
      </c>
    </row>
    <row r="155" spans="1:13" x14ac:dyDescent="0.25">
      <c r="A155" s="127">
        <f>Données!A155</f>
        <v>5656</v>
      </c>
      <c r="B155" s="26" t="str">
        <f>Données!B155</f>
        <v>Hautemorges</v>
      </c>
      <c r="C155" s="266">
        <f>VPI!R155</f>
        <v>173869.73802816903</v>
      </c>
      <c r="D155" s="26">
        <f>Données!Z155</f>
        <v>4387</v>
      </c>
      <c r="E155" s="86">
        <f t="shared" si="16"/>
        <v>39.632946894955332</v>
      </c>
      <c r="F155" s="140">
        <f t="shared" si="17"/>
        <v>0.79320730101427162</v>
      </c>
      <c r="G155" s="352">
        <f t="shared" si="18"/>
        <v>0</v>
      </c>
      <c r="H155" s="352">
        <f t="shared" si="19"/>
        <v>0</v>
      </c>
      <c r="I155" s="352">
        <f t="shared" si="20"/>
        <v>0</v>
      </c>
      <c r="J155" s="352">
        <f t="shared" si="21"/>
        <v>0</v>
      </c>
      <c r="K155" s="352">
        <f t="shared" si="22"/>
        <v>0</v>
      </c>
      <c r="L155" s="354">
        <f t="shared" si="23"/>
        <v>0</v>
      </c>
      <c r="M155" s="227">
        <f>L155*D155*VPI!Q155</f>
        <v>0</v>
      </c>
    </row>
    <row r="156" spans="1:13" x14ac:dyDescent="0.25">
      <c r="A156" s="127">
        <f>Données!A156</f>
        <v>5661</v>
      </c>
      <c r="B156" s="26" t="str">
        <f>Données!B156</f>
        <v>Boulens</v>
      </c>
      <c r="C156" s="266">
        <f>VPI!R156</f>
        <v>10070.839300699299</v>
      </c>
      <c r="D156" s="26">
        <f>Données!Z156</f>
        <v>368</v>
      </c>
      <c r="E156" s="86">
        <f t="shared" si="16"/>
        <v>27.366411143204619</v>
      </c>
      <c r="F156" s="140">
        <f t="shared" si="17"/>
        <v>0.54770686567622406</v>
      </c>
      <c r="G156" s="352">
        <f t="shared" si="18"/>
        <v>0</v>
      </c>
      <c r="H156" s="352">
        <f t="shared" si="19"/>
        <v>0</v>
      </c>
      <c r="I156" s="352">
        <f t="shared" si="20"/>
        <v>0</v>
      </c>
      <c r="J156" s="352">
        <f t="shared" si="21"/>
        <v>0</v>
      </c>
      <c r="K156" s="352">
        <f t="shared" si="22"/>
        <v>0</v>
      </c>
      <c r="L156" s="354">
        <f t="shared" si="23"/>
        <v>0</v>
      </c>
      <c r="M156" s="227">
        <f>L156*D156*VPI!Q156</f>
        <v>0</v>
      </c>
    </row>
    <row r="157" spans="1:13" x14ac:dyDescent="0.25">
      <c r="A157" s="127">
        <f>Données!A157</f>
        <v>5663</v>
      </c>
      <c r="B157" s="26" t="str">
        <f>Données!B157</f>
        <v>Bussy-sur-Moudon</v>
      </c>
      <c r="C157" s="266">
        <f>VPI!R157</f>
        <v>5846.5050955414026</v>
      </c>
      <c r="D157" s="26">
        <f>Données!Z157</f>
        <v>262</v>
      </c>
      <c r="E157" s="86">
        <f t="shared" si="16"/>
        <v>22.314904944814515</v>
      </c>
      <c r="F157" s="140">
        <f t="shared" si="17"/>
        <v>0.44660684885683655</v>
      </c>
      <c r="G157" s="352">
        <f t="shared" si="18"/>
        <v>0</v>
      </c>
      <c r="H157" s="352">
        <f t="shared" si="19"/>
        <v>0</v>
      </c>
      <c r="I157" s="352">
        <f t="shared" si="20"/>
        <v>0</v>
      </c>
      <c r="J157" s="352">
        <f t="shared" si="21"/>
        <v>0</v>
      </c>
      <c r="K157" s="352">
        <f t="shared" si="22"/>
        <v>0</v>
      </c>
      <c r="L157" s="354">
        <f t="shared" si="23"/>
        <v>0</v>
      </c>
      <c r="M157" s="227">
        <f>L157*D157*VPI!Q157</f>
        <v>0</v>
      </c>
    </row>
    <row r="158" spans="1:13" x14ac:dyDescent="0.25">
      <c r="A158" s="127">
        <f>Données!A158</f>
        <v>5665</v>
      </c>
      <c r="B158" s="26" t="str">
        <f>Données!B158</f>
        <v>Chavannes-sur-Moudon</v>
      </c>
      <c r="C158" s="266">
        <f>VPI!R158</f>
        <v>6553.0082857142861</v>
      </c>
      <c r="D158" s="26">
        <f>Données!Z158</f>
        <v>229</v>
      </c>
      <c r="E158" s="86">
        <f t="shared" si="16"/>
        <v>28.615756706175922</v>
      </c>
      <c r="F158" s="140">
        <f t="shared" si="17"/>
        <v>0.57271106293324814</v>
      </c>
      <c r="G158" s="352">
        <f t="shared" si="18"/>
        <v>0</v>
      </c>
      <c r="H158" s="352">
        <f t="shared" si="19"/>
        <v>0</v>
      </c>
      <c r="I158" s="352">
        <f t="shared" si="20"/>
        <v>0</v>
      </c>
      <c r="J158" s="352">
        <f t="shared" si="21"/>
        <v>0</v>
      </c>
      <c r="K158" s="352">
        <f t="shared" si="22"/>
        <v>0</v>
      </c>
      <c r="L158" s="354">
        <f t="shared" si="23"/>
        <v>0</v>
      </c>
      <c r="M158" s="227">
        <f>L158*D158*VPI!Q158</f>
        <v>0</v>
      </c>
    </row>
    <row r="159" spans="1:13" x14ac:dyDescent="0.25">
      <c r="A159" s="127">
        <f>Données!A159</f>
        <v>5669</v>
      </c>
      <c r="B159" s="26" t="str">
        <f>Données!B159</f>
        <v>Curtilles</v>
      </c>
      <c r="C159" s="266">
        <f>VPI!R159</f>
        <v>9589.3382191780838</v>
      </c>
      <c r="D159" s="26">
        <f>Données!Z159</f>
        <v>308</v>
      </c>
      <c r="E159" s="86">
        <f t="shared" si="16"/>
        <v>31.134214997331441</v>
      </c>
      <c r="F159" s="140">
        <f t="shared" si="17"/>
        <v>0.62311507425088131</v>
      </c>
      <c r="G159" s="352">
        <f t="shared" si="18"/>
        <v>0</v>
      </c>
      <c r="H159" s="352">
        <f t="shared" si="19"/>
        <v>0</v>
      </c>
      <c r="I159" s="352">
        <f t="shared" si="20"/>
        <v>0</v>
      </c>
      <c r="J159" s="352">
        <f t="shared" si="21"/>
        <v>0</v>
      </c>
      <c r="K159" s="352">
        <f t="shared" si="22"/>
        <v>0</v>
      </c>
      <c r="L159" s="354">
        <f t="shared" si="23"/>
        <v>0</v>
      </c>
      <c r="M159" s="227">
        <f>L159*D159*VPI!Q159</f>
        <v>0</v>
      </c>
    </row>
    <row r="160" spans="1:13" x14ac:dyDescent="0.25">
      <c r="A160" s="127">
        <f>Données!A160</f>
        <v>5671</v>
      </c>
      <c r="B160" s="26" t="str">
        <f>Données!B160</f>
        <v>Dompierre</v>
      </c>
      <c r="C160" s="266">
        <f>VPI!R160</f>
        <v>6077.1303846153842</v>
      </c>
      <c r="D160" s="26">
        <f>Données!Z160</f>
        <v>240</v>
      </c>
      <c r="E160" s="86">
        <f t="shared" si="16"/>
        <v>25.321376602564101</v>
      </c>
      <c r="F160" s="140">
        <f t="shared" si="17"/>
        <v>0.50677787967975507</v>
      </c>
      <c r="G160" s="352">
        <f t="shared" si="18"/>
        <v>0</v>
      </c>
      <c r="H160" s="352">
        <f t="shared" si="19"/>
        <v>0</v>
      </c>
      <c r="I160" s="352">
        <f t="shared" si="20"/>
        <v>0</v>
      </c>
      <c r="J160" s="352">
        <f t="shared" si="21"/>
        <v>0</v>
      </c>
      <c r="K160" s="352">
        <f t="shared" si="22"/>
        <v>0</v>
      </c>
      <c r="L160" s="354">
        <f t="shared" si="23"/>
        <v>0</v>
      </c>
      <c r="M160" s="227">
        <f>L160*D160*VPI!Q160</f>
        <v>0</v>
      </c>
    </row>
    <row r="161" spans="1:13" x14ac:dyDescent="0.25">
      <c r="A161" s="127">
        <f>Données!A161</f>
        <v>5673</v>
      </c>
      <c r="B161" s="26" t="str">
        <f>Données!B161</f>
        <v>Hermenches</v>
      </c>
      <c r="C161" s="266">
        <f>VPI!R161</f>
        <v>10021.842448979593</v>
      </c>
      <c r="D161" s="26">
        <f>Données!Z161</f>
        <v>373</v>
      </c>
      <c r="E161" s="86">
        <f t="shared" si="16"/>
        <v>26.86821031898014</v>
      </c>
      <c r="F161" s="140">
        <f t="shared" si="17"/>
        <v>0.53773595606423952</v>
      </c>
      <c r="G161" s="352">
        <f t="shared" si="18"/>
        <v>0</v>
      </c>
      <c r="H161" s="352">
        <f t="shared" si="19"/>
        <v>0</v>
      </c>
      <c r="I161" s="352">
        <f t="shared" si="20"/>
        <v>0</v>
      </c>
      <c r="J161" s="352">
        <f t="shared" si="21"/>
        <v>0</v>
      </c>
      <c r="K161" s="352">
        <f t="shared" si="22"/>
        <v>0</v>
      </c>
      <c r="L161" s="354">
        <f t="shared" si="23"/>
        <v>0</v>
      </c>
      <c r="M161" s="227">
        <f>L161*D161*VPI!Q161</f>
        <v>0</v>
      </c>
    </row>
    <row r="162" spans="1:13" x14ac:dyDescent="0.25">
      <c r="A162" s="127">
        <f>Données!A162</f>
        <v>5674</v>
      </c>
      <c r="B162" s="26" t="str">
        <f>Données!B162</f>
        <v>Lovatens</v>
      </c>
      <c r="C162" s="266">
        <f>VPI!R162</f>
        <v>4190.698742857142</v>
      </c>
      <c r="D162" s="26">
        <f>Données!Z162</f>
        <v>146</v>
      </c>
      <c r="E162" s="86">
        <f t="shared" si="16"/>
        <v>28.703416046966726</v>
      </c>
      <c r="F162" s="140">
        <f t="shared" si="17"/>
        <v>0.57446546260737918</v>
      </c>
      <c r="G162" s="352">
        <f t="shared" si="18"/>
        <v>0</v>
      </c>
      <c r="H162" s="352">
        <f t="shared" si="19"/>
        <v>0</v>
      </c>
      <c r="I162" s="352">
        <f t="shared" si="20"/>
        <v>0</v>
      </c>
      <c r="J162" s="352">
        <f t="shared" si="21"/>
        <v>0</v>
      </c>
      <c r="K162" s="352">
        <f t="shared" si="22"/>
        <v>0</v>
      </c>
      <c r="L162" s="354">
        <f t="shared" si="23"/>
        <v>0</v>
      </c>
      <c r="M162" s="227">
        <f>L162*D162*VPI!Q162</f>
        <v>0</v>
      </c>
    </row>
    <row r="163" spans="1:13" x14ac:dyDescent="0.25">
      <c r="A163" s="127">
        <f>Données!A163</f>
        <v>5675</v>
      </c>
      <c r="B163" s="26" t="str">
        <f>Données!B163</f>
        <v>Lucens</v>
      </c>
      <c r="C163" s="266">
        <f>VPI!R163</f>
        <v>96219.295291039889</v>
      </c>
      <c r="D163" s="26">
        <f>Données!Z163</f>
        <v>4734</v>
      </c>
      <c r="E163" s="86">
        <f t="shared" si="16"/>
        <v>20.325157433679738</v>
      </c>
      <c r="F163" s="140">
        <f t="shared" si="17"/>
        <v>0.40678436840414095</v>
      </c>
      <c r="G163" s="352">
        <f t="shared" si="18"/>
        <v>0</v>
      </c>
      <c r="H163" s="352">
        <f t="shared" si="19"/>
        <v>0</v>
      </c>
      <c r="I163" s="352">
        <f t="shared" si="20"/>
        <v>0</v>
      </c>
      <c r="J163" s="352">
        <f t="shared" si="21"/>
        <v>0</v>
      </c>
      <c r="K163" s="352">
        <f t="shared" si="22"/>
        <v>0</v>
      </c>
      <c r="L163" s="354">
        <f t="shared" si="23"/>
        <v>0</v>
      </c>
      <c r="M163" s="227">
        <f>L163*D163*VPI!Q163</f>
        <v>0</v>
      </c>
    </row>
    <row r="164" spans="1:13" x14ac:dyDescent="0.25">
      <c r="A164" s="127">
        <f>Données!A164</f>
        <v>5678</v>
      </c>
      <c r="B164" s="26" t="str">
        <f>Données!B164</f>
        <v>Moudon</v>
      </c>
      <c r="C164" s="266">
        <f>VPI!R164</f>
        <v>144507.28937931036</v>
      </c>
      <c r="D164" s="26">
        <f>Données!Z164</f>
        <v>6651</v>
      </c>
      <c r="E164" s="86">
        <f t="shared" si="16"/>
        <v>21.727152214600867</v>
      </c>
      <c r="F164" s="140">
        <f t="shared" si="17"/>
        <v>0.43484366208114211</v>
      </c>
      <c r="G164" s="352">
        <f t="shared" si="18"/>
        <v>0</v>
      </c>
      <c r="H164" s="352">
        <f t="shared" si="19"/>
        <v>0</v>
      </c>
      <c r="I164" s="352">
        <f t="shared" si="20"/>
        <v>0</v>
      </c>
      <c r="J164" s="352">
        <f t="shared" si="21"/>
        <v>0</v>
      </c>
      <c r="K164" s="352">
        <f t="shared" si="22"/>
        <v>0</v>
      </c>
      <c r="L164" s="354">
        <f t="shared" si="23"/>
        <v>0</v>
      </c>
      <c r="M164" s="227">
        <f>L164*D164*VPI!Q164</f>
        <v>0</v>
      </c>
    </row>
    <row r="165" spans="1:13" x14ac:dyDescent="0.25">
      <c r="A165" s="127">
        <f>Données!A165</f>
        <v>5680</v>
      </c>
      <c r="B165" s="26" t="str">
        <f>Données!B165</f>
        <v>Ogens</v>
      </c>
      <c r="C165" s="266">
        <f>VPI!R165</f>
        <v>9088.9604700854707</v>
      </c>
      <c r="D165" s="26">
        <f>Données!Z165</f>
        <v>341</v>
      </c>
      <c r="E165" s="86">
        <f t="shared" si="16"/>
        <v>26.653843020778506</v>
      </c>
      <c r="F165" s="140">
        <f t="shared" si="17"/>
        <v>0.53344564410527984</v>
      </c>
      <c r="G165" s="352">
        <f t="shared" si="18"/>
        <v>0</v>
      </c>
      <c r="H165" s="352">
        <f t="shared" si="19"/>
        <v>0</v>
      </c>
      <c r="I165" s="352">
        <f t="shared" si="20"/>
        <v>0</v>
      </c>
      <c r="J165" s="352">
        <f t="shared" si="21"/>
        <v>0</v>
      </c>
      <c r="K165" s="352">
        <f t="shared" si="22"/>
        <v>0</v>
      </c>
      <c r="L165" s="354">
        <f t="shared" si="23"/>
        <v>0</v>
      </c>
      <c r="M165" s="227">
        <f>L165*D165*VPI!Q165</f>
        <v>0</v>
      </c>
    </row>
    <row r="166" spans="1:13" x14ac:dyDescent="0.25">
      <c r="A166" s="127">
        <f>Données!A166</f>
        <v>5683</v>
      </c>
      <c r="B166" s="26" t="str">
        <f>Données!B166</f>
        <v>Prévonloup</v>
      </c>
      <c r="C166" s="266">
        <f>VPI!R166</f>
        <v>3390.948689655173</v>
      </c>
      <c r="D166" s="26">
        <f>Données!Z166</f>
        <v>231</v>
      </c>
      <c r="E166" s="86">
        <f t="shared" si="16"/>
        <v>14.679431556948801</v>
      </c>
      <c r="F166" s="140">
        <f t="shared" si="17"/>
        <v>0.29379173636954981</v>
      </c>
      <c r="G166" s="352">
        <f t="shared" si="18"/>
        <v>0</v>
      </c>
      <c r="H166" s="352">
        <f t="shared" si="19"/>
        <v>0</v>
      </c>
      <c r="I166" s="352">
        <f t="shared" si="20"/>
        <v>0</v>
      </c>
      <c r="J166" s="352">
        <f t="shared" si="21"/>
        <v>0</v>
      </c>
      <c r="K166" s="352">
        <f t="shared" si="22"/>
        <v>0</v>
      </c>
      <c r="L166" s="354">
        <f t="shared" si="23"/>
        <v>0</v>
      </c>
      <c r="M166" s="227">
        <f>L166*D166*VPI!Q166</f>
        <v>0</v>
      </c>
    </row>
    <row r="167" spans="1:13" x14ac:dyDescent="0.25">
      <c r="A167" s="127">
        <f>Données!A167</f>
        <v>5684</v>
      </c>
      <c r="B167" s="26" t="str">
        <f>Données!B167</f>
        <v>Rossenges</v>
      </c>
      <c r="C167" s="266">
        <f>VPI!R167</f>
        <v>10097.406384615384</v>
      </c>
      <c r="D167" s="26">
        <f>Données!Z167</f>
        <v>90</v>
      </c>
      <c r="E167" s="86">
        <f t="shared" si="16"/>
        <v>112.19340427350427</v>
      </c>
      <c r="F167" s="140">
        <f t="shared" si="17"/>
        <v>2.245420398116214</v>
      </c>
      <c r="G167" s="352">
        <f t="shared" si="18"/>
        <v>62.227970465372636</v>
      </c>
      <c r="H167" s="352">
        <f t="shared" si="19"/>
        <v>52.234883703746313</v>
      </c>
      <c r="I167" s="352">
        <f t="shared" si="20"/>
        <v>37.245253561306825</v>
      </c>
      <c r="J167" s="352">
        <f t="shared" si="21"/>
        <v>12.262536657241</v>
      </c>
      <c r="K167" s="352">
        <f t="shared" si="22"/>
        <v>0</v>
      </c>
      <c r="L167" s="354">
        <f t="shared" si="23"/>
        <v>22.619861485303939</v>
      </c>
      <c r="M167" s="227">
        <f>L167*D167*VPI!Q167</f>
        <v>132326.18968902805</v>
      </c>
    </row>
    <row r="168" spans="1:13" x14ac:dyDescent="0.25">
      <c r="A168" s="127">
        <f>Données!A168</f>
        <v>5688</v>
      </c>
      <c r="B168" s="26" t="str">
        <f>Données!B168</f>
        <v>Syens</v>
      </c>
      <c r="C168" s="266">
        <f>VPI!R168</f>
        <v>5159.2410769230773</v>
      </c>
      <c r="D168" s="26">
        <f>Données!Z168</f>
        <v>151</v>
      </c>
      <c r="E168" s="86">
        <f t="shared" si="16"/>
        <v>34.167159449821703</v>
      </c>
      <c r="F168" s="140">
        <f t="shared" si="17"/>
        <v>0.68381592724731155</v>
      </c>
      <c r="G168" s="352">
        <f t="shared" si="18"/>
        <v>0</v>
      </c>
      <c r="H168" s="352">
        <f t="shared" si="19"/>
        <v>0</v>
      </c>
      <c r="I168" s="352">
        <f t="shared" si="20"/>
        <v>0</v>
      </c>
      <c r="J168" s="352">
        <f t="shared" si="21"/>
        <v>0</v>
      </c>
      <c r="K168" s="352">
        <f t="shared" si="22"/>
        <v>0</v>
      </c>
      <c r="L168" s="354">
        <f t="shared" si="23"/>
        <v>0</v>
      </c>
      <c r="M168" s="227">
        <f>L168*D168*VPI!Q168</f>
        <v>0</v>
      </c>
    </row>
    <row r="169" spans="1:13" x14ac:dyDescent="0.25">
      <c r="A169" s="127">
        <f>Données!A169</f>
        <v>5690</v>
      </c>
      <c r="B169" s="26" t="str">
        <f>Données!B169</f>
        <v>Villars-le-Comte</v>
      </c>
      <c r="C169" s="266">
        <f>VPI!R169</f>
        <v>4239.3419117647063</v>
      </c>
      <c r="D169" s="26">
        <f>Données!Z169</f>
        <v>132</v>
      </c>
      <c r="E169" s="86">
        <f t="shared" si="16"/>
        <v>32.116226604278076</v>
      </c>
      <c r="F169" s="140">
        <f t="shared" si="17"/>
        <v>0.64276889354358635</v>
      </c>
      <c r="G169" s="352">
        <f t="shared" si="18"/>
        <v>0</v>
      </c>
      <c r="H169" s="352">
        <f t="shared" si="19"/>
        <v>0</v>
      </c>
      <c r="I169" s="352">
        <f t="shared" si="20"/>
        <v>0</v>
      </c>
      <c r="J169" s="352">
        <f t="shared" si="21"/>
        <v>0</v>
      </c>
      <c r="K169" s="352">
        <f t="shared" si="22"/>
        <v>0</v>
      </c>
      <c r="L169" s="354">
        <f t="shared" si="23"/>
        <v>0</v>
      </c>
      <c r="M169" s="227">
        <f>L169*D169*VPI!Q169</f>
        <v>0</v>
      </c>
    </row>
    <row r="170" spans="1:13" x14ac:dyDescent="0.25">
      <c r="A170" s="127">
        <f>Données!A170</f>
        <v>5692</v>
      </c>
      <c r="B170" s="26" t="str">
        <f>Données!B170</f>
        <v>Vucherens</v>
      </c>
      <c r="C170" s="266">
        <f>VPI!R170</f>
        <v>19521.023866666663</v>
      </c>
      <c r="D170" s="26">
        <f>Données!Z170</f>
        <v>622</v>
      </c>
      <c r="E170" s="86">
        <f t="shared" si="16"/>
        <v>31.38428274383708</v>
      </c>
      <c r="F170" s="140">
        <f t="shared" si="17"/>
        <v>0.62811988912882089</v>
      </c>
      <c r="G170" s="352">
        <f t="shared" si="18"/>
        <v>0</v>
      </c>
      <c r="H170" s="352">
        <f t="shared" si="19"/>
        <v>0</v>
      </c>
      <c r="I170" s="352">
        <f t="shared" si="20"/>
        <v>0</v>
      </c>
      <c r="J170" s="352">
        <f t="shared" si="21"/>
        <v>0</v>
      </c>
      <c r="K170" s="352">
        <f t="shared" si="22"/>
        <v>0</v>
      </c>
      <c r="L170" s="354">
        <f t="shared" si="23"/>
        <v>0</v>
      </c>
      <c r="M170" s="227">
        <f>L170*D170*VPI!Q170</f>
        <v>0</v>
      </c>
    </row>
    <row r="171" spans="1:13" x14ac:dyDescent="0.25">
      <c r="A171" s="127">
        <f>Données!A171</f>
        <v>5693</v>
      </c>
      <c r="B171" s="26" t="str">
        <f>Données!B171</f>
        <v>Montanaire</v>
      </c>
      <c r="C171" s="266">
        <f>VPI!R171</f>
        <v>77215.400857142857</v>
      </c>
      <c r="D171" s="26">
        <f>Données!Z171</f>
        <v>2861</v>
      </c>
      <c r="E171" s="86">
        <f t="shared" si="16"/>
        <v>26.988955210465871</v>
      </c>
      <c r="F171" s="140">
        <f t="shared" si="17"/>
        <v>0.54015252452533591</v>
      </c>
      <c r="G171" s="352">
        <f t="shared" si="18"/>
        <v>0</v>
      </c>
      <c r="H171" s="352">
        <f t="shared" si="19"/>
        <v>0</v>
      </c>
      <c r="I171" s="352">
        <f t="shared" si="20"/>
        <v>0</v>
      </c>
      <c r="J171" s="352">
        <f t="shared" si="21"/>
        <v>0</v>
      </c>
      <c r="K171" s="352">
        <f t="shared" si="22"/>
        <v>0</v>
      </c>
      <c r="L171" s="354">
        <f t="shared" si="23"/>
        <v>0</v>
      </c>
      <c r="M171" s="227">
        <f>L171*D171*VPI!Q171</f>
        <v>0</v>
      </c>
    </row>
    <row r="172" spans="1:13" x14ac:dyDescent="0.25">
      <c r="A172" s="127">
        <f>Données!A172</f>
        <v>5701</v>
      </c>
      <c r="B172" s="26" t="str">
        <f>Données!B172</f>
        <v>Arnex-sur-Nyon</v>
      </c>
      <c r="C172" s="266">
        <f>VPI!R172</f>
        <v>22528.026764705879</v>
      </c>
      <c r="D172" s="26">
        <f>Données!Z172</f>
        <v>267</v>
      </c>
      <c r="E172" s="86">
        <f t="shared" si="16"/>
        <v>84.374632077550103</v>
      </c>
      <c r="F172" s="140">
        <f t="shared" si="17"/>
        <v>1.6886600524985043</v>
      </c>
      <c r="G172" s="352">
        <f t="shared" si="18"/>
        <v>34.409198269418468</v>
      </c>
      <c r="H172" s="352">
        <f t="shared" si="19"/>
        <v>24.416111507792145</v>
      </c>
      <c r="I172" s="352">
        <f t="shared" si="20"/>
        <v>9.4264813653526573</v>
      </c>
      <c r="J172" s="352">
        <f t="shared" si="21"/>
        <v>0</v>
      </c>
      <c r="K172" s="352">
        <f t="shared" si="22"/>
        <v>0</v>
      </c>
      <c r="L172" s="354">
        <f t="shared" si="23"/>
        <v>10.266098941198173</v>
      </c>
      <c r="M172" s="227">
        <f>L172*D172*VPI!Q172</f>
        <v>186391.29237639403</v>
      </c>
    </row>
    <row r="173" spans="1:13" x14ac:dyDescent="0.25">
      <c r="A173" s="127">
        <f>Données!A173</f>
        <v>5702</v>
      </c>
      <c r="B173" s="26" t="str">
        <f>Données!B173</f>
        <v>Arzier-Le Muids</v>
      </c>
      <c r="C173" s="266">
        <f>VPI!R173</f>
        <v>189129.79401041669</v>
      </c>
      <c r="D173" s="26">
        <f>Données!Z173</f>
        <v>2968</v>
      </c>
      <c r="E173" s="86">
        <f t="shared" si="16"/>
        <v>63.722976418604006</v>
      </c>
      <c r="F173" s="140">
        <f t="shared" si="17"/>
        <v>1.2753412021459003</v>
      </c>
      <c r="G173" s="352">
        <f t="shared" si="18"/>
        <v>13.75754261047237</v>
      </c>
      <c r="H173" s="352">
        <f t="shared" si="19"/>
        <v>3.7644558488460476</v>
      </c>
      <c r="I173" s="352">
        <f t="shared" si="20"/>
        <v>0</v>
      </c>
      <c r="J173" s="352">
        <f t="shared" si="21"/>
        <v>0</v>
      </c>
      <c r="K173" s="352">
        <f t="shared" si="22"/>
        <v>0</v>
      </c>
      <c r="L173" s="354">
        <f t="shared" si="23"/>
        <v>3.1279541069790788</v>
      </c>
      <c r="M173" s="227">
        <f>L173*D173*VPI!Q173</f>
        <v>594161.13852888998</v>
      </c>
    </row>
    <row r="174" spans="1:13" x14ac:dyDescent="0.25">
      <c r="A174" s="127">
        <f>Données!A174</f>
        <v>5703</v>
      </c>
      <c r="B174" s="26" t="str">
        <f>Données!B174</f>
        <v>Bassins</v>
      </c>
      <c r="C174" s="266">
        <f>VPI!R174</f>
        <v>69884.65087684727</v>
      </c>
      <c r="D174" s="26">
        <f>Données!Z174</f>
        <v>1484</v>
      </c>
      <c r="E174" s="86">
        <f t="shared" si="16"/>
        <v>47.092082801110017</v>
      </c>
      <c r="F174" s="140">
        <f t="shared" si="17"/>
        <v>0.94249322405454639</v>
      </c>
      <c r="G174" s="352">
        <f t="shared" si="18"/>
        <v>0</v>
      </c>
      <c r="H174" s="352">
        <f t="shared" si="19"/>
        <v>0</v>
      </c>
      <c r="I174" s="352">
        <f t="shared" si="20"/>
        <v>0</v>
      </c>
      <c r="J174" s="352">
        <f t="shared" si="21"/>
        <v>0</v>
      </c>
      <c r="K174" s="352">
        <f t="shared" si="22"/>
        <v>0</v>
      </c>
      <c r="L174" s="354">
        <f t="shared" si="23"/>
        <v>0</v>
      </c>
      <c r="M174" s="227">
        <f>L174*D174*VPI!Q174</f>
        <v>0</v>
      </c>
    </row>
    <row r="175" spans="1:13" x14ac:dyDescent="0.25">
      <c r="A175" s="127">
        <f>Données!A175</f>
        <v>5704</v>
      </c>
      <c r="B175" s="26" t="str">
        <f>Données!B175</f>
        <v>Begnins</v>
      </c>
      <c r="C175" s="266">
        <f>VPI!R175</f>
        <v>151723.65322666671</v>
      </c>
      <c r="D175" s="26">
        <f>Données!Z175</f>
        <v>2041</v>
      </c>
      <c r="E175" s="86">
        <f t="shared" si="16"/>
        <v>74.337899670096377</v>
      </c>
      <c r="F175" s="140">
        <f t="shared" si="17"/>
        <v>1.4877865356989703</v>
      </c>
      <c r="G175" s="352">
        <f t="shared" si="18"/>
        <v>24.372465861964741</v>
      </c>
      <c r="H175" s="352">
        <f t="shared" si="19"/>
        <v>14.379379100338419</v>
      </c>
      <c r="I175" s="352">
        <f t="shared" si="20"/>
        <v>0</v>
      </c>
      <c r="J175" s="352">
        <f t="shared" si="21"/>
        <v>0</v>
      </c>
      <c r="K175" s="352">
        <f t="shared" si="22"/>
        <v>0</v>
      </c>
      <c r="L175" s="354">
        <f t="shared" si="23"/>
        <v>6.31243108242679</v>
      </c>
      <c r="M175" s="227">
        <f>L175*D175*VPI!Q175</f>
        <v>805229.48995206738</v>
      </c>
    </row>
    <row r="176" spans="1:13" x14ac:dyDescent="0.25">
      <c r="A176" s="127">
        <f>Données!A176</f>
        <v>5705</v>
      </c>
      <c r="B176" s="26" t="str">
        <f>Données!B176</f>
        <v>Bogis-Bossey</v>
      </c>
      <c r="C176" s="266">
        <f>VPI!R176</f>
        <v>60210.898873239443</v>
      </c>
      <c r="D176" s="26">
        <f>Données!Z176</f>
        <v>990</v>
      </c>
      <c r="E176" s="86">
        <f t="shared" si="16"/>
        <v>60.819089770948935</v>
      </c>
      <c r="F176" s="140">
        <f t="shared" si="17"/>
        <v>1.2172232908953733</v>
      </c>
      <c r="G176" s="352">
        <f t="shared" si="18"/>
        <v>10.853655962817299</v>
      </c>
      <c r="H176" s="352">
        <f t="shared" si="19"/>
        <v>0.86056920119097668</v>
      </c>
      <c r="I176" s="352">
        <f t="shared" si="20"/>
        <v>0</v>
      </c>
      <c r="J176" s="352">
        <f t="shared" si="21"/>
        <v>0</v>
      </c>
      <c r="K176" s="352">
        <f t="shared" si="22"/>
        <v>0</v>
      </c>
      <c r="L176" s="354">
        <f t="shared" si="23"/>
        <v>2.2567881126825577</v>
      </c>
      <c r="M176" s="227">
        <f>L176*D176*VPI!Q176</f>
        <v>158629.63644045696</v>
      </c>
    </row>
    <row r="177" spans="1:13" x14ac:dyDescent="0.25">
      <c r="A177" s="127">
        <f>Données!A177</f>
        <v>5706</v>
      </c>
      <c r="B177" s="26" t="str">
        <f>Données!B177</f>
        <v>Borex</v>
      </c>
      <c r="C177" s="266">
        <f>VPI!R177</f>
        <v>69165.019824561401</v>
      </c>
      <c r="D177" s="26">
        <f>Données!Z177</f>
        <v>1144</v>
      </c>
      <c r="E177" s="86">
        <f t="shared" si="16"/>
        <v>60.458933413078149</v>
      </c>
      <c r="F177" s="140">
        <f t="shared" si="17"/>
        <v>1.2100151805994876</v>
      </c>
      <c r="G177" s="352">
        <f t="shared" si="18"/>
        <v>10.493499604946514</v>
      </c>
      <c r="H177" s="352">
        <f t="shared" si="19"/>
        <v>0.50041284332019131</v>
      </c>
      <c r="I177" s="352">
        <f t="shared" si="20"/>
        <v>0</v>
      </c>
      <c r="J177" s="352">
        <f t="shared" si="21"/>
        <v>0</v>
      </c>
      <c r="K177" s="352">
        <f t="shared" si="22"/>
        <v>0</v>
      </c>
      <c r="L177" s="354">
        <f t="shared" si="23"/>
        <v>2.148741205321322</v>
      </c>
      <c r="M177" s="227">
        <f>L177*D177*VPI!Q177</f>
        <v>140115.11651659277</v>
      </c>
    </row>
    <row r="178" spans="1:13" x14ac:dyDescent="0.25">
      <c r="A178" s="127">
        <f>Données!A178</f>
        <v>5707</v>
      </c>
      <c r="B178" s="26" t="str">
        <f>Données!B178</f>
        <v>Chavannes-de-Bogis</v>
      </c>
      <c r="C178" s="266">
        <f>VPI!R178</f>
        <v>100327.22695402298</v>
      </c>
      <c r="D178" s="26">
        <f>Données!Z178</f>
        <v>1388</v>
      </c>
      <c r="E178" s="86">
        <f t="shared" si="16"/>
        <v>72.28186379972837</v>
      </c>
      <c r="F178" s="140">
        <f t="shared" si="17"/>
        <v>1.4466373708930922</v>
      </c>
      <c r="G178" s="352">
        <f t="shared" si="18"/>
        <v>22.316429991596735</v>
      </c>
      <c r="H178" s="352">
        <f t="shared" si="19"/>
        <v>12.323343229970412</v>
      </c>
      <c r="I178" s="352">
        <f t="shared" si="20"/>
        <v>0</v>
      </c>
      <c r="J178" s="352">
        <f t="shared" si="21"/>
        <v>0</v>
      </c>
      <c r="K178" s="352">
        <f t="shared" si="22"/>
        <v>0</v>
      </c>
      <c r="L178" s="354">
        <f t="shared" si="23"/>
        <v>5.6956203213163876</v>
      </c>
      <c r="M178" s="227">
        <f>L178*D178*VPI!Q178</f>
        <v>458520.21834725444</v>
      </c>
    </row>
    <row r="179" spans="1:13" x14ac:dyDescent="0.25">
      <c r="A179" s="127">
        <f>Données!A179</f>
        <v>5708</v>
      </c>
      <c r="B179" s="26" t="str">
        <f>Données!B179</f>
        <v>Chavannes-des-Bois</v>
      </c>
      <c r="C179" s="266">
        <f>VPI!R179</f>
        <v>70377.065294117638</v>
      </c>
      <c r="D179" s="26">
        <f>Données!Z179</f>
        <v>982</v>
      </c>
      <c r="E179" s="86">
        <f t="shared" si="16"/>
        <v>71.667072600934461</v>
      </c>
      <c r="F179" s="140">
        <f t="shared" si="17"/>
        <v>1.4343330406404073</v>
      </c>
      <c r="G179" s="352">
        <f t="shared" si="18"/>
        <v>21.701638792802825</v>
      </c>
      <c r="H179" s="352">
        <f t="shared" si="19"/>
        <v>11.708552031176502</v>
      </c>
      <c r="I179" s="352">
        <f t="shared" si="20"/>
        <v>0</v>
      </c>
      <c r="J179" s="352">
        <f t="shared" si="21"/>
        <v>0</v>
      </c>
      <c r="K179" s="352">
        <f t="shared" si="22"/>
        <v>0</v>
      </c>
      <c r="L179" s="354">
        <f t="shared" si="23"/>
        <v>5.5111829616782151</v>
      </c>
      <c r="M179" s="227">
        <f>L179*D179*VPI!Q179</f>
        <v>368014.75344902452</v>
      </c>
    </row>
    <row r="180" spans="1:13" x14ac:dyDescent="0.25">
      <c r="A180" s="127">
        <f>Données!A180</f>
        <v>5709</v>
      </c>
      <c r="B180" s="26" t="str">
        <f>Données!B180</f>
        <v>Chéserex</v>
      </c>
      <c r="C180" s="266">
        <f>VPI!R180</f>
        <v>110900.39440677965</v>
      </c>
      <c r="D180" s="26">
        <f>Données!Z180</f>
        <v>1277</v>
      </c>
      <c r="E180" s="86">
        <f t="shared" si="16"/>
        <v>86.844474868269117</v>
      </c>
      <c r="F180" s="140">
        <f t="shared" si="17"/>
        <v>1.7380910811613046</v>
      </c>
      <c r="G180" s="352">
        <f t="shared" si="18"/>
        <v>36.879041060137482</v>
      </c>
      <c r="H180" s="352">
        <f t="shared" si="19"/>
        <v>26.885954298511159</v>
      </c>
      <c r="I180" s="352">
        <f t="shared" si="20"/>
        <v>11.896324156071671</v>
      </c>
      <c r="J180" s="352">
        <f t="shared" si="21"/>
        <v>0</v>
      </c>
      <c r="K180" s="352">
        <f t="shared" si="22"/>
        <v>0</v>
      </c>
      <c r="L180" s="354">
        <f t="shared" si="23"/>
        <v>11.254036057485779</v>
      </c>
      <c r="M180" s="227">
        <f>L180*D180*VPI!Q180</f>
        <v>847912.83867915103</v>
      </c>
    </row>
    <row r="181" spans="1:13" x14ac:dyDescent="0.25">
      <c r="A181" s="127">
        <f>Données!A181</f>
        <v>5710</v>
      </c>
      <c r="B181" s="26" t="str">
        <f>Données!B181</f>
        <v>Coinsins</v>
      </c>
      <c r="C181" s="266">
        <f>VPI!R181</f>
        <v>25704.31551020408</v>
      </c>
      <c r="D181" s="26">
        <f>Données!Z181</f>
        <v>517</v>
      </c>
      <c r="E181" s="86">
        <f t="shared" si="16"/>
        <v>49.718211818576556</v>
      </c>
      <c r="F181" s="140">
        <f t="shared" si="17"/>
        <v>0.99505213963508421</v>
      </c>
      <c r="G181" s="352">
        <f t="shared" si="18"/>
        <v>0</v>
      </c>
      <c r="H181" s="352">
        <f t="shared" si="19"/>
        <v>0</v>
      </c>
      <c r="I181" s="352">
        <f t="shared" si="20"/>
        <v>0</v>
      </c>
      <c r="J181" s="352">
        <f t="shared" si="21"/>
        <v>0</v>
      </c>
      <c r="K181" s="352">
        <f t="shared" si="22"/>
        <v>0</v>
      </c>
      <c r="L181" s="354">
        <f t="shared" si="23"/>
        <v>0</v>
      </c>
      <c r="M181" s="227">
        <f>L181*D181*VPI!Q181</f>
        <v>0</v>
      </c>
    </row>
    <row r="182" spans="1:13" x14ac:dyDescent="0.25">
      <c r="A182" s="127">
        <f>Données!A182</f>
        <v>5711</v>
      </c>
      <c r="B182" s="26" t="str">
        <f>Données!B182</f>
        <v>Commugny</v>
      </c>
      <c r="C182" s="266">
        <f>VPI!R182</f>
        <v>294735.07522267208</v>
      </c>
      <c r="D182" s="26">
        <f>Données!Z182</f>
        <v>2987</v>
      </c>
      <c r="E182" s="86">
        <f t="shared" si="16"/>
        <v>98.672606368487479</v>
      </c>
      <c r="F182" s="140">
        <f t="shared" si="17"/>
        <v>1.9748173656890973</v>
      </c>
      <c r="G182" s="352">
        <f t="shared" si="18"/>
        <v>48.707172560355843</v>
      </c>
      <c r="H182" s="352">
        <f t="shared" si="19"/>
        <v>38.714085798729521</v>
      </c>
      <c r="I182" s="352">
        <f t="shared" si="20"/>
        <v>23.724455656290033</v>
      </c>
      <c r="J182" s="352">
        <f t="shared" si="21"/>
        <v>0</v>
      </c>
      <c r="K182" s="352">
        <f t="shared" si="22"/>
        <v>0</v>
      </c>
      <c r="L182" s="354">
        <f t="shared" si="23"/>
        <v>15.985288657573125</v>
      </c>
      <c r="M182" s="227">
        <f>L182*D182*VPI!Q182</f>
        <v>2721639.2615497429</v>
      </c>
    </row>
    <row r="183" spans="1:13" x14ac:dyDescent="0.25">
      <c r="A183" s="127">
        <f>Données!A183</f>
        <v>5712</v>
      </c>
      <c r="B183" s="26" t="str">
        <f>Données!B183</f>
        <v>Coppet</v>
      </c>
      <c r="C183" s="266">
        <f>VPI!R183</f>
        <v>457797.09461988311</v>
      </c>
      <c r="D183" s="26">
        <f>Données!Z183</f>
        <v>3216</v>
      </c>
      <c r="E183" s="86">
        <f t="shared" si="16"/>
        <v>142.34984285444128</v>
      </c>
      <c r="F183" s="140">
        <f t="shared" si="17"/>
        <v>2.8489664154837082</v>
      </c>
      <c r="G183" s="352">
        <f t="shared" si="18"/>
        <v>92.384409046309642</v>
      </c>
      <c r="H183" s="352">
        <f t="shared" si="19"/>
        <v>82.391322284683326</v>
      </c>
      <c r="I183" s="352">
        <f t="shared" si="20"/>
        <v>67.401692142243832</v>
      </c>
      <c r="J183" s="352">
        <f t="shared" si="21"/>
        <v>42.418975238178007</v>
      </c>
      <c r="K183" s="352">
        <f t="shared" si="22"/>
        <v>0</v>
      </c>
      <c r="L183" s="354">
        <f t="shared" si="23"/>
        <v>37.698080775772446</v>
      </c>
      <c r="M183" s="227">
        <f>L183*D183*VPI!Q183</f>
        <v>6910510.5831683986</v>
      </c>
    </row>
    <row r="184" spans="1:13" x14ac:dyDescent="0.25">
      <c r="A184" s="127">
        <f>Données!A184</f>
        <v>5713</v>
      </c>
      <c r="B184" s="26" t="str">
        <f>Données!B184</f>
        <v>Crans</v>
      </c>
      <c r="C184" s="266">
        <f>VPI!R184</f>
        <v>285226.41440677963</v>
      </c>
      <c r="D184" s="26">
        <f>Données!Z184</f>
        <v>2455</v>
      </c>
      <c r="E184" s="86">
        <f t="shared" si="16"/>
        <v>116.18183886223203</v>
      </c>
      <c r="F184" s="140">
        <f t="shared" si="17"/>
        <v>2.3252442740389854</v>
      </c>
      <c r="G184" s="352">
        <f t="shared" si="18"/>
        <v>66.216405054100392</v>
      </c>
      <c r="H184" s="352">
        <f t="shared" si="19"/>
        <v>56.223318292474069</v>
      </c>
      <c r="I184" s="352">
        <f t="shared" si="20"/>
        <v>41.233688150034581</v>
      </c>
      <c r="J184" s="352">
        <f t="shared" si="21"/>
        <v>16.250971245968756</v>
      </c>
      <c r="K184" s="352">
        <f t="shared" si="22"/>
        <v>0</v>
      </c>
      <c r="L184" s="354">
        <f t="shared" si="23"/>
        <v>24.614078779667818</v>
      </c>
      <c r="M184" s="227">
        <f>L184*D184*VPI!Q184</f>
        <v>3565226.240840985</v>
      </c>
    </row>
    <row r="185" spans="1:13" x14ac:dyDescent="0.25">
      <c r="A185" s="127">
        <f>Données!A185</f>
        <v>5714</v>
      </c>
      <c r="B185" s="26" t="str">
        <f>Données!B185</f>
        <v>Crassier</v>
      </c>
      <c r="C185" s="266">
        <f>VPI!R185</f>
        <v>67017.221203007502</v>
      </c>
      <c r="D185" s="26">
        <f>Données!Z185</f>
        <v>1274</v>
      </c>
      <c r="E185" s="86">
        <f t="shared" si="16"/>
        <v>52.603784303773551</v>
      </c>
      <c r="F185" s="140">
        <f t="shared" si="17"/>
        <v>1.0528035142409298</v>
      </c>
      <c r="G185" s="352">
        <f t="shared" si="18"/>
        <v>2.6383504956419159</v>
      </c>
      <c r="H185" s="352">
        <f t="shared" si="19"/>
        <v>0</v>
      </c>
      <c r="I185" s="352">
        <f t="shared" si="20"/>
        <v>0</v>
      </c>
      <c r="J185" s="352">
        <f t="shared" si="21"/>
        <v>0</v>
      </c>
      <c r="K185" s="352">
        <f t="shared" si="22"/>
        <v>0</v>
      </c>
      <c r="L185" s="354">
        <f t="shared" si="23"/>
        <v>0.52767009912838325</v>
      </c>
      <c r="M185" s="227">
        <f>L185*D185*VPI!Q185</f>
        <v>44704.73846825576</v>
      </c>
    </row>
    <row r="186" spans="1:13" x14ac:dyDescent="0.25">
      <c r="A186" s="127">
        <f>Données!A186</f>
        <v>5715</v>
      </c>
      <c r="B186" s="26" t="str">
        <f>Données!B186</f>
        <v>Duillier</v>
      </c>
      <c r="C186" s="266">
        <f>VPI!R186</f>
        <v>58499.436969696966</v>
      </c>
      <c r="D186" s="26">
        <f>Données!Z186</f>
        <v>1143</v>
      </c>
      <c r="E186" s="86">
        <f t="shared" si="16"/>
        <v>51.18060977226331</v>
      </c>
      <c r="F186" s="140">
        <f t="shared" si="17"/>
        <v>1.0243203325082291</v>
      </c>
      <c r="G186" s="352">
        <f t="shared" si="18"/>
        <v>1.2151759641316744</v>
      </c>
      <c r="H186" s="352">
        <f t="shared" si="19"/>
        <v>0</v>
      </c>
      <c r="I186" s="352">
        <f t="shared" si="20"/>
        <v>0</v>
      </c>
      <c r="J186" s="352">
        <f t="shared" si="21"/>
        <v>0</v>
      </c>
      <c r="K186" s="352">
        <f t="shared" si="22"/>
        <v>0</v>
      </c>
      <c r="L186" s="354">
        <f t="shared" si="23"/>
        <v>0.2430351928263349</v>
      </c>
      <c r="M186" s="227">
        <f>L186*D186*VPI!Q186</f>
        <v>18334.088876433052</v>
      </c>
    </row>
    <row r="187" spans="1:13" x14ac:dyDescent="0.25">
      <c r="A187" s="127">
        <f>Données!A187</f>
        <v>5716</v>
      </c>
      <c r="B187" s="26" t="str">
        <f>Données!B187</f>
        <v>Eysins</v>
      </c>
      <c r="C187" s="266">
        <f>VPI!R187</f>
        <v>387894.76554621849</v>
      </c>
      <c r="D187" s="26">
        <f>Données!Z187</f>
        <v>1772</v>
      </c>
      <c r="E187" s="86">
        <f t="shared" si="16"/>
        <v>218.90223789289982</v>
      </c>
      <c r="F187" s="140">
        <f t="shared" si="17"/>
        <v>4.3810734984006992</v>
      </c>
      <c r="G187" s="352">
        <f t="shared" si="18"/>
        <v>168.9368040847682</v>
      </c>
      <c r="H187" s="352">
        <f t="shared" si="19"/>
        <v>158.94371732314187</v>
      </c>
      <c r="I187" s="352">
        <f t="shared" si="20"/>
        <v>143.95408718070237</v>
      </c>
      <c r="J187" s="352">
        <f t="shared" si="21"/>
        <v>118.97137027663655</v>
      </c>
      <c r="K187" s="352">
        <f t="shared" si="22"/>
        <v>69.005936468504927</v>
      </c>
      <c r="L187" s="354">
        <f t="shared" si="23"/>
        <v>82.874871941852206</v>
      </c>
      <c r="M187" s="227">
        <f>L187*D187*VPI!Q187</f>
        <v>8737829.2483172454</v>
      </c>
    </row>
    <row r="188" spans="1:13" x14ac:dyDescent="0.25">
      <c r="A188" s="127">
        <f>Données!A188</f>
        <v>5717</v>
      </c>
      <c r="B188" s="26" t="str">
        <f>Données!B188</f>
        <v>Founex</v>
      </c>
      <c r="C188" s="266">
        <f>VPI!R188</f>
        <v>389506.02859649126</v>
      </c>
      <c r="D188" s="26">
        <f>Données!Z188</f>
        <v>3748</v>
      </c>
      <c r="E188" s="86">
        <f t="shared" si="16"/>
        <v>103.9237002658728</v>
      </c>
      <c r="F188" s="140">
        <f t="shared" si="17"/>
        <v>2.0799118979921616</v>
      </c>
      <c r="G188" s="352">
        <f t="shared" si="18"/>
        <v>53.958266457741161</v>
      </c>
      <c r="H188" s="352">
        <f t="shared" si="19"/>
        <v>43.965179696114838</v>
      </c>
      <c r="I188" s="352">
        <f t="shared" si="20"/>
        <v>28.97554955367535</v>
      </c>
      <c r="J188" s="352">
        <f t="shared" si="21"/>
        <v>3.9928326496095252</v>
      </c>
      <c r="K188" s="352">
        <f t="shared" si="22"/>
        <v>0</v>
      </c>
      <c r="L188" s="354">
        <f t="shared" si="23"/>
        <v>18.485009481488202</v>
      </c>
      <c r="M188" s="227">
        <f>L188*D188*VPI!Q188</f>
        <v>3949063.4855872137</v>
      </c>
    </row>
    <row r="189" spans="1:13" x14ac:dyDescent="0.25">
      <c r="A189" s="127">
        <f>Données!A189</f>
        <v>5718</v>
      </c>
      <c r="B189" s="26" t="str">
        <f>Données!B189</f>
        <v>Genolier</v>
      </c>
      <c r="C189" s="266">
        <f>VPI!R189</f>
        <v>239613.31826923083</v>
      </c>
      <c r="D189" s="26">
        <f>Données!Z189</f>
        <v>2012</v>
      </c>
      <c r="E189" s="86">
        <f t="shared" si="16"/>
        <v>119.09210649564157</v>
      </c>
      <c r="F189" s="140">
        <f t="shared" si="17"/>
        <v>2.3834898932921882</v>
      </c>
      <c r="G189" s="352">
        <f t="shared" si="18"/>
        <v>69.126672687509938</v>
      </c>
      <c r="H189" s="352">
        <f t="shared" si="19"/>
        <v>59.133585925883615</v>
      </c>
      <c r="I189" s="352">
        <f t="shared" si="20"/>
        <v>44.143955783444127</v>
      </c>
      <c r="J189" s="352">
        <f t="shared" si="21"/>
        <v>19.161238879378303</v>
      </c>
      <c r="K189" s="352">
        <f t="shared" si="22"/>
        <v>0</v>
      </c>
      <c r="L189" s="354">
        <f t="shared" si="23"/>
        <v>26.069212596372591</v>
      </c>
      <c r="M189" s="227">
        <f>L189*D189*VPI!Q189</f>
        <v>2727465.2986828862</v>
      </c>
    </row>
    <row r="190" spans="1:13" x14ac:dyDescent="0.25">
      <c r="A190" s="127">
        <f>Données!A190</f>
        <v>5719</v>
      </c>
      <c r="B190" s="26" t="str">
        <f>Données!B190</f>
        <v>Gingins</v>
      </c>
      <c r="C190" s="266">
        <f>VPI!R190</f>
        <v>173273.6891111111</v>
      </c>
      <c r="D190" s="26">
        <f>Données!Z190</f>
        <v>1253</v>
      </c>
      <c r="E190" s="86">
        <f t="shared" si="16"/>
        <v>138.28706233927463</v>
      </c>
      <c r="F190" s="140">
        <f t="shared" si="17"/>
        <v>2.7676545923788032</v>
      </c>
      <c r="G190" s="352">
        <f t="shared" si="18"/>
        <v>88.321628531142991</v>
      </c>
      <c r="H190" s="352">
        <f t="shared" si="19"/>
        <v>78.328541769516676</v>
      </c>
      <c r="I190" s="352">
        <f t="shared" si="20"/>
        <v>63.338911627077181</v>
      </c>
      <c r="J190" s="352">
        <f t="shared" si="21"/>
        <v>38.356194723011356</v>
      </c>
      <c r="K190" s="352">
        <f t="shared" si="22"/>
        <v>0</v>
      </c>
      <c r="L190" s="354">
        <f t="shared" si="23"/>
        <v>35.666690518189121</v>
      </c>
      <c r="M190" s="227">
        <f>L190*D190*VPI!Q190</f>
        <v>2681421.7931574583</v>
      </c>
    </row>
    <row r="191" spans="1:13" x14ac:dyDescent="0.25">
      <c r="A191" s="127">
        <f>Données!A191</f>
        <v>5720</v>
      </c>
      <c r="B191" s="26" t="str">
        <f>Données!B191</f>
        <v>Givrins</v>
      </c>
      <c r="C191" s="266">
        <f>VPI!R191</f>
        <v>77350.1792703151</v>
      </c>
      <c r="D191" s="26">
        <f>Données!Z191</f>
        <v>1071</v>
      </c>
      <c r="E191" s="86">
        <f t="shared" si="16"/>
        <v>72.222389608137348</v>
      </c>
      <c r="F191" s="140">
        <f t="shared" si="17"/>
        <v>1.4454470641738628</v>
      </c>
      <c r="G191" s="352">
        <f t="shared" si="18"/>
        <v>22.256955800005713</v>
      </c>
      <c r="H191" s="352">
        <f t="shared" si="19"/>
        <v>12.26386903837939</v>
      </c>
      <c r="I191" s="352">
        <f t="shared" si="20"/>
        <v>0</v>
      </c>
      <c r="J191" s="352">
        <f t="shared" si="21"/>
        <v>0</v>
      </c>
      <c r="K191" s="352">
        <f t="shared" si="22"/>
        <v>0</v>
      </c>
      <c r="L191" s="354">
        <f t="shared" si="23"/>
        <v>5.6777780638390816</v>
      </c>
      <c r="M191" s="227">
        <f>L191*D191*VPI!Q191</f>
        <v>407420.32052690099</v>
      </c>
    </row>
    <row r="192" spans="1:13" x14ac:dyDescent="0.25">
      <c r="A192" s="127">
        <f>Données!A192</f>
        <v>5721</v>
      </c>
      <c r="B192" s="26" t="str">
        <f>Données!B192</f>
        <v>Gland</v>
      </c>
      <c r="C192" s="266">
        <f>VPI!R192</f>
        <v>727883.96163934411</v>
      </c>
      <c r="D192" s="26">
        <f>Données!Z192</f>
        <v>13968</v>
      </c>
      <c r="E192" s="86">
        <f t="shared" si="16"/>
        <v>52.11082199594388</v>
      </c>
      <c r="F192" s="140">
        <f t="shared" si="17"/>
        <v>1.042937447437174</v>
      </c>
      <c r="G192" s="352">
        <f t="shared" si="18"/>
        <v>2.1453881878122445</v>
      </c>
      <c r="H192" s="352">
        <f t="shared" si="19"/>
        <v>0</v>
      </c>
      <c r="I192" s="352">
        <f t="shared" si="20"/>
        <v>0</v>
      </c>
      <c r="J192" s="352">
        <f t="shared" si="21"/>
        <v>0</v>
      </c>
      <c r="K192" s="352">
        <f t="shared" si="22"/>
        <v>0</v>
      </c>
      <c r="L192" s="354">
        <f t="shared" si="23"/>
        <v>0.42907763756244893</v>
      </c>
      <c r="M192" s="227">
        <f>L192*D192*VPI!Q192</f>
        <v>365594.74292980949</v>
      </c>
    </row>
    <row r="193" spans="1:13" x14ac:dyDescent="0.25">
      <c r="A193" s="127">
        <f>Données!A193</f>
        <v>5722</v>
      </c>
      <c r="B193" s="26" t="str">
        <f>Données!B193</f>
        <v>Grens</v>
      </c>
      <c r="C193" s="266">
        <f>VPI!R193</f>
        <v>33694.831129032267</v>
      </c>
      <c r="D193" s="26">
        <f>Données!Z193</f>
        <v>394</v>
      </c>
      <c r="E193" s="86">
        <f t="shared" si="16"/>
        <v>85.519875962010829</v>
      </c>
      <c r="F193" s="140">
        <f t="shared" si="17"/>
        <v>1.7115807758301276</v>
      </c>
      <c r="G193" s="352">
        <f t="shared" si="18"/>
        <v>35.554442153879194</v>
      </c>
      <c r="H193" s="352">
        <f t="shared" si="19"/>
        <v>25.561355392252871</v>
      </c>
      <c r="I193" s="352">
        <f t="shared" si="20"/>
        <v>10.571725249813383</v>
      </c>
      <c r="J193" s="352">
        <f t="shared" si="21"/>
        <v>0</v>
      </c>
      <c r="K193" s="352">
        <f t="shared" si="22"/>
        <v>0</v>
      </c>
      <c r="L193" s="354">
        <f t="shared" si="23"/>
        <v>10.724196494982465</v>
      </c>
      <c r="M193" s="227">
        <f>L193*D193*VPI!Q193</f>
        <v>261970.67197943162</v>
      </c>
    </row>
    <row r="194" spans="1:13" x14ac:dyDescent="0.25">
      <c r="A194" s="127">
        <f>Données!A194</f>
        <v>5723</v>
      </c>
      <c r="B194" s="26" t="str">
        <f>Données!B194</f>
        <v>Mies</v>
      </c>
      <c r="C194" s="266">
        <f>VPI!R194</f>
        <v>272663.2930188679</v>
      </c>
      <c r="D194" s="26">
        <f>Données!Z194</f>
        <v>2163</v>
      </c>
      <c r="E194" s="86">
        <f t="shared" si="16"/>
        <v>126.05792557506606</v>
      </c>
      <c r="F194" s="140">
        <f t="shared" si="17"/>
        <v>2.5229026542455584</v>
      </c>
      <c r="G194" s="352">
        <f t="shared" si="18"/>
        <v>76.09249176693443</v>
      </c>
      <c r="H194" s="352">
        <f t="shared" si="19"/>
        <v>66.099405005308114</v>
      </c>
      <c r="I194" s="352">
        <f t="shared" si="20"/>
        <v>51.109774862868619</v>
      </c>
      <c r="J194" s="352">
        <f t="shared" si="21"/>
        <v>26.127057958802794</v>
      </c>
      <c r="K194" s="352">
        <f t="shared" si="22"/>
        <v>0</v>
      </c>
      <c r="L194" s="354">
        <f t="shared" si="23"/>
        <v>29.55212213608484</v>
      </c>
      <c r="M194" s="227">
        <f>L194*D194*VPI!Q194</f>
        <v>3387825.7295586299</v>
      </c>
    </row>
    <row r="195" spans="1:13" x14ac:dyDescent="0.25">
      <c r="A195" s="127">
        <f>Données!A195</f>
        <v>5724</v>
      </c>
      <c r="B195" s="26" t="str">
        <f>Données!B195</f>
        <v>Nyon</v>
      </c>
      <c r="C195" s="266">
        <f>VPI!R195</f>
        <v>1639938.8194535521</v>
      </c>
      <c r="D195" s="26">
        <f>Données!Z195</f>
        <v>23328</v>
      </c>
      <c r="E195" s="86">
        <f t="shared" si="16"/>
        <v>70.299160641870373</v>
      </c>
      <c r="F195" s="140">
        <f t="shared" si="17"/>
        <v>1.4069558749718996</v>
      </c>
      <c r="G195" s="352">
        <f t="shared" si="18"/>
        <v>20.333726833738737</v>
      </c>
      <c r="H195" s="352">
        <f t="shared" si="19"/>
        <v>10.340640072112414</v>
      </c>
      <c r="I195" s="352">
        <f t="shared" si="20"/>
        <v>0</v>
      </c>
      <c r="J195" s="352">
        <f t="shared" si="21"/>
        <v>0</v>
      </c>
      <c r="K195" s="352">
        <f t="shared" si="22"/>
        <v>0</v>
      </c>
      <c r="L195" s="354">
        <f t="shared" si="23"/>
        <v>5.100809373958989</v>
      </c>
      <c r="M195" s="227">
        <f>L195*D195*VPI!Q195</f>
        <v>7258492.5456186337</v>
      </c>
    </row>
    <row r="196" spans="1:13" x14ac:dyDescent="0.25">
      <c r="A196" s="127">
        <f>Données!A196</f>
        <v>5725</v>
      </c>
      <c r="B196" s="26" t="str">
        <f>Données!B196</f>
        <v>Prangins</v>
      </c>
      <c r="C196" s="266">
        <f>VPI!R196</f>
        <v>367942.11179220775</v>
      </c>
      <c r="D196" s="26">
        <f>Données!Z196</f>
        <v>4280</v>
      </c>
      <c r="E196" s="86">
        <f t="shared" si="16"/>
        <v>85.967783129020503</v>
      </c>
      <c r="F196" s="140">
        <f t="shared" si="17"/>
        <v>1.7205451164326659</v>
      </c>
      <c r="G196" s="352">
        <f t="shared" si="18"/>
        <v>36.002349320888868</v>
      </c>
      <c r="H196" s="352">
        <f t="shared" si="19"/>
        <v>26.009262559262545</v>
      </c>
      <c r="I196" s="352">
        <f t="shared" si="20"/>
        <v>11.019632416823057</v>
      </c>
      <c r="J196" s="352">
        <f t="shared" si="21"/>
        <v>0</v>
      </c>
      <c r="K196" s="352">
        <f t="shared" si="22"/>
        <v>0</v>
      </c>
      <c r="L196" s="354">
        <f t="shared" si="23"/>
        <v>10.903359361786332</v>
      </c>
      <c r="M196" s="227">
        <f>L196*D196*VPI!Q196</f>
        <v>2566650.7937645027</v>
      </c>
    </row>
    <row r="197" spans="1:13" x14ac:dyDescent="0.25">
      <c r="A197" s="127">
        <f>Données!A197</f>
        <v>5726</v>
      </c>
      <c r="B197" s="26" t="str">
        <f>Données!B197</f>
        <v>La Rippe</v>
      </c>
      <c r="C197" s="266">
        <f>VPI!R197</f>
        <v>73377.861102362207</v>
      </c>
      <c r="D197" s="26">
        <f>Données!Z197</f>
        <v>1194</v>
      </c>
      <c r="E197" s="86">
        <f t="shared" si="16"/>
        <v>61.455495060604861</v>
      </c>
      <c r="F197" s="140">
        <f t="shared" si="17"/>
        <v>1.2299602020187659</v>
      </c>
      <c r="G197" s="352">
        <f t="shared" si="18"/>
        <v>11.490061252473225</v>
      </c>
      <c r="H197" s="352">
        <f t="shared" si="19"/>
        <v>1.4969744908469025</v>
      </c>
      <c r="I197" s="352">
        <f t="shared" si="20"/>
        <v>0</v>
      </c>
      <c r="J197" s="352">
        <f t="shared" si="21"/>
        <v>0</v>
      </c>
      <c r="K197" s="352">
        <f t="shared" si="22"/>
        <v>0</v>
      </c>
      <c r="L197" s="354">
        <f t="shared" si="23"/>
        <v>2.4477096995793355</v>
      </c>
      <c r="M197" s="227">
        <f>L197*D197*VPI!Q197</f>
        <v>185582.90171240564</v>
      </c>
    </row>
    <row r="198" spans="1:13" x14ac:dyDescent="0.25">
      <c r="A198" s="127">
        <f>Données!A198</f>
        <v>5727</v>
      </c>
      <c r="B198" s="26" t="str">
        <f>Données!B198</f>
        <v>Saint-Cergue</v>
      </c>
      <c r="C198" s="266">
        <f>VPI!R198</f>
        <v>111772.64025252526</v>
      </c>
      <c r="D198" s="26">
        <f>Données!Z198</f>
        <v>3012</v>
      </c>
      <c r="E198" s="86">
        <f t="shared" si="16"/>
        <v>37.109110309603338</v>
      </c>
      <c r="F198" s="140">
        <f t="shared" si="17"/>
        <v>0.74269564939840482</v>
      </c>
      <c r="G198" s="352">
        <f t="shared" si="18"/>
        <v>0</v>
      </c>
      <c r="H198" s="352">
        <f t="shared" si="19"/>
        <v>0</v>
      </c>
      <c r="I198" s="352">
        <f t="shared" si="20"/>
        <v>0</v>
      </c>
      <c r="J198" s="352">
        <f t="shared" si="21"/>
        <v>0</v>
      </c>
      <c r="K198" s="352">
        <f t="shared" si="22"/>
        <v>0</v>
      </c>
      <c r="L198" s="354">
        <f t="shared" si="23"/>
        <v>0</v>
      </c>
      <c r="M198" s="227">
        <f>L198*D198*VPI!Q198</f>
        <v>0</v>
      </c>
    </row>
    <row r="199" spans="1:13" x14ac:dyDescent="0.25">
      <c r="A199" s="127">
        <f>Données!A199</f>
        <v>5728</v>
      </c>
      <c r="B199" s="26" t="str">
        <f>Données!B199</f>
        <v>Signy-Avenex</v>
      </c>
      <c r="C199" s="266">
        <f>VPI!R199</f>
        <v>44453.550862068965</v>
      </c>
      <c r="D199" s="26">
        <f>Données!Z199</f>
        <v>605</v>
      </c>
      <c r="E199" s="86">
        <f t="shared" ref="E199:E262" si="24">C199/D199</f>
        <v>73.476943573667711</v>
      </c>
      <c r="F199" s="140">
        <f t="shared" ref="F199:F262" si="25">E199/$E$306</f>
        <v>1.4705555015457443</v>
      </c>
      <c r="G199" s="352">
        <f t="shared" ref="G199:G262" si="26">IF(E199-$G$3&lt;0,0,E199-$G$3)</f>
        <v>23.511509765536076</v>
      </c>
      <c r="H199" s="352">
        <f t="shared" ref="H199:H262" si="27">IF(E199-$H$3&lt;0,0,E199-$H$3)</f>
        <v>13.518423003909753</v>
      </c>
      <c r="I199" s="352">
        <f t="shared" ref="I199:I262" si="28">IF(E199-$I$3&lt;0,0,E199-$I$3)</f>
        <v>0</v>
      </c>
      <c r="J199" s="352">
        <f t="shared" ref="J199:J262" si="29">IF(E199-$J$3&lt;0,0,E199-$J$3)</f>
        <v>0</v>
      </c>
      <c r="K199" s="352">
        <f t="shared" ref="K199:K262" si="30">IF(E199-$K$3&lt;0,0,E199-$K$3)</f>
        <v>0</v>
      </c>
      <c r="L199" s="354">
        <f t="shared" ref="L199:L262" si="31">(G199-H199)*$G$4+(H199-I199)*$H$4+(I199-J199)*$I$4+(J199-K199)*$J$4+(K199*$K$4)</f>
        <v>6.0541442534981904</v>
      </c>
      <c r="M199" s="227">
        <f>L199*D199*VPI!Q199</f>
        <v>212439.92185525151</v>
      </c>
    </row>
    <row r="200" spans="1:13" x14ac:dyDescent="0.25">
      <c r="A200" s="127">
        <f>Données!A200</f>
        <v>5729</v>
      </c>
      <c r="B200" s="26" t="str">
        <f>Données!B200</f>
        <v>Tannay</v>
      </c>
      <c r="C200" s="266">
        <f>VPI!R200</f>
        <v>189691.13223140492</v>
      </c>
      <c r="D200" s="26">
        <f>Données!Z200</f>
        <v>1728</v>
      </c>
      <c r="E200" s="86">
        <f t="shared" si="24"/>
        <v>109.77496078206303</v>
      </c>
      <c r="F200" s="140">
        <f t="shared" si="25"/>
        <v>2.1970180666018293</v>
      </c>
      <c r="G200" s="352">
        <f t="shared" si="26"/>
        <v>59.809526973931398</v>
      </c>
      <c r="H200" s="352">
        <f t="shared" si="27"/>
        <v>49.816440212305075</v>
      </c>
      <c r="I200" s="352">
        <f t="shared" si="28"/>
        <v>34.826810069865587</v>
      </c>
      <c r="J200" s="352">
        <f t="shared" si="29"/>
        <v>9.8440931657997623</v>
      </c>
      <c r="K200" s="352">
        <f t="shared" si="30"/>
        <v>0</v>
      </c>
      <c r="L200" s="354">
        <f t="shared" si="31"/>
        <v>21.410639739583321</v>
      </c>
      <c r="M200" s="227">
        <f>L200*D200*VPI!Q200</f>
        <v>2238353.9209349984</v>
      </c>
    </row>
    <row r="201" spans="1:13" x14ac:dyDescent="0.25">
      <c r="A201" s="127">
        <f>Données!A201</f>
        <v>5730</v>
      </c>
      <c r="B201" s="26" t="str">
        <f>Données!B201</f>
        <v>Trélex</v>
      </c>
      <c r="C201" s="266">
        <f>VPI!R201</f>
        <v>170256.05113113116</v>
      </c>
      <c r="D201" s="26">
        <f>Données!Z201</f>
        <v>1428</v>
      </c>
      <c r="E201" s="86">
        <f t="shared" si="24"/>
        <v>119.22692656241678</v>
      </c>
      <c r="F201" s="140">
        <f t="shared" si="25"/>
        <v>2.38618816000379</v>
      </c>
      <c r="G201" s="352">
        <f t="shared" si="26"/>
        <v>69.261492754285143</v>
      </c>
      <c r="H201" s="352">
        <f t="shared" si="27"/>
        <v>59.26840599265882</v>
      </c>
      <c r="I201" s="352">
        <f t="shared" si="28"/>
        <v>44.278775850219333</v>
      </c>
      <c r="J201" s="352">
        <f t="shared" si="29"/>
        <v>19.296058946153508</v>
      </c>
      <c r="K201" s="352">
        <f t="shared" si="30"/>
        <v>0</v>
      </c>
      <c r="L201" s="354">
        <f t="shared" si="31"/>
        <v>26.136622629760193</v>
      </c>
      <c r="M201" s="227">
        <f>L201*D201*VPI!Q201</f>
        <v>2071431.8898990143</v>
      </c>
    </row>
    <row r="202" spans="1:13" x14ac:dyDescent="0.25">
      <c r="A202" s="127">
        <f>Données!A202</f>
        <v>5731</v>
      </c>
      <c r="B202" s="26" t="str">
        <f>Données!B202</f>
        <v>Le Vaud</v>
      </c>
      <c r="C202" s="266">
        <f>VPI!R202</f>
        <v>75089.173286384976</v>
      </c>
      <c r="D202" s="26">
        <f>Données!Z202</f>
        <v>1374</v>
      </c>
      <c r="E202" s="86">
        <f t="shared" si="24"/>
        <v>54.650053337980331</v>
      </c>
      <c r="F202" s="140">
        <f t="shared" si="25"/>
        <v>1.0937572071892288</v>
      </c>
      <c r="G202" s="352">
        <f t="shared" si="26"/>
        <v>4.6846195298486961</v>
      </c>
      <c r="H202" s="352">
        <f t="shared" si="27"/>
        <v>0</v>
      </c>
      <c r="I202" s="352">
        <f t="shared" si="28"/>
        <v>0</v>
      </c>
      <c r="J202" s="352">
        <f t="shared" si="29"/>
        <v>0</v>
      </c>
      <c r="K202" s="352">
        <f t="shared" si="30"/>
        <v>0</v>
      </c>
      <c r="L202" s="354">
        <f t="shared" si="31"/>
        <v>0.93692390596973929</v>
      </c>
      <c r="M202" s="227">
        <f>L202*D202*VPI!Q202</f>
        <v>91400.674722971948</v>
      </c>
    </row>
    <row r="203" spans="1:13" x14ac:dyDescent="0.25">
      <c r="A203" s="127">
        <f>Données!A203</f>
        <v>5732</v>
      </c>
      <c r="B203" s="26" t="str">
        <f>Données!B203</f>
        <v>Vich</v>
      </c>
      <c r="C203" s="266">
        <f>VPI!R203</f>
        <v>83929.487936507925</v>
      </c>
      <c r="D203" s="26">
        <f>Données!Z203</f>
        <v>1179</v>
      </c>
      <c r="E203" s="86">
        <f t="shared" si="24"/>
        <v>71.187012668793827</v>
      </c>
      <c r="F203" s="140">
        <f t="shared" si="25"/>
        <v>1.4247251998682433</v>
      </c>
      <c r="G203" s="352">
        <f t="shared" si="26"/>
        <v>21.221578860662191</v>
      </c>
      <c r="H203" s="352">
        <f t="shared" si="27"/>
        <v>11.228492099035869</v>
      </c>
      <c r="I203" s="352">
        <f t="shared" si="28"/>
        <v>0</v>
      </c>
      <c r="J203" s="352">
        <f t="shared" si="29"/>
        <v>0</v>
      </c>
      <c r="K203" s="352">
        <f t="shared" si="30"/>
        <v>0</v>
      </c>
      <c r="L203" s="354">
        <f t="shared" si="31"/>
        <v>5.3671649820360248</v>
      </c>
      <c r="M203" s="227">
        <f>L203*D203*VPI!Q203</f>
        <v>398656.91337068978</v>
      </c>
    </row>
    <row r="204" spans="1:13" x14ac:dyDescent="0.25">
      <c r="A204" s="127">
        <f>Données!A204</f>
        <v>5741</v>
      </c>
      <c r="B204" s="26" t="str">
        <f>Données!B204</f>
        <v>L'Abergement</v>
      </c>
      <c r="C204" s="266">
        <f>VPI!R204</f>
        <v>8081.107937499999</v>
      </c>
      <c r="D204" s="26">
        <f>Données!Z204</f>
        <v>270</v>
      </c>
      <c r="E204" s="86">
        <f t="shared" si="24"/>
        <v>29.930029398148143</v>
      </c>
      <c r="F204" s="140">
        <f t="shared" si="25"/>
        <v>0.59901470110477006</v>
      </c>
      <c r="G204" s="352">
        <f t="shared" si="26"/>
        <v>0</v>
      </c>
      <c r="H204" s="352">
        <f t="shared" si="27"/>
        <v>0</v>
      </c>
      <c r="I204" s="352">
        <f t="shared" si="28"/>
        <v>0</v>
      </c>
      <c r="J204" s="352">
        <f t="shared" si="29"/>
        <v>0</v>
      </c>
      <c r="K204" s="352">
        <f t="shared" si="30"/>
        <v>0</v>
      </c>
      <c r="L204" s="354">
        <f t="shared" si="31"/>
        <v>0</v>
      </c>
      <c r="M204" s="227">
        <f>L204*D204*VPI!Q204</f>
        <v>0</v>
      </c>
    </row>
    <row r="205" spans="1:13" x14ac:dyDescent="0.25">
      <c r="A205" s="127">
        <f>Données!A205</f>
        <v>5742</v>
      </c>
      <c r="B205" s="26" t="str">
        <f>Données!B205</f>
        <v>Agiez</v>
      </c>
      <c r="C205" s="266">
        <f>VPI!R205</f>
        <v>9603.6136842105243</v>
      </c>
      <c r="D205" s="26">
        <f>Données!Z205</f>
        <v>373</v>
      </c>
      <c r="E205" s="86">
        <f t="shared" si="24"/>
        <v>25.746953576971915</v>
      </c>
      <c r="F205" s="140">
        <f t="shared" si="25"/>
        <v>0.51529530746877494</v>
      </c>
      <c r="G205" s="352">
        <f t="shared" si="26"/>
        <v>0</v>
      </c>
      <c r="H205" s="352">
        <f t="shared" si="27"/>
        <v>0</v>
      </c>
      <c r="I205" s="352">
        <f t="shared" si="28"/>
        <v>0</v>
      </c>
      <c r="J205" s="352">
        <f t="shared" si="29"/>
        <v>0</v>
      </c>
      <c r="K205" s="352">
        <f t="shared" si="30"/>
        <v>0</v>
      </c>
      <c r="L205" s="354">
        <f t="shared" si="31"/>
        <v>0</v>
      </c>
      <c r="M205" s="227">
        <f>L205*D205*VPI!Q205</f>
        <v>0</v>
      </c>
    </row>
    <row r="206" spans="1:13" x14ac:dyDescent="0.25">
      <c r="A206" s="127">
        <f>Données!A206</f>
        <v>5743</v>
      </c>
      <c r="B206" s="26" t="str">
        <f>Données!B206</f>
        <v>Arnex-sur-Orbe</v>
      </c>
      <c r="C206" s="266">
        <f>VPI!R206</f>
        <v>19616.934718309862</v>
      </c>
      <c r="D206" s="26">
        <f>Données!Z206</f>
        <v>697</v>
      </c>
      <c r="E206" s="86">
        <f t="shared" si="24"/>
        <v>28.144813082223617</v>
      </c>
      <c r="F206" s="140">
        <f t="shared" si="25"/>
        <v>0.563285674458473</v>
      </c>
      <c r="G206" s="352">
        <f t="shared" si="26"/>
        <v>0</v>
      </c>
      <c r="H206" s="352">
        <f t="shared" si="27"/>
        <v>0</v>
      </c>
      <c r="I206" s="352">
        <f t="shared" si="28"/>
        <v>0</v>
      </c>
      <c r="J206" s="352">
        <f t="shared" si="29"/>
        <v>0</v>
      </c>
      <c r="K206" s="352">
        <f t="shared" si="30"/>
        <v>0</v>
      </c>
      <c r="L206" s="354">
        <f t="shared" si="31"/>
        <v>0</v>
      </c>
      <c r="M206" s="227">
        <f>L206*D206*VPI!Q206</f>
        <v>0</v>
      </c>
    </row>
    <row r="207" spans="1:13" x14ac:dyDescent="0.25">
      <c r="A207" s="127">
        <f>Données!A207</f>
        <v>5744</v>
      </c>
      <c r="B207" s="26" t="str">
        <f>Données!B207</f>
        <v>Ballaigues</v>
      </c>
      <c r="C207" s="266">
        <f>VPI!R207</f>
        <v>81085.11846153847</v>
      </c>
      <c r="D207" s="26">
        <f>Données!Z207</f>
        <v>1209</v>
      </c>
      <c r="E207" s="86">
        <f t="shared" si="24"/>
        <v>67.067922631545471</v>
      </c>
      <c r="F207" s="140">
        <f t="shared" si="25"/>
        <v>1.3422864072207952</v>
      </c>
      <c r="G207" s="352">
        <f t="shared" si="26"/>
        <v>17.102488823413836</v>
      </c>
      <c r="H207" s="352">
        <f t="shared" si="27"/>
        <v>7.1094020617875131</v>
      </c>
      <c r="I207" s="352">
        <f t="shared" si="28"/>
        <v>0</v>
      </c>
      <c r="J207" s="352">
        <f t="shared" si="29"/>
        <v>0</v>
      </c>
      <c r="K207" s="352">
        <f t="shared" si="30"/>
        <v>0</v>
      </c>
      <c r="L207" s="354">
        <f t="shared" si="31"/>
        <v>4.1314379708615183</v>
      </c>
      <c r="M207" s="227">
        <f>L207*D207*VPI!Q207</f>
        <v>324669.05294015241</v>
      </c>
    </row>
    <row r="208" spans="1:13" x14ac:dyDescent="0.25">
      <c r="A208" s="127">
        <f>Données!A208</f>
        <v>5745</v>
      </c>
      <c r="B208" s="26" t="str">
        <f>Données!B208</f>
        <v>Baulmes</v>
      </c>
      <c r="C208" s="266">
        <f>VPI!R208</f>
        <v>29568.283921568625</v>
      </c>
      <c r="D208" s="26">
        <f>Données!Z208</f>
        <v>1168</v>
      </c>
      <c r="E208" s="86">
        <f t="shared" si="24"/>
        <v>25.315311576685467</v>
      </c>
      <c r="F208" s="140">
        <f t="shared" si="25"/>
        <v>0.50665649524623002</v>
      </c>
      <c r="G208" s="352">
        <f t="shared" si="26"/>
        <v>0</v>
      </c>
      <c r="H208" s="352">
        <f t="shared" si="27"/>
        <v>0</v>
      </c>
      <c r="I208" s="352">
        <f t="shared" si="28"/>
        <v>0</v>
      </c>
      <c r="J208" s="352">
        <f t="shared" si="29"/>
        <v>0</v>
      </c>
      <c r="K208" s="352">
        <f t="shared" si="30"/>
        <v>0</v>
      </c>
      <c r="L208" s="354">
        <f t="shared" si="31"/>
        <v>0</v>
      </c>
      <c r="M208" s="227">
        <f>L208*D208*VPI!Q208</f>
        <v>0</v>
      </c>
    </row>
    <row r="209" spans="1:13" x14ac:dyDescent="0.25">
      <c r="A209" s="127">
        <f>Données!A209</f>
        <v>5746</v>
      </c>
      <c r="B209" s="26" t="str">
        <f>Données!B209</f>
        <v>Bavois</v>
      </c>
      <c r="C209" s="266">
        <f>VPI!R209</f>
        <v>37130.012939814806</v>
      </c>
      <c r="D209" s="26">
        <f>Données!Z209</f>
        <v>1041</v>
      </c>
      <c r="E209" s="86">
        <f t="shared" si="24"/>
        <v>35.667639711637662</v>
      </c>
      <c r="F209" s="140">
        <f t="shared" si="25"/>
        <v>0.71384629319145276</v>
      </c>
      <c r="G209" s="352">
        <f t="shared" si="26"/>
        <v>0</v>
      </c>
      <c r="H209" s="352">
        <f t="shared" si="27"/>
        <v>0</v>
      </c>
      <c r="I209" s="352">
        <f t="shared" si="28"/>
        <v>0</v>
      </c>
      <c r="J209" s="352">
        <f t="shared" si="29"/>
        <v>0</v>
      </c>
      <c r="K209" s="352">
        <f t="shared" si="30"/>
        <v>0</v>
      </c>
      <c r="L209" s="354">
        <f t="shared" si="31"/>
        <v>0</v>
      </c>
      <c r="M209" s="227">
        <f>L209*D209*VPI!Q209</f>
        <v>0</v>
      </c>
    </row>
    <row r="210" spans="1:13" x14ac:dyDescent="0.25">
      <c r="A210" s="127">
        <f>Données!A210</f>
        <v>5747</v>
      </c>
      <c r="B210" s="26" t="str">
        <f>Données!B210</f>
        <v>Bofflens</v>
      </c>
      <c r="C210" s="266">
        <f>VPI!R210</f>
        <v>7511.2471014492739</v>
      </c>
      <c r="D210" s="26">
        <f>Données!Z210</f>
        <v>200</v>
      </c>
      <c r="E210" s="86">
        <f t="shared" si="24"/>
        <v>37.55623550724637</v>
      </c>
      <c r="F210" s="140">
        <f t="shared" si="25"/>
        <v>0.75164433979424938</v>
      </c>
      <c r="G210" s="352">
        <f t="shared" si="26"/>
        <v>0</v>
      </c>
      <c r="H210" s="352">
        <f t="shared" si="27"/>
        <v>0</v>
      </c>
      <c r="I210" s="352">
        <f t="shared" si="28"/>
        <v>0</v>
      </c>
      <c r="J210" s="352">
        <f t="shared" si="29"/>
        <v>0</v>
      </c>
      <c r="K210" s="352">
        <f t="shared" si="30"/>
        <v>0</v>
      </c>
      <c r="L210" s="354">
        <f t="shared" si="31"/>
        <v>0</v>
      </c>
      <c r="M210" s="227">
        <f>L210*D210*VPI!Q210</f>
        <v>0</v>
      </c>
    </row>
    <row r="211" spans="1:13" x14ac:dyDescent="0.25">
      <c r="A211" s="127">
        <f>Données!A211</f>
        <v>5748</v>
      </c>
      <c r="B211" s="26" t="str">
        <f>Données!B211</f>
        <v>Bretonnières</v>
      </c>
      <c r="C211" s="266">
        <f>VPI!R211</f>
        <v>6883.0895035460999</v>
      </c>
      <c r="D211" s="26">
        <f>Données!Z211</f>
        <v>261</v>
      </c>
      <c r="E211" s="86">
        <f t="shared" si="24"/>
        <v>26.371990435042527</v>
      </c>
      <c r="F211" s="140">
        <f t="shared" si="25"/>
        <v>0.52780469266636509</v>
      </c>
      <c r="G211" s="352">
        <f t="shared" si="26"/>
        <v>0</v>
      </c>
      <c r="H211" s="352">
        <f t="shared" si="27"/>
        <v>0</v>
      </c>
      <c r="I211" s="352">
        <f t="shared" si="28"/>
        <v>0</v>
      </c>
      <c r="J211" s="352">
        <f t="shared" si="29"/>
        <v>0</v>
      </c>
      <c r="K211" s="352">
        <f t="shared" si="30"/>
        <v>0</v>
      </c>
      <c r="L211" s="354">
        <f t="shared" si="31"/>
        <v>0</v>
      </c>
      <c r="M211" s="227">
        <f>L211*D211*VPI!Q211</f>
        <v>0</v>
      </c>
    </row>
    <row r="212" spans="1:13" x14ac:dyDescent="0.25">
      <c r="A212" s="127">
        <f>Données!A212</f>
        <v>5749</v>
      </c>
      <c r="B212" s="26" t="str">
        <f>Données!B212</f>
        <v>Chavornay</v>
      </c>
      <c r="C212" s="266">
        <f>VPI!R212</f>
        <v>155929.24482269504</v>
      </c>
      <c r="D212" s="26">
        <f>Données!Z212</f>
        <v>5442</v>
      </c>
      <c r="E212" s="86">
        <f t="shared" si="24"/>
        <v>28.652929956393795</v>
      </c>
      <c r="F212" s="140">
        <f t="shared" si="25"/>
        <v>0.57345504226825439</v>
      </c>
      <c r="G212" s="352">
        <f t="shared" si="26"/>
        <v>0</v>
      </c>
      <c r="H212" s="352">
        <f t="shared" si="27"/>
        <v>0</v>
      </c>
      <c r="I212" s="352">
        <f t="shared" si="28"/>
        <v>0</v>
      </c>
      <c r="J212" s="352">
        <f t="shared" si="29"/>
        <v>0</v>
      </c>
      <c r="K212" s="352">
        <f t="shared" si="30"/>
        <v>0</v>
      </c>
      <c r="L212" s="354">
        <f t="shared" si="31"/>
        <v>0</v>
      </c>
      <c r="M212" s="227">
        <f>L212*D212*VPI!Q212</f>
        <v>0</v>
      </c>
    </row>
    <row r="213" spans="1:13" x14ac:dyDescent="0.25">
      <c r="A213" s="127">
        <f>Données!A213</f>
        <v>5750</v>
      </c>
      <c r="B213" s="26" t="str">
        <f>Données!B213</f>
        <v>Les Clées</v>
      </c>
      <c r="C213" s="266">
        <f>VPI!R213</f>
        <v>6153.1082500000002</v>
      </c>
      <c r="D213" s="26">
        <f>Données!Z213</f>
        <v>194</v>
      </c>
      <c r="E213" s="86">
        <f t="shared" si="24"/>
        <v>31.717052835051547</v>
      </c>
      <c r="F213" s="140">
        <f t="shared" si="25"/>
        <v>0.63477989517404632</v>
      </c>
      <c r="G213" s="352">
        <f t="shared" si="26"/>
        <v>0</v>
      </c>
      <c r="H213" s="352">
        <f t="shared" si="27"/>
        <v>0</v>
      </c>
      <c r="I213" s="352">
        <f t="shared" si="28"/>
        <v>0</v>
      </c>
      <c r="J213" s="352">
        <f t="shared" si="29"/>
        <v>0</v>
      </c>
      <c r="K213" s="352">
        <f t="shared" si="30"/>
        <v>0</v>
      </c>
      <c r="L213" s="354">
        <f t="shared" si="31"/>
        <v>0</v>
      </c>
      <c r="M213" s="227">
        <f>L213*D213*VPI!Q213</f>
        <v>0</v>
      </c>
    </row>
    <row r="214" spans="1:13" x14ac:dyDescent="0.25">
      <c r="A214" s="127">
        <f>Données!A214</f>
        <v>5752</v>
      </c>
      <c r="B214" s="26" t="str">
        <f>Données!B214</f>
        <v>Croy</v>
      </c>
      <c r="C214" s="266">
        <f>VPI!R214</f>
        <v>10564.904768339768</v>
      </c>
      <c r="D214" s="26">
        <f>Données!Z214</f>
        <v>403</v>
      </c>
      <c r="E214" s="86">
        <f t="shared" si="24"/>
        <v>26.215644586451035</v>
      </c>
      <c r="F214" s="140">
        <f t="shared" si="25"/>
        <v>0.52467561248681815</v>
      </c>
      <c r="G214" s="352">
        <f t="shared" si="26"/>
        <v>0</v>
      </c>
      <c r="H214" s="352">
        <f t="shared" si="27"/>
        <v>0</v>
      </c>
      <c r="I214" s="352">
        <f t="shared" si="28"/>
        <v>0</v>
      </c>
      <c r="J214" s="352">
        <f t="shared" si="29"/>
        <v>0</v>
      </c>
      <c r="K214" s="352">
        <f t="shared" si="30"/>
        <v>0</v>
      </c>
      <c r="L214" s="354">
        <f t="shared" si="31"/>
        <v>0</v>
      </c>
      <c r="M214" s="227">
        <f>L214*D214*VPI!Q214</f>
        <v>0</v>
      </c>
    </row>
    <row r="215" spans="1:13" x14ac:dyDescent="0.25">
      <c r="A215" s="127">
        <f>Données!A215</f>
        <v>5754</v>
      </c>
      <c r="B215" s="26" t="str">
        <f>Données!B215</f>
        <v>Juriens</v>
      </c>
      <c r="C215" s="266">
        <f>VPI!R215</f>
        <v>8959.0606329113925</v>
      </c>
      <c r="D215" s="26">
        <f>Données!Z215</f>
        <v>348</v>
      </c>
      <c r="E215" s="86">
        <f t="shared" si="24"/>
        <v>25.744427106067221</v>
      </c>
      <c r="F215" s="140">
        <f t="shared" si="25"/>
        <v>0.51524474309432367</v>
      </c>
      <c r="G215" s="352">
        <f t="shared" si="26"/>
        <v>0</v>
      </c>
      <c r="H215" s="352">
        <f t="shared" si="27"/>
        <v>0</v>
      </c>
      <c r="I215" s="352">
        <f t="shared" si="28"/>
        <v>0</v>
      </c>
      <c r="J215" s="352">
        <f t="shared" si="29"/>
        <v>0</v>
      </c>
      <c r="K215" s="352">
        <f t="shared" si="30"/>
        <v>0</v>
      </c>
      <c r="L215" s="354">
        <f t="shared" si="31"/>
        <v>0</v>
      </c>
      <c r="M215" s="227">
        <f>L215*D215*VPI!Q215</f>
        <v>0</v>
      </c>
    </row>
    <row r="216" spans="1:13" x14ac:dyDescent="0.25">
      <c r="A216" s="127">
        <f>Données!A216</f>
        <v>5755</v>
      </c>
      <c r="B216" s="26" t="str">
        <f>Données!B216</f>
        <v>Lignerolle</v>
      </c>
      <c r="C216" s="266">
        <f>VPI!R216</f>
        <v>10387.208371246586</v>
      </c>
      <c r="D216" s="26">
        <f>Données!Z216</f>
        <v>463</v>
      </c>
      <c r="E216" s="86">
        <f t="shared" si="24"/>
        <v>22.434575315867356</v>
      </c>
      <c r="F216" s="140">
        <f t="shared" si="25"/>
        <v>0.44900191204216539</v>
      </c>
      <c r="G216" s="352">
        <f t="shared" si="26"/>
        <v>0</v>
      </c>
      <c r="H216" s="352">
        <f t="shared" si="27"/>
        <v>0</v>
      </c>
      <c r="I216" s="352">
        <f t="shared" si="28"/>
        <v>0</v>
      </c>
      <c r="J216" s="352">
        <f t="shared" si="29"/>
        <v>0</v>
      </c>
      <c r="K216" s="352">
        <f t="shared" si="30"/>
        <v>0</v>
      </c>
      <c r="L216" s="354">
        <f t="shared" si="31"/>
        <v>0</v>
      </c>
      <c r="M216" s="227">
        <f>L216*D216*VPI!Q216</f>
        <v>0</v>
      </c>
    </row>
    <row r="217" spans="1:13" x14ac:dyDescent="0.25">
      <c r="A217" s="127">
        <f>Données!A217</f>
        <v>5756</v>
      </c>
      <c r="B217" s="26" t="str">
        <f>Données!B217</f>
        <v>Montcherand</v>
      </c>
      <c r="C217" s="266">
        <f>VPI!R217</f>
        <v>21540.691249999996</v>
      </c>
      <c r="D217" s="26">
        <f>Données!Z217</f>
        <v>489</v>
      </c>
      <c r="E217" s="86">
        <f t="shared" si="24"/>
        <v>44.050493353783224</v>
      </c>
      <c r="F217" s="140">
        <f t="shared" si="25"/>
        <v>0.8816193515488745</v>
      </c>
      <c r="G217" s="352">
        <f t="shared" si="26"/>
        <v>0</v>
      </c>
      <c r="H217" s="352">
        <f t="shared" si="27"/>
        <v>0</v>
      </c>
      <c r="I217" s="352">
        <f t="shared" si="28"/>
        <v>0</v>
      </c>
      <c r="J217" s="352">
        <f t="shared" si="29"/>
        <v>0</v>
      </c>
      <c r="K217" s="352">
        <f t="shared" si="30"/>
        <v>0</v>
      </c>
      <c r="L217" s="354">
        <f t="shared" si="31"/>
        <v>0</v>
      </c>
      <c r="M217" s="227">
        <f>L217*D217*VPI!Q217</f>
        <v>0</v>
      </c>
    </row>
    <row r="218" spans="1:13" x14ac:dyDescent="0.25">
      <c r="A218" s="127">
        <f>Données!A218</f>
        <v>5757</v>
      </c>
      <c r="B218" s="26" t="str">
        <f>Données!B218</f>
        <v>Orbe</v>
      </c>
      <c r="C218" s="266">
        <f>VPI!R218</f>
        <v>256549.05814569537</v>
      </c>
      <c r="D218" s="26">
        <f>Données!Z218</f>
        <v>7962</v>
      </c>
      <c r="E218" s="86">
        <f t="shared" si="24"/>
        <v>32.221685273259908</v>
      </c>
      <c r="F218" s="140">
        <f t="shared" si="25"/>
        <v>0.64487952605378929</v>
      </c>
      <c r="G218" s="352">
        <f t="shared" si="26"/>
        <v>0</v>
      </c>
      <c r="H218" s="352">
        <f t="shared" si="27"/>
        <v>0</v>
      </c>
      <c r="I218" s="352">
        <f t="shared" si="28"/>
        <v>0</v>
      </c>
      <c r="J218" s="352">
        <f t="shared" si="29"/>
        <v>0</v>
      </c>
      <c r="K218" s="352">
        <f t="shared" si="30"/>
        <v>0</v>
      </c>
      <c r="L218" s="354">
        <f t="shared" si="31"/>
        <v>0</v>
      </c>
      <c r="M218" s="227">
        <f>L218*D218*VPI!Q218</f>
        <v>0</v>
      </c>
    </row>
    <row r="219" spans="1:13" x14ac:dyDescent="0.25">
      <c r="A219" s="127">
        <f>Données!A219</f>
        <v>5758</v>
      </c>
      <c r="B219" s="26" t="str">
        <f>Données!B219</f>
        <v>La Praz</v>
      </c>
      <c r="C219" s="266">
        <f>VPI!R219</f>
        <v>5899.0938554216882</v>
      </c>
      <c r="D219" s="26">
        <f>Données!Z219</f>
        <v>207</v>
      </c>
      <c r="E219" s="86">
        <f t="shared" si="24"/>
        <v>28.498037948897043</v>
      </c>
      <c r="F219" s="140">
        <f t="shared" si="25"/>
        <v>0.57035505902600858</v>
      </c>
      <c r="G219" s="352">
        <f t="shared" si="26"/>
        <v>0</v>
      </c>
      <c r="H219" s="352">
        <f t="shared" si="27"/>
        <v>0</v>
      </c>
      <c r="I219" s="352">
        <f t="shared" si="28"/>
        <v>0</v>
      </c>
      <c r="J219" s="352">
        <f t="shared" si="29"/>
        <v>0</v>
      </c>
      <c r="K219" s="352">
        <f t="shared" si="30"/>
        <v>0</v>
      </c>
      <c r="L219" s="354">
        <f t="shared" si="31"/>
        <v>0</v>
      </c>
      <c r="M219" s="227">
        <f>L219*D219*VPI!Q219</f>
        <v>0</v>
      </c>
    </row>
    <row r="220" spans="1:13" x14ac:dyDescent="0.25">
      <c r="A220" s="127">
        <f>Données!A220</f>
        <v>5759</v>
      </c>
      <c r="B220" s="26" t="str">
        <f>Données!B220</f>
        <v>Premier</v>
      </c>
      <c r="C220" s="266">
        <f>VPI!R220</f>
        <v>5179.7449056603764</v>
      </c>
      <c r="D220" s="26">
        <f>Données!Z220</f>
        <v>228</v>
      </c>
      <c r="E220" s="86">
        <f t="shared" si="24"/>
        <v>22.718179410791123</v>
      </c>
      <c r="F220" s="140">
        <f t="shared" si="25"/>
        <v>0.45467791789879042</v>
      </c>
      <c r="G220" s="352">
        <f t="shared" si="26"/>
        <v>0</v>
      </c>
      <c r="H220" s="352">
        <f t="shared" si="27"/>
        <v>0</v>
      </c>
      <c r="I220" s="352">
        <f t="shared" si="28"/>
        <v>0</v>
      </c>
      <c r="J220" s="352">
        <f t="shared" si="29"/>
        <v>0</v>
      </c>
      <c r="K220" s="352">
        <f t="shared" si="30"/>
        <v>0</v>
      </c>
      <c r="L220" s="354">
        <f t="shared" si="31"/>
        <v>0</v>
      </c>
      <c r="M220" s="227">
        <f>L220*D220*VPI!Q220</f>
        <v>0</v>
      </c>
    </row>
    <row r="221" spans="1:13" x14ac:dyDescent="0.25">
      <c r="A221" s="127">
        <f>Données!A221</f>
        <v>5760</v>
      </c>
      <c r="B221" s="26" t="str">
        <f>Données!B221</f>
        <v>Rances</v>
      </c>
      <c r="C221" s="266">
        <f>VPI!R221</f>
        <v>13863.335032679737</v>
      </c>
      <c r="D221" s="26">
        <f>Données!Z221</f>
        <v>508</v>
      </c>
      <c r="E221" s="86">
        <f t="shared" si="24"/>
        <v>27.290029591889247</v>
      </c>
      <c r="F221" s="140">
        <f t="shared" si="25"/>
        <v>0.54617817783156974</v>
      </c>
      <c r="G221" s="352">
        <f t="shared" si="26"/>
        <v>0</v>
      </c>
      <c r="H221" s="352">
        <f t="shared" si="27"/>
        <v>0</v>
      </c>
      <c r="I221" s="352">
        <f t="shared" si="28"/>
        <v>0</v>
      </c>
      <c r="J221" s="352">
        <f t="shared" si="29"/>
        <v>0</v>
      </c>
      <c r="K221" s="352">
        <f t="shared" si="30"/>
        <v>0</v>
      </c>
      <c r="L221" s="354">
        <f t="shared" si="31"/>
        <v>0</v>
      </c>
      <c r="M221" s="227">
        <f>L221*D221*VPI!Q221</f>
        <v>0</v>
      </c>
    </row>
    <row r="222" spans="1:13" x14ac:dyDescent="0.25">
      <c r="A222" s="127">
        <f>Données!A222</f>
        <v>5761</v>
      </c>
      <c r="B222" s="26" t="str">
        <f>Données!B222</f>
        <v>Romainmôtier-Envy</v>
      </c>
      <c r="C222" s="266">
        <f>VPI!R222</f>
        <v>14116.093355780025</v>
      </c>
      <c r="D222" s="26">
        <f>Données!Z222</f>
        <v>560</v>
      </c>
      <c r="E222" s="86">
        <f t="shared" si="24"/>
        <v>25.207309563892903</v>
      </c>
      <c r="F222" s="140">
        <f t="shared" si="25"/>
        <v>0.50449496067000088</v>
      </c>
      <c r="G222" s="352">
        <f t="shared" si="26"/>
        <v>0</v>
      </c>
      <c r="H222" s="352">
        <f t="shared" si="27"/>
        <v>0</v>
      </c>
      <c r="I222" s="352">
        <f t="shared" si="28"/>
        <v>0</v>
      </c>
      <c r="J222" s="352">
        <f t="shared" si="29"/>
        <v>0</v>
      </c>
      <c r="K222" s="352">
        <f t="shared" si="30"/>
        <v>0</v>
      </c>
      <c r="L222" s="354">
        <f t="shared" si="31"/>
        <v>0</v>
      </c>
      <c r="M222" s="227">
        <f>L222*D222*VPI!Q222</f>
        <v>0</v>
      </c>
    </row>
    <row r="223" spans="1:13" x14ac:dyDescent="0.25">
      <c r="A223" s="127">
        <f>Données!A223</f>
        <v>5762</v>
      </c>
      <c r="B223" s="26" t="str">
        <f>Données!B223</f>
        <v>Sergey</v>
      </c>
      <c r="C223" s="266">
        <f>VPI!R223</f>
        <v>3517.4810526315791</v>
      </c>
      <c r="D223" s="26">
        <f>Données!Z223</f>
        <v>133</v>
      </c>
      <c r="E223" s="86">
        <f t="shared" si="24"/>
        <v>26.447225959635933</v>
      </c>
      <c r="F223" s="140">
        <f t="shared" si="25"/>
        <v>0.5293104441201063</v>
      </c>
      <c r="G223" s="352">
        <f t="shared" si="26"/>
        <v>0</v>
      </c>
      <c r="H223" s="352">
        <f t="shared" si="27"/>
        <v>0</v>
      </c>
      <c r="I223" s="352">
        <f t="shared" si="28"/>
        <v>0</v>
      </c>
      <c r="J223" s="352">
        <f t="shared" si="29"/>
        <v>0</v>
      </c>
      <c r="K223" s="352">
        <f t="shared" si="30"/>
        <v>0</v>
      </c>
      <c r="L223" s="354">
        <f t="shared" si="31"/>
        <v>0</v>
      </c>
      <c r="M223" s="227">
        <f>L223*D223*VPI!Q223</f>
        <v>0</v>
      </c>
    </row>
    <row r="224" spans="1:13" x14ac:dyDescent="0.25">
      <c r="A224" s="127">
        <f>Données!A224</f>
        <v>5763</v>
      </c>
      <c r="B224" s="26" t="str">
        <f>Données!B224</f>
        <v>Valeyres-sous-Rances</v>
      </c>
      <c r="C224" s="266">
        <f>VPI!R224</f>
        <v>22039.299577464786</v>
      </c>
      <c r="D224" s="26">
        <f>Données!Z224</f>
        <v>583</v>
      </c>
      <c r="E224" s="86">
        <f t="shared" si="24"/>
        <v>37.80325828038557</v>
      </c>
      <c r="F224" s="140">
        <f t="shared" si="25"/>
        <v>0.75658821307448088</v>
      </c>
      <c r="G224" s="352">
        <f t="shared" si="26"/>
        <v>0</v>
      </c>
      <c r="H224" s="352">
        <f t="shared" si="27"/>
        <v>0</v>
      </c>
      <c r="I224" s="352">
        <f t="shared" si="28"/>
        <v>0</v>
      </c>
      <c r="J224" s="352">
        <f t="shared" si="29"/>
        <v>0</v>
      </c>
      <c r="K224" s="352">
        <f t="shared" si="30"/>
        <v>0</v>
      </c>
      <c r="L224" s="354">
        <f t="shared" si="31"/>
        <v>0</v>
      </c>
      <c r="M224" s="227">
        <f>L224*D224*VPI!Q224</f>
        <v>0</v>
      </c>
    </row>
    <row r="225" spans="1:13" x14ac:dyDescent="0.25">
      <c r="A225" s="127">
        <f>Données!A225</f>
        <v>5764</v>
      </c>
      <c r="B225" s="26" t="str">
        <f>Données!B225</f>
        <v>Vallorbe</v>
      </c>
      <c r="C225" s="266">
        <f>VPI!R225</f>
        <v>94918.330489510496</v>
      </c>
      <c r="D225" s="26">
        <f>Données!Z225</f>
        <v>4328</v>
      </c>
      <c r="E225" s="86">
        <f t="shared" si="24"/>
        <v>21.931222386670633</v>
      </c>
      <c r="F225" s="140">
        <f t="shared" si="25"/>
        <v>0.43892788904599545</v>
      </c>
      <c r="G225" s="352">
        <f t="shared" si="26"/>
        <v>0</v>
      </c>
      <c r="H225" s="352">
        <f t="shared" si="27"/>
        <v>0</v>
      </c>
      <c r="I225" s="352">
        <f t="shared" si="28"/>
        <v>0</v>
      </c>
      <c r="J225" s="352">
        <f t="shared" si="29"/>
        <v>0</v>
      </c>
      <c r="K225" s="352">
        <f t="shared" si="30"/>
        <v>0</v>
      </c>
      <c r="L225" s="354">
        <f t="shared" si="31"/>
        <v>0</v>
      </c>
      <c r="M225" s="227">
        <f>L225*D225*VPI!Q225</f>
        <v>0</v>
      </c>
    </row>
    <row r="226" spans="1:13" x14ac:dyDescent="0.25">
      <c r="A226" s="127">
        <f>Données!A226</f>
        <v>5765</v>
      </c>
      <c r="B226" s="26" t="str">
        <f>Données!B226</f>
        <v>Vaulion</v>
      </c>
      <c r="C226" s="266">
        <f>VPI!R226</f>
        <v>10165.546419753087</v>
      </c>
      <c r="D226" s="26">
        <f>Données!Z226</f>
        <v>489</v>
      </c>
      <c r="E226" s="86">
        <f t="shared" si="24"/>
        <v>20.788438486202633</v>
      </c>
      <c r="F226" s="140">
        <f t="shared" si="25"/>
        <v>0.4160563994306683</v>
      </c>
      <c r="G226" s="352">
        <f t="shared" si="26"/>
        <v>0</v>
      </c>
      <c r="H226" s="352">
        <f t="shared" si="27"/>
        <v>0</v>
      </c>
      <c r="I226" s="352">
        <f t="shared" si="28"/>
        <v>0</v>
      </c>
      <c r="J226" s="352">
        <f t="shared" si="29"/>
        <v>0</v>
      </c>
      <c r="K226" s="352">
        <f t="shared" si="30"/>
        <v>0</v>
      </c>
      <c r="L226" s="354">
        <f t="shared" si="31"/>
        <v>0</v>
      </c>
      <c r="M226" s="227">
        <f>L226*D226*VPI!Q226</f>
        <v>0</v>
      </c>
    </row>
    <row r="227" spans="1:13" x14ac:dyDescent="0.25">
      <c r="A227" s="127">
        <f>Données!A227</f>
        <v>5766</v>
      </c>
      <c r="B227" s="26" t="str">
        <f>Données!B227</f>
        <v>Vuiteboeuf</v>
      </c>
      <c r="C227" s="266">
        <f>VPI!R227</f>
        <v>15485.667942857142</v>
      </c>
      <c r="D227" s="26">
        <f>Données!Z227</f>
        <v>607</v>
      </c>
      <c r="E227" s="86">
        <f t="shared" si="24"/>
        <v>25.511808802071076</v>
      </c>
      <c r="F227" s="140">
        <f t="shared" si="25"/>
        <v>0.51058915849779241</v>
      </c>
      <c r="G227" s="352">
        <f t="shared" si="26"/>
        <v>0</v>
      </c>
      <c r="H227" s="352">
        <f t="shared" si="27"/>
        <v>0</v>
      </c>
      <c r="I227" s="352">
        <f t="shared" si="28"/>
        <v>0</v>
      </c>
      <c r="J227" s="352">
        <f t="shared" si="29"/>
        <v>0</v>
      </c>
      <c r="K227" s="352">
        <f t="shared" si="30"/>
        <v>0</v>
      </c>
      <c r="L227" s="354">
        <f t="shared" si="31"/>
        <v>0</v>
      </c>
      <c r="M227" s="227">
        <f>L227*D227*VPI!Q227</f>
        <v>0</v>
      </c>
    </row>
    <row r="228" spans="1:13" x14ac:dyDescent="0.25">
      <c r="A228" s="127">
        <f>Données!A228</f>
        <v>5785</v>
      </c>
      <c r="B228" s="26" t="str">
        <f>Données!B228</f>
        <v>Corcelles-le-Jorat</v>
      </c>
      <c r="C228" s="266">
        <f>VPI!R228</f>
        <v>15190.065466666669</v>
      </c>
      <c r="D228" s="26">
        <f>Données!Z228</f>
        <v>499</v>
      </c>
      <c r="E228" s="86">
        <f t="shared" si="24"/>
        <v>30.441012959251839</v>
      </c>
      <c r="F228" s="140">
        <f t="shared" si="25"/>
        <v>0.60924144231682242</v>
      </c>
      <c r="G228" s="352">
        <f t="shared" si="26"/>
        <v>0</v>
      </c>
      <c r="H228" s="352">
        <f t="shared" si="27"/>
        <v>0</v>
      </c>
      <c r="I228" s="352">
        <f t="shared" si="28"/>
        <v>0</v>
      </c>
      <c r="J228" s="352">
        <f t="shared" si="29"/>
        <v>0</v>
      </c>
      <c r="K228" s="352">
        <f t="shared" si="30"/>
        <v>0</v>
      </c>
      <c r="L228" s="354">
        <f t="shared" si="31"/>
        <v>0</v>
      </c>
      <c r="M228" s="227">
        <f>L228*D228*VPI!Q228</f>
        <v>0</v>
      </c>
    </row>
    <row r="229" spans="1:13" x14ac:dyDescent="0.25">
      <c r="A229" s="127">
        <f>Données!A229</f>
        <v>5790</v>
      </c>
      <c r="B229" s="26" t="str">
        <f>Données!B229</f>
        <v>Maracon</v>
      </c>
      <c r="C229" s="266">
        <f>VPI!R229</f>
        <v>16291.788187919459</v>
      </c>
      <c r="D229" s="26">
        <f>Données!Z229</f>
        <v>569</v>
      </c>
      <c r="E229" s="86">
        <f t="shared" si="24"/>
        <v>28.632316674726642</v>
      </c>
      <c r="F229" s="140">
        <f t="shared" si="25"/>
        <v>0.5730424914286818</v>
      </c>
      <c r="G229" s="352">
        <f t="shared" si="26"/>
        <v>0</v>
      </c>
      <c r="H229" s="352">
        <f t="shared" si="27"/>
        <v>0</v>
      </c>
      <c r="I229" s="352">
        <f t="shared" si="28"/>
        <v>0</v>
      </c>
      <c r="J229" s="352">
        <f t="shared" si="29"/>
        <v>0</v>
      </c>
      <c r="K229" s="352">
        <f t="shared" si="30"/>
        <v>0</v>
      </c>
      <c r="L229" s="354">
        <f t="shared" si="31"/>
        <v>0</v>
      </c>
      <c r="M229" s="227">
        <f>L229*D229*VPI!Q229</f>
        <v>0</v>
      </c>
    </row>
    <row r="230" spans="1:13" x14ac:dyDescent="0.25">
      <c r="A230" s="127">
        <f>Données!A230</f>
        <v>5792</v>
      </c>
      <c r="B230" s="26" t="str">
        <f>Données!B230</f>
        <v>Montpreveyres</v>
      </c>
      <c r="C230" s="266">
        <f>VPI!R230</f>
        <v>20010.357852348992</v>
      </c>
      <c r="D230" s="26">
        <f>Données!Z230</f>
        <v>653</v>
      </c>
      <c r="E230" s="86">
        <f t="shared" si="24"/>
        <v>30.643733311407338</v>
      </c>
      <c r="F230" s="140">
        <f t="shared" si="25"/>
        <v>0.61329865420722551</v>
      </c>
      <c r="G230" s="352">
        <f t="shared" si="26"/>
        <v>0</v>
      </c>
      <c r="H230" s="352">
        <f t="shared" si="27"/>
        <v>0</v>
      </c>
      <c r="I230" s="352">
        <f t="shared" si="28"/>
        <v>0</v>
      </c>
      <c r="J230" s="352">
        <f t="shared" si="29"/>
        <v>0</v>
      </c>
      <c r="K230" s="352">
        <f t="shared" si="30"/>
        <v>0</v>
      </c>
      <c r="L230" s="354">
        <f t="shared" si="31"/>
        <v>0</v>
      </c>
      <c r="M230" s="227">
        <f>L230*D230*VPI!Q230</f>
        <v>0</v>
      </c>
    </row>
    <row r="231" spans="1:13" x14ac:dyDescent="0.25">
      <c r="A231" s="127">
        <f>Données!A231</f>
        <v>5798</v>
      </c>
      <c r="B231" s="26" t="str">
        <f>Données!B231</f>
        <v>Ropraz</v>
      </c>
      <c r="C231" s="266">
        <f>VPI!R231</f>
        <v>15645.960516129035</v>
      </c>
      <c r="D231" s="26">
        <f>Données!Z231</f>
        <v>529</v>
      </c>
      <c r="E231" s="86">
        <f t="shared" si="24"/>
        <v>29.576484907616322</v>
      </c>
      <c r="F231" s="140">
        <f t="shared" si="25"/>
        <v>0.59193891963773748</v>
      </c>
      <c r="G231" s="352">
        <f t="shared" si="26"/>
        <v>0</v>
      </c>
      <c r="H231" s="352">
        <f t="shared" si="27"/>
        <v>0</v>
      </c>
      <c r="I231" s="352">
        <f t="shared" si="28"/>
        <v>0</v>
      </c>
      <c r="J231" s="352">
        <f t="shared" si="29"/>
        <v>0</v>
      </c>
      <c r="K231" s="352">
        <f t="shared" si="30"/>
        <v>0</v>
      </c>
      <c r="L231" s="354">
        <f t="shared" si="31"/>
        <v>0</v>
      </c>
      <c r="M231" s="227">
        <f>L231*D231*VPI!Q231</f>
        <v>0</v>
      </c>
    </row>
    <row r="232" spans="1:13" x14ac:dyDescent="0.25">
      <c r="A232" s="127">
        <f>Données!A232</f>
        <v>5799</v>
      </c>
      <c r="B232" s="26" t="str">
        <f>Données!B232</f>
        <v>Servion</v>
      </c>
      <c r="C232" s="266">
        <f>VPI!R232</f>
        <v>79870.61985507248</v>
      </c>
      <c r="D232" s="26">
        <f>Données!Z232</f>
        <v>2228</v>
      </c>
      <c r="E232" s="86">
        <f t="shared" si="24"/>
        <v>35.848572645903268</v>
      </c>
      <c r="F232" s="140">
        <f t="shared" si="25"/>
        <v>0.71746745527243039</v>
      </c>
      <c r="G232" s="352">
        <f t="shared" si="26"/>
        <v>0</v>
      </c>
      <c r="H232" s="352">
        <f t="shared" si="27"/>
        <v>0</v>
      </c>
      <c r="I232" s="352">
        <f t="shared" si="28"/>
        <v>0</v>
      </c>
      <c r="J232" s="352">
        <f t="shared" si="29"/>
        <v>0</v>
      </c>
      <c r="K232" s="352">
        <f t="shared" si="30"/>
        <v>0</v>
      </c>
      <c r="L232" s="354">
        <f t="shared" si="31"/>
        <v>0</v>
      </c>
      <c r="M232" s="227">
        <f>L232*D232*VPI!Q232</f>
        <v>0</v>
      </c>
    </row>
    <row r="233" spans="1:13" x14ac:dyDescent="0.25">
      <c r="A233" s="127">
        <f>Données!A233</f>
        <v>5803</v>
      </c>
      <c r="B233" s="26" t="str">
        <f>Données!B233</f>
        <v>Vulliens</v>
      </c>
      <c r="C233" s="266">
        <f>VPI!R233</f>
        <v>18493.730135135131</v>
      </c>
      <c r="D233" s="26">
        <f>Données!Z233</f>
        <v>628</v>
      </c>
      <c r="E233" s="86">
        <f t="shared" si="24"/>
        <v>29.448614864864858</v>
      </c>
      <c r="F233" s="140">
        <f t="shared" si="25"/>
        <v>0.58937974956743466</v>
      </c>
      <c r="G233" s="352">
        <f t="shared" si="26"/>
        <v>0</v>
      </c>
      <c r="H233" s="352">
        <f t="shared" si="27"/>
        <v>0</v>
      </c>
      <c r="I233" s="352">
        <f t="shared" si="28"/>
        <v>0</v>
      </c>
      <c r="J233" s="352">
        <f t="shared" si="29"/>
        <v>0</v>
      </c>
      <c r="K233" s="352">
        <f t="shared" si="30"/>
        <v>0</v>
      </c>
      <c r="L233" s="354">
        <f t="shared" si="31"/>
        <v>0</v>
      </c>
      <c r="M233" s="227">
        <f>L233*D233*VPI!Q233</f>
        <v>0</v>
      </c>
    </row>
    <row r="234" spans="1:13" x14ac:dyDescent="0.25">
      <c r="A234" s="127">
        <f>Données!A234</f>
        <v>5804</v>
      </c>
      <c r="B234" s="26" t="str">
        <f>Données!B234</f>
        <v>Jorat-Menthue</v>
      </c>
      <c r="C234" s="266">
        <f>VPI!R234</f>
        <v>48159.833333333336</v>
      </c>
      <c r="D234" s="26">
        <f>Données!Z234</f>
        <v>1576</v>
      </c>
      <c r="E234" s="86">
        <f t="shared" si="24"/>
        <v>30.558269881556686</v>
      </c>
      <c r="F234" s="140">
        <f t="shared" si="25"/>
        <v>0.61158820313461326</v>
      </c>
      <c r="G234" s="352">
        <f t="shared" si="26"/>
        <v>0</v>
      </c>
      <c r="H234" s="352">
        <f t="shared" si="27"/>
        <v>0</v>
      </c>
      <c r="I234" s="352">
        <f t="shared" si="28"/>
        <v>0</v>
      </c>
      <c r="J234" s="352">
        <f t="shared" si="29"/>
        <v>0</v>
      </c>
      <c r="K234" s="352">
        <f t="shared" si="30"/>
        <v>0</v>
      </c>
      <c r="L234" s="354">
        <f t="shared" si="31"/>
        <v>0</v>
      </c>
      <c r="M234" s="227">
        <f>L234*D234*VPI!Q234</f>
        <v>0</v>
      </c>
    </row>
    <row r="235" spans="1:13" x14ac:dyDescent="0.25">
      <c r="A235" s="127">
        <f>Données!A235</f>
        <v>5805</v>
      </c>
      <c r="B235" s="26" t="str">
        <f>Données!B235</f>
        <v>Oron</v>
      </c>
      <c r="C235" s="266">
        <f>VPI!R235</f>
        <v>189171.20249011857</v>
      </c>
      <c r="D235" s="26">
        <f>Données!Z235</f>
        <v>6345</v>
      </c>
      <c r="E235" s="86">
        <f t="shared" si="24"/>
        <v>29.814216310499379</v>
      </c>
      <c r="F235" s="140">
        <f t="shared" si="25"/>
        <v>0.59669683695705766</v>
      </c>
      <c r="G235" s="352">
        <f t="shared" si="26"/>
        <v>0</v>
      </c>
      <c r="H235" s="352">
        <f t="shared" si="27"/>
        <v>0</v>
      </c>
      <c r="I235" s="352">
        <f t="shared" si="28"/>
        <v>0</v>
      </c>
      <c r="J235" s="352">
        <f t="shared" si="29"/>
        <v>0</v>
      </c>
      <c r="K235" s="352">
        <f t="shared" si="30"/>
        <v>0</v>
      </c>
      <c r="L235" s="354">
        <f t="shared" si="31"/>
        <v>0</v>
      </c>
      <c r="M235" s="227">
        <f>L235*D235*VPI!Q235</f>
        <v>0</v>
      </c>
    </row>
    <row r="236" spans="1:13" x14ac:dyDescent="0.25">
      <c r="A236" s="127">
        <f>Données!A236</f>
        <v>5806</v>
      </c>
      <c r="B236" s="26" t="str">
        <f>Données!B236</f>
        <v>Jorat-Mézières</v>
      </c>
      <c r="C236" s="266">
        <f>VPI!R236</f>
        <v>101965.39633802818</v>
      </c>
      <c r="D236" s="26">
        <f>Données!Z236</f>
        <v>3189</v>
      </c>
      <c r="E236" s="86">
        <f t="shared" si="24"/>
        <v>31.974097315154651</v>
      </c>
      <c r="F236" s="140">
        <f t="shared" si="25"/>
        <v>0.63992434125431374</v>
      </c>
      <c r="G236" s="352">
        <f t="shared" si="26"/>
        <v>0</v>
      </c>
      <c r="H236" s="352">
        <f t="shared" si="27"/>
        <v>0</v>
      </c>
      <c r="I236" s="352">
        <f t="shared" si="28"/>
        <v>0</v>
      </c>
      <c r="J236" s="352">
        <f t="shared" si="29"/>
        <v>0</v>
      </c>
      <c r="K236" s="352">
        <f t="shared" si="30"/>
        <v>0</v>
      </c>
      <c r="L236" s="354">
        <f t="shared" si="31"/>
        <v>0</v>
      </c>
      <c r="M236" s="227">
        <f>L236*D236*VPI!Q236</f>
        <v>0</v>
      </c>
    </row>
    <row r="237" spans="1:13" x14ac:dyDescent="0.25">
      <c r="A237" s="127">
        <f>Données!A237</f>
        <v>5812</v>
      </c>
      <c r="B237" s="26" t="str">
        <f>Données!B237</f>
        <v>Champtauroz</v>
      </c>
      <c r="C237" s="266">
        <f>VPI!R237</f>
        <v>3968.7312987012979</v>
      </c>
      <c r="D237" s="26">
        <f>Données!Z237</f>
        <v>196</v>
      </c>
      <c r="E237" s="86">
        <f t="shared" si="24"/>
        <v>20.248629075006622</v>
      </c>
      <c r="F237" s="140">
        <f t="shared" si="25"/>
        <v>0.40525274238109898</v>
      </c>
      <c r="G237" s="352">
        <f t="shared" si="26"/>
        <v>0</v>
      </c>
      <c r="H237" s="352">
        <f t="shared" si="27"/>
        <v>0</v>
      </c>
      <c r="I237" s="352">
        <f t="shared" si="28"/>
        <v>0</v>
      </c>
      <c r="J237" s="352">
        <f t="shared" si="29"/>
        <v>0</v>
      </c>
      <c r="K237" s="352">
        <f t="shared" si="30"/>
        <v>0</v>
      </c>
      <c r="L237" s="354">
        <f t="shared" si="31"/>
        <v>0</v>
      </c>
      <c r="M237" s="227">
        <f>L237*D237*VPI!Q237</f>
        <v>0</v>
      </c>
    </row>
    <row r="238" spans="1:13" x14ac:dyDescent="0.25">
      <c r="A238" s="127">
        <f>Données!A238</f>
        <v>5813</v>
      </c>
      <c r="B238" s="26" t="str">
        <f>Données!B238</f>
        <v>Chevroux</v>
      </c>
      <c r="C238" s="266">
        <f>VPI!R238</f>
        <v>19281.459294403892</v>
      </c>
      <c r="D238" s="26">
        <f>Données!Z238</f>
        <v>495</v>
      </c>
      <c r="E238" s="86">
        <f t="shared" si="24"/>
        <v>38.952443018997762</v>
      </c>
      <c r="F238" s="140">
        <f t="shared" si="25"/>
        <v>0.77958780801495686</v>
      </c>
      <c r="G238" s="352">
        <f t="shared" si="26"/>
        <v>0</v>
      </c>
      <c r="H238" s="352">
        <f t="shared" si="27"/>
        <v>0</v>
      </c>
      <c r="I238" s="352">
        <f t="shared" si="28"/>
        <v>0</v>
      </c>
      <c r="J238" s="352">
        <f t="shared" si="29"/>
        <v>0</v>
      </c>
      <c r="K238" s="352">
        <f t="shared" si="30"/>
        <v>0</v>
      </c>
      <c r="L238" s="354">
        <f t="shared" si="31"/>
        <v>0</v>
      </c>
      <c r="M238" s="227">
        <f>L238*D238*VPI!Q238</f>
        <v>0</v>
      </c>
    </row>
    <row r="239" spans="1:13" x14ac:dyDescent="0.25">
      <c r="A239" s="127">
        <f>Données!A239</f>
        <v>5816</v>
      </c>
      <c r="B239" s="26" t="str">
        <f>Données!B239</f>
        <v>Corcelles-près-Payerne</v>
      </c>
      <c r="C239" s="266">
        <f>VPI!R239</f>
        <v>73731.873296703299</v>
      </c>
      <c r="D239" s="26">
        <f>Données!Z239</f>
        <v>3004</v>
      </c>
      <c r="E239" s="86">
        <f t="shared" si="24"/>
        <v>24.544565012218143</v>
      </c>
      <c r="F239" s="140">
        <f t="shared" si="25"/>
        <v>0.49123089987509788</v>
      </c>
      <c r="G239" s="352">
        <f t="shared" si="26"/>
        <v>0</v>
      </c>
      <c r="H239" s="352">
        <f t="shared" si="27"/>
        <v>0</v>
      </c>
      <c r="I239" s="352">
        <f t="shared" si="28"/>
        <v>0</v>
      </c>
      <c r="J239" s="352">
        <f t="shared" si="29"/>
        <v>0</v>
      </c>
      <c r="K239" s="352">
        <f t="shared" si="30"/>
        <v>0</v>
      </c>
      <c r="L239" s="354">
        <f t="shared" si="31"/>
        <v>0</v>
      </c>
      <c r="M239" s="227">
        <f>L239*D239*VPI!Q239</f>
        <v>0</v>
      </c>
    </row>
    <row r="240" spans="1:13" x14ac:dyDescent="0.25">
      <c r="A240" s="127">
        <f>Données!A240</f>
        <v>5817</v>
      </c>
      <c r="B240" s="26" t="str">
        <f>Données!B240</f>
        <v>Grandcour</v>
      </c>
      <c r="C240" s="266">
        <f>VPI!R240</f>
        <v>27223.795694444449</v>
      </c>
      <c r="D240" s="26">
        <f>Données!Z240</f>
        <v>983</v>
      </c>
      <c r="E240" s="86">
        <f t="shared" si="24"/>
        <v>27.694603961794964</v>
      </c>
      <c r="F240" s="140">
        <f t="shared" si="25"/>
        <v>0.55427526293763107</v>
      </c>
      <c r="G240" s="352">
        <f t="shared" si="26"/>
        <v>0</v>
      </c>
      <c r="H240" s="352">
        <f t="shared" si="27"/>
        <v>0</v>
      </c>
      <c r="I240" s="352">
        <f t="shared" si="28"/>
        <v>0</v>
      </c>
      <c r="J240" s="352">
        <f t="shared" si="29"/>
        <v>0</v>
      </c>
      <c r="K240" s="352">
        <f t="shared" si="30"/>
        <v>0</v>
      </c>
      <c r="L240" s="354">
        <f t="shared" si="31"/>
        <v>0</v>
      </c>
      <c r="M240" s="227">
        <f>L240*D240*VPI!Q240</f>
        <v>0</v>
      </c>
    </row>
    <row r="241" spans="1:13" x14ac:dyDescent="0.25">
      <c r="A241" s="127">
        <f>Données!A241</f>
        <v>5819</v>
      </c>
      <c r="B241" s="26" t="str">
        <f>Données!B241</f>
        <v>Henniez</v>
      </c>
      <c r="C241" s="266">
        <f>VPI!R241</f>
        <v>14881.811884057974</v>
      </c>
      <c r="D241" s="26">
        <f>Données!Z241</f>
        <v>468</v>
      </c>
      <c r="E241" s="86">
        <f t="shared" si="24"/>
        <v>31.798743342004219</v>
      </c>
      <c r="F241" s="140">
        <f t="shared" si="25"/>
        <v>0.63641483558637946</v>
      </c>
      <c r="G241" s="352">
        <f t="shared" si="26"/>
        <v>0</v>
      </c>
      <c r="H241" s="352">
        <f t="shared" si="27"/>
        <v>0</v>
      </c>
      <c r="I241" s="352">
        <f t="shared" si="28"/>
        <v>0</v>
      </c>
      <c r="J241" s="352">
        <f t="shared" si="29"/>
        <v>0</v>
      </c>
      <c r="K241" s="352">
        <f t="shared" si="30"/>
        <v>0</v>
      </c>
      <c r="L241" s="354">
        <f t="shared" si="31"/>
        <v>0</v>
      </c>
      <c r="M241" s="227">
        <f>L241*D241*VPI!Q241</f>
        <v>0</v>
      </c>
    </row>
    <row r="242" spans="1:13" x14ac:dyDescent="0.25">
      <c r="A242" s="127">
        <f>Données!A242</f>
        <v>5821</v>
      </c>
      <c r="B242" s="26" t="str">
        <f>Données!B242</f>
        <v>Missy</v>
      </c>
      <c r="C242" s="266">
        <f>VPI!R242</f>
        <v>10384.069710144928</v>
      </c>
      <c r="D242" s="26">
        <f>Données!Z242</f>
        <v>384</v>
      </c>
      <c r="E242" s="86">
        <f t="shared" si="24"/>
        <v>27.041848203502415</v>
      </c>
      <c r="F242" s="140">
        <f t="shared" si="25"/>
        <v>0.54121111621573637</v>
      </c>
      <c r="G242" s="352">
        <f t="shared" si="26"/>
        <v>0</v>
      </c>
      <c r="H242" s="352">
        <f t="shared" si="27"/>
        <v>0</v>
      </c>
      <c r="I242" s="352">
        <f t="shared" si="28"/>
        <v>0</v>
      </c>
      <c r="J242" s="352">
        <f t="shared" si="29"/>
        <v>0</v>
      </c>
      <c r="K242" s="352">
        <f t="shared" si="30"/>
        <v>0</v>
      </c>
      <c r="L242" s="354">
        <f t="shared" si="31"/>
        <v>0</v>
      </c>
      <c r="M242" s="227">
        <f>L242*D242*VPI!Q242</f>
        <v>0</v>
      </c>
    </row>
    <row r="243" spans="1:13" x14ac:dyDescent="0.25">
      <c r="A243" s="127">
        <f>Données!A243</f>
        <v>5822</v>
      </c>
      <c r="B243" s="26" t="str">
        <f>Données!B243</f>
        <v>Payerne</v>
      </c>
      <c r="C243" s="266">
        <f>VPI!R243</f>
        <v>250662.19871428571</v>
      </c>
      <c r="D243" s="26">
        <f>Données!Z243</f>
        <v>10802</v>
      </c>
      <c r="E243" s="86">
        <f t="shared" si="24"/>
        <v>23.205165591028116</v>
      </c>
      <c r="F243" s="140">
        <f t="shared" si="25"/>
        <v>0.4644243794647408</v>
      </c>
      <c r="G243" s="352">
        <f t="shared" si="26"/>
        <v>0</v>
      </c>
      <c r="H243" s="352">
        <f t="shared" si="27"/>
        <v>0</v>
      </c>
      <c r="I243" s="352">
        <f t="shared" si="28"/>
        <v>0</v>
      </c>
      <c r="J243" s="352">
        <f t="shared" si="29"/>
        <v>0</v>
      </c>
      <c r="K243" s="352">
        <f t="shared" si="30"/>
        <v>0</v>
      </c>
      <c r="L243" s="354">
        <f t="shared" si="31"/>
        <v>0</v>
      </c>
      <c r="M243" s="227">
        <f>L243*D243*VPI!Q243</f>
        <v>0</v>
      </c>
    </row>
    <row r="244" spans="1:13" x14ac:dyDescent="0.25">
      <c r="A244" s="127">
        <f>Données!A244</f>
        <v>5827</v>
      </c>
      <c r="B244" s="26" t="str">
        <f>Données!B244</f>
        <v>Trey</v>
      </c>
      <c r="C244" s="266">
        <f>VPI!R244</f>
        <v>8694.454487179486</v>
      </c>
      <c r="D244" s="26">
        <f>Données!Z244</f>
        <v>318</v>
      </c>
      <c r="E244" s="86">
        <f t="shared" si="24"/>
        <v>27.341051846476372</v>
      </c>
      <c r="F244" s="140">
        <f t="shared" si="25"/>
        <v>0.54719932886936617</v>
      </c>
      <c r="G244" s="352">
        <f t="shared" si="26"/>
        <v>0</v>
      </c>
      <c r="H244" s="352">
        <f t="shared" si="27"/>
        <v>0</v>
      </c>
      <c r="I244" s="352">
        <f t="shared" si="28"/>
        <v>0</v>
      </c>
      <c r="J244" s="352">
        <f t="shared" si="29"/>
        <v>0</v>
      </c>
      <c r="K244" s="352">
        <f t="shared" si="30"/>
        <v>0</v>
      </c>
      <c r="L244" s="354">
        <f t="shared" si="31"/>
        <v>0</v>
      </c>
      <c r="M244" s="227">
        <f>L244*D244*VPI!Q244</f>
        <v>0</v>
      </c>
    </row>
    <row r="245" spans="1:13" x14ac:dyDescent="0.25">
      <c r="A245" s="127">
        <f>Données!A245</f>
        <v>5828</v>
      </c>
      <c r="B245" s="26" t="str">
        <f>Données!B245</f>
        <v>Treytorrens (Payerne)</v>
      </c>
      <c r="C245" s="266">
        <f>VPI!R245</f>
        <v>2843.8202453987728</v>
      </c>
      <c r="D245" s="26">
        <f>Données!Z245</f>
        <v>109</v>
      </c>
      <c r="E245" s="86">
        <f t="shared" si="24"/>
        <v>26.090093994484153</v>
      </c>
      <c r="F245" s="140">
        <f t="shared" si="25"/>
        <v>0.52216286352422536</v>
      </c>
      <c r="G245" s="352">
        <f t="shared" si="26"/>
        <v>0</v>
      </c>
      <c r="H245" s="352">
        <f t="shared" si="27"/>
        <v>0</v>
      </c>
      <c r="I245" s="352">
        <f t="shared" si="28"/>
        <v>0</v>
      </c>
      <c r="J245" s="352">
        <f t="shared" si="29"/>
        <v>0</v>
      </c>
      <c r="K245" s="352">
        <f t="shared" si="30"/>
        <v>0</v>
      </c>
      <c r="L245" s="354">
        <f t="shared" si="31"/>
        <v>0</v>
      </c>
      <c r="M245" s="227">
        <f>L245*D245*VPI!Q245</f>
        <v>0</v>
      </c>
    </row>
    <row r="246" spans="1:13" x14ac:dyDescent="0.25">
      <c r="A246" s="127">
        <f>Données!A246</f>
        <v>5830</v>
      </c>
      <c r="B246" s="26" t="str">
        <f>Données!B246</f>
        <v>Villarzel</v>
      </c>
      <c r="C246" s="266">
        <f>VPI!R246</f>
        <v>15008.365333333331</v>
      </c>
      <c r="D246" s="26">
        <f>Données!Z246</f>
        <v>524</v>
      </c>
      <c r="E246" s="86">
        <f t="shared" si="24"/>
        <v>28.64191857506361</v>
      </c>
      <c r="F246" s="140">
        <f t="shared" si="25"/>
        <v>0.57323466228771691</v>
      </c>
      <c r="G246" s="352">
        <f t="shared" si="26"/>
        <v>0</v>
      </c>
      <c r="H246" s="352">
        <f t="shared" si="27"/>
        <v>0</v>
      </c>
      <c r="I246" s="352">
        <f t="shared" si="28"/>
        <v>0</v>
      </c>
      <c r="J246" s="352">
        <f t="shared" si="29"/>
        <v>0</v>
      </c>
      <c r="K246" s="352">
        <f t="shared" si="30"/>
        <v>0</v>
      </c>
      <c r="L246" s="354">
        <f t="shared" si="31"/>
        <v>0</v>
      </c>
      <c r="M246" s="227">
        <f>L246*D246*VPI!Q246</f>
        <v>0</v>
      </c>
    </row>
    <row r="247" spans="1:13" x14ac:dyDescent="0.25">
      <c r="A247" s="127">
        <f>Données!A247</f>
        <v>5831</v>
      </c>
      <c r="B247" s="26" t="str">
        <f>Données!B247</f>
        <v>Valbroye</v>
      </c>
      <c r="C247" s="266">
        <f>VPI!R247</f>
        <v>87116.396643026019</v>
      </c>
      <c r="D247" s="26">
        <f>Données!Z247</f>
        <v>3435</v>
      </c>
      <c r="E247" s="86">
        <f t="shared" si="24"/>
        <v>25.361396402627662</v>
      </c>
      <c r="F247" s="140">
        <f t="shared" si="25"/>
        <v>0.5075788293966581</v>
      </c>
      <c r="G247" s="352">
        <f t="shared" si="26"/>
        <v>0</v>
      </c>
      <c r="H247" s="352">
        <f t="shared" si="27"/>
        <v>0</v>
      </c>
      <c r="I247" s="352">
        <f t="shared" si="28"/>
        <v>0</v>
      </c>
      <c r="J247" s="352">
        <f t="shared" si="29"/>
        <v>0</v>
      </c>
      <c r="K247" s="352">
        <f t="shared" si="30"/>
        <v>0</v>
      </c>
      <c r="L247" s="354">
        <f t="shared" si="31"/>
        <v>0</v>
      </c>
      <c r="M247" s="227">
        <f>L247*D247*VPI!Q247</f>
        <v>0</v>
      </c>
    </row>
    <row r="248" spans="1:13" x14ac:dyDescent="0.25">
      <c r="A248" s="127">
        <f>Données!A248</f>
        <v>5841</v>
      </c>
      <c r="B248" s="26" t="str">
        <f>Données!B248</f>
        <v>Château-d'Oex</v>
      </c>
      <c r="C248" s="266">
        <f>VPI!R248</f>
        <v>123941.3219631902</v>
      </c>
      <c r="D248" s="26">
        <f>Données!Z248</f>
        <v>3656</v>
      </c>
      <c r="E248" s="86">
        <f t="shared" si="24"/>
        <v>33.900799224067342</v>
      </c>
      <c r="F248" s="140">
        <f t="shared" si="25"/>
        <v>0.67848503736097154</v>
      </c>
      <c r="G248" s="352">
        <f t="shared" si="26"/>
        <v>0</v>
      </c>
      <c r="H248" s="352">
        <f t="shared" si="27"/>
        <v>0</v>
      </c>
      <c r="I248" s="352">
        <f t="shared" si="28"/>
        <v>0</v>
      </c>
      <c r="J248" s="352">
        <f t="shared" si="29"/>
        <v>0</v>
      </c>
      <c r="K248" s="352">
        <f t="shared" si="30"/>
        <v>0</v>
      </c>
      <c r="L248" s="354">
        <f t="shared" si="31"/>
        <v>0</v>
      </c>
      <c r="M248" s="227">
        <f>L248*D248*VPI!Q248</f>
        <v>0</v>
      </c>
    </row>
    <row r="249" spans="1:13" x14ac:dyDescent="0.25">
      <c r="A249" s="127">
        <f>Données!A249</f>
        <v>5842</v>
      </c>
      <c r="B249" s="26" t="str">
        <f>Données!B249</f>
        <v>Rossinière</v>
      </c>
      <c r="C249" s="266">
        <f>VPI!R249</f>
        <v>15883.310411522634</v>
      </c>
      <c r="D249" s="26">
        <f>Données!Z249</f>
        <v>499</v>
      </c>
      <c r="E249" s="86">
        <f t="shared" si="24"/>
        <v>31.830281385816903</v>
      </c>
      <c r="F249" s="140">
        <f t="shared" si="25"/>
        <v>0.63704603282432981</v>
      </c>
      <c r="G249" s="352">
        <f t="shared" si="26"/>
        <v>0</v>
      </c>
      <c r="H249" s="352">
        <f t="shared" si="27"/>
        <v>0</v>
      </c>
      <c r="I249" s="352">
        <f t="shared" si="28"/>
        <v>0</v>
      </c>
      <c r="J249" s="352">
        <f t="shared" si="29"/>
        <v>0</v>
      </c>
      <c r="K249" s="352">
        <f t="shared" si="30"/>
        <v>0</v>
      </c>
      <c r="L249" s="354">
        <f t="shared" si="31"/>
        <v>0</v>
      </c>
      <c r="M249" s="227">
        <f>L249*D249*VPI!Q249</f>
        <v>0</v>
      </c>
    </row>
    <row r="250" spans="1:13" x14ac:dyDescent="0.25">
      <c r="A250" s="127">
        <f>Données!A250</f>
        <v>5843</v>
      </c>
      <c r="B250" s="26" t="str">
        <f>Données!B250</f>
        <v>Rougemont</v>
      </c>
      <c r="C250" s="266">
        <f>VPI!R250</f>
        <v>87174.419831223626</v>
      </c>
      <c r="D250" s="26">
        <f>Données!Z250</f>
        <v>812</v>
      </c>
      <c r="E250" s="86">
        <f t="shared" si="24"/>
        <v>107.3576598906695</v>
      </c>
      <c r="F250" s="140">
        <f t="shared" si="25"/>
        <v>2.1486386028974604</v>
      </c>
      <c r="G250" s="352">
        <f t="shared" si="26"/>
        <v>57.39222608253786</v>
      </c>
      <c r="H250" s="352">
        <f t="shared" si="27"/>
        <v>47.399139320911537</v>
      </c>
      <c r="I250" s="352">
        <f t="shared" si="28"/>
        <v>32.409509178472049</v>
      </c>
      <c r="J250" s="352">
        <f t="shared" si="29"/>
        <v>7.4267922744062247</v>
      </c>
      <c r="K250" s="352">
        <f t="shared" si="30"/>
        <v>0</v>
      </c>
      <c r="L250" s="354">
        <f t="shared" si="31"/>
        <v>20.201989293886552</v>
      </c>
      <c r="M250" s="227">
        <f>L250*D250*VPI!Q250</f>
        <v>1295917.2092242346</v>
      </c>
    </row>
    <row r="251" spans="1:13" x14ac:dyDescent="0.25">
      <c r="A251" s="127">
        <f>Données!A251</f>
        <v>5851</v>
      </c>
      <c r="B251" s="26" t="str">
        <f>Données!B251</f>
        <v>Allaman</v>
      </c>
      <c r="C251" s="266">
        <f>VPI!R251</f>
        <v>27728.701333333334</v>
      </c>
      <c r="D251" s="26">
        <f>Données!Z251</f>
        <v>430</v>
      </c>
      <c r="E251" s="86">
        <f t="shared" si="24"/>
        <v>64.485351937984504</v>
      </c>
      <c r="F251" s="140">
        <f t="shared" si="25"/>
        <v>1.2905992607931649</v>
      </c>
      <c r="G251" s="352">
        <f t="shared" si="26"/>
        <v>14.519918129852869</v>
      </c>
      <c r="H251" s="352">
        <f t="shared" si="27"/>
        <v>4.5268313682265457</v>
      </c>
      <c r="I251" s="352">
        <f t="shared" si="28"/>
        <v>0</v>
      </c>
      <c r="J251" s="352">
        <f t="shared" si="29"/>
        <v>0</v>
      </c>
      <c r="K251" s="352">
        <f t="shared" si="30"/>
        <v>0</v>
      </c>
      <c r="L251" s="354">
        <f t="shared" si="31"/>
        <v>3.3566667627932283</v>
      </c>
      <c r="M251" s="227">
        <f>L251*D251*VPI!Q251</f>
        <v>93818.836020070739</v>
      </c>
    </row>
    <row r="252" spans="1:13" x14ac:dyDescent="0.25">
      <c r="A252" s="127">
        <f>Données!A252</f>
        <v>5852</v>
      </c>
      <c r="B252" s="26" t="str">
        <f>Données!B252</f>
        <v>Bursinel</v>
      </c>
      <c r="C252" s="266">
        <f>VPI!R252</f>
        <v>42943.776182795707</v>
      </c>
      <c r="D252" s="26">
        <f>Données!Z252</f>
        <v>530</v>
      </c>
      <c r="E252" s="86">
        <f t="shared" si="24"/>
        <v>81.025992797727753</v>
      </c>
      <c r="F252" s="140">
        <f t="shared" si="25"/>
        <v>1.6216409349885632</v>
      </c>
      <c r="G252" s="352">
        <f t="shared" si="26"/>
        <v>31.060558989596117</v>
      </c>
      <c r="H252" s="352">
        <f t="shared" si="27"/>
        <v>21.067472227969795</v>
      </c>
      <c r="I252" s="352">
        <f t="shared" si="28"/>
        <v>6.0778420855303068</v>
      </c>
      <c r="J252" s="352">
        <f t="shared" si="29"/>
        <v>0</v>
      </c>
      <c r="K252" s="352">
        <f t="shared" si="30"/>
        <v>0</v>
      </c>
      <c r="L252" s="354">
        <f t="shared" si="31"/>
        <v>8.9266432292692333</v>
      </c>
      <c r="M252" s="227">
        <f>L252*D252*VPI!Q252</f>
        <v>293329.49651378702</v>
      </c>
    </row>
    <row r="253" spans="1:13" x14ac:dyDescent="0.25">
      <c r="A253" s="127">
        <f>Données!A253</f>
        <v>5853</v>
      </c>
      <c r="B253" s="26" t="str">
        <f>Données!B253</f>
        <v>Bursins</v>
      </c>
      <c r="C253" s="266">
        <f>VPI!R253</f>
        <v>44996.737042253524</v>
      </c>
      <c r="D253" s="26">
        <f>Données!Z253</f>
        <v>825</v>
      </c>
      <c r="E253" s="86">
        <f t="shared" si="24"/>
        <v>54.541499445155786</v>
      </c>
      <c r="F253" s="140">
        <f t="shared" si="25"/>
        <v>1.0915846273765248</v>
      </c>
      <c r="G253" s="352">
        <f t="shared" si="26"/>
        <v>4.5760656370241506</v>
      </c>
      <c r="H253" s="352">
        <f t="shared" si="27"/>
        <v>0</v>
      </c>
      <c r="I253" s="352">
        <f t="shared" si="28"/>
        <v>0</v>
      </c>
      <c r="J253" s="352">
        <f t="shared" si="29"/>
        <v>0</v>
      </c>
      <c r="K253" s="352">
        <f t="shared" si="30"/>
        <v>0</v>
      </c>
      <c r="L253" s="354">
        <f t="shared" si="31"/>
        <v>0.91521312740483018</v>
      </c>
      <c r="M253" s="227">
        <f>L253*D253*VPI!Q253</f>
        <v>53608.608937737925</v>
      </c>
    </row>
    <row r="254" spans="1:13" x14ac:dyDescent="0.25">
      <c r="A254" s="127">
        <f>Données!A254</f>
        <v>5854</v>
      </c>
      <c r="B254" s="26" t="str">
        <f>Données!B254</f>
        <v>Burtigny</v>
      </c>
      <c r="C254" s="266">
        <f>VPI!R254</f>
        <v>16635.489777777777</v>
      </c>
      <c r="D254" s="26">
        <f>Données!Z254</f>
        <v>401</v>
      </c>
      <c r="E254" s="86">
        <f t="shared" si="24"/>
        <v>41.485011914657797</v>
      </c>
      <c r="F254" s="140">
        <f t="shared" si="25"/>
        <v>0.83027422665759598</v>
      </c>
      <c r="G254" s="352">
        <f t="shared" si="26"/>
        <v>0</v>
      </c>
      <c r="H254" s="352">
        <f t="shared" si="27"/>
        <v>0</v>
      </c>
      <c r="I254" s="352">
        <f t="shared" si="28"/>
        <v>0</v>
      </c>
      <c r="J254" s="352">
        <f t="shared" si="29"/>
        <v>0</v>
      </c>
      <c r="K254" s="352">
        <f t="shared" si="30"/>
        <v>0</v>
      </c>
      <c r="L254" s="354">
        <f t="shared" si="31"/>
        <v>0</v>
      </c>
      <c r="M254" s="227">
        <f>L254*D254*VPI!Q254</f>
        <v>0</v>
      </c>
    </row>
    <row r="255" spans="1:13" x14ac:dyDescent="0.25">
      <c r="A255" s="127">
        <f>Données!A255</f>
        <v>5855</v>
      </c>
      <c r="B255" s="26" t="str">
        <f>Données!B255</f>
        <v>Dully</v>
      </c>
      <c r="C255" s="266">
        <f>VPI!R255</f>
        <v>98996.558301886791</v>
      </c>
      <c r="D255" s="26">
        <f>Données!Z255</f>
        <v>623</v>
      </c>
      <c r="E255" s="86">
        <f t="shared" si="24"/>
        <v>158.90298282806867</v>
      </c>
      <c r="F255" s="140">
        <f t="shared" si="25"/>
        <v>3.1802582448950534</v>
      </c>
      <c r="G255" s="352">
        <f t="shared" si="26"/>
        <v>108.93754901993704</v>
      </c>
      <c r="H255" s="352">
        <f t="shared" si="27"/>
        <v>98.944462258310722</v>
      </c>
      <c r="I255" s="352">
        <f t="shared" si="28"/>
        <v>83.954832115871227</v>
      </c>
      <c r="J255" s="352">
        <f t="shared" si="29"/>
        <v>58.972115211805402</v>
      </c>
      <c r="K255" s="352">
        <f t="shared" si="30"/>
        <v>9.006681403673781</v>
      </c>
      <c r="L255" s="354">
        <f t="shared" si="31"/>
        <v>46.875318902953524</v>
      </c>
      <c r="M255" s="227">
        <f>L255*D255*VPI!Q255</f>
        <v>1547776.1548566222</v>
      </c>
    </row>
    <row r="256" spans="1:13" x14ac:dyDescent="0.25">
      <c r="A256" s="127">
        <f>Données!A256</f>
        <v>5856</v>
      </c>
      <c r="B256" s="26" t="str">
        <f>Données!B256</f>
        <v>Essertines-sur-Rolle</v>
      </c>
      <c r="C256" s="266">
        <f>VPI!R256</f>
        <v>36628.421873915555</v>
      </c>
      <c r="D256" s="26">
        <f>Données!Z256</f>
        <v>789</v>
      </c>
      <c r="E256" s="86">
        <f t="shared" si="24"/>
        <v>46.423855353505139</v>
      </c>
      <c r="F256" s="140">
        <f t="shared" si="25"/>
        <v>0.92911942947946302</v>
      </c>
      <c r="G256" s="352">
        <f t="shared" si="26"/>
        <v>0</v>
      </c>
      <c r="H256" s="352">
        <f t="shared" si="27"/>
        <v>0</v>
      </c>
      <c r="I256" s="352">
        <f t="shared" si="28"/>
        <v>0</v>
      </c>
      <c r="J256" s="352">
        <f t="shared" si="29"/>
        <v>0</v>
      </c>
      <c r="K256" s="352">
        <f t="shared" si="30"/>
        <v>0</v>
      </c>
      <c r="L256" s="354">
        <f t="shared" si="31"/>
        <v>0</v>
      </c>
      <c r="M256" s="227">
        <f>L256*D256*VPI!Q256</f>
        <v>0</v>
      </c>
    </row>
    <row r="257" spans="1:13" x14ac:dyDescent="0.25">
      <c r="A257" s="127">
        <f>Données!A257</f>
        <v>5857</v>
      </c>
      <c r="B257" s="26" t="str">
        <f>Données!B257</f>
        <v>Gilly</v>
      </c>
      <c r="C257" s="266">
        <f>VPI!R257</f>
        <v>96678.753643410862</v>
      </c>
      <c r="D257" s="26">
        <f>Données!Z257</f>
        <v>1441</v>
      </c>
      <c r="E257" s="86">
        <f t="shared" si="24"/>
        <v>67.091432091194207</v>
      </c>
      <c r="F257" s="140">
        <f t="shared" si="25"/>
        <v>1.3427569216916395</v>
      </c>
      <c r="G257" s="352">
        <f t="shared" si="26"/>
        <v>17.125998283062572</v>
      </c>
      <c r="H257" s="352">
        <f t="shared" si="27"/>
        <v>7.1329115214362488</v>
      </c>
      <c r="I257" s="352">
        <f t="shared" si="28"/>
        <v>0</v>
      </c>
      <c r="J257" s="352">
        <f t="shared" si="29"/>
        <v>0</v>
      </c>
      <c r="K257" s="352">
        <f t="shared" si="30"/>
        <v>0</v>
      </c>
      <c r="L257" s="354">
        <f t="shared" si="31"/>
        <v>4.1384908087561394</v>
      </c>
      <c r="M257" s="227">
        <f>L257*D257*VPI!Q257</f>
        <v>384649.95897443499</v>
      </c>
    </row>
    <row r="258" spans="1:13" x14ac:dyDescent="0.25">
      <c r="A258" s="127">
        <f>Données!A258</f>
        <v>5858</v>
      </c>
      <c r="B258" s="26" t="str">
        <f>Données!B258</f>
        <v>Luins</v>
      </c>
      <c r="C258" s="266">
        <f>VPI!R258</f>
        <v>41203.097378917373</v>
      </c>
      <c r="D258" s="26">
        <f>Données!Z258</f>
        <v>637</v>
      </c>
      <c r="E258" s="86">
        <f t="shared" si="24"/>
        <v>64.683041411173264</v>
      </c>
      <c r="F258" s="140">
        <f t="shared" si="25"/>
        <v>1.2945557854967809</v>
      </c>
      <c r="G258" s="352">
        <f t="shared" si="26"/>
        <v>14.717607603041628</v>
      </c>
      <c r="H258" s="352">
        <f t="shared" si="27"/>
        <v>4.7245208414153055</v>
      </c>
      <c r="I258" s="352">
        <f t="shared" si="28"/>
        <v>0</v>
      </c>
      <c r="J258" s="352">
        <f t="shared" si="29"/>
        <v>0</v>
      </c>
      <c r="K258" s="352">
        <f t="shared" si="30"/>
        <v>0</v>
      </c>
      <c r="L258" s="354">
        <f t="shared" si="31"/>
        <v>3.4159736047498561</v>
      </c>
      <c r="M258" s="227">
        <f>L258*D258*VPI!Q258</f>
        <v>127294.54839420102</v>
      </c>
    </row>
    <row r="259" spans="1:13" x14ac:dyDescent="0.25">
      <c r="A259" s="127">
        <f>Données!A259</f>
        <v>5859</v>
      </c>
      <c r="B259" s="26" t="str">
        <f>Données!B259</f>
        <v>Mont-sur-Rolle</v>
      </c>
      <c r="C259" s="266">
        <f>VPI!R259</f>
        <v>175152.20519685047</v>
      </c>
      <c r="D259" s="26">
        <f>Données!Z259</f>
        <v>2749</v>
      </c>
      <c r="E259" s="86">
        <f t="shared" si="24"/>
        <v>63.714880027955793</v>
      </c>
      <c r="F259" s="140">
        <f t="shared" si="25"/>
        <v>1.2751791623109354</v>
      </c>
      <c r="G259" s="352">
        <f t="shared" si="26"/>
        <v>13.749446219824158</v>
      </c>
      <c r="H259" s="352">
        <f t="shared" si="27"/>
        <v>3.756359458197835</v>
      </c>
      <c r="I259" s="352">
        <f t="shared" si="28"/>
        <v>0</v>
      </c>
      <c r="J259" s="352">
        <f t="shared" si="29"/>
        <v>0</v>
      </c>
      <c r="K259" s="352">
        <f t="shared" si="30"/>
        <v>0</v>
      </c>
      <c r="L259" s="354">
        <f t="shared" si="31"/>
        <v>3.1255251897846152</v>
      </c>
      <c r="M259" s="227">
        <f>L259*D259*VPI!Q259</f>
        <v>545596.3654165871</v>
      </c>
    </row>
    <row r="260" spans="1:13" x14ac:dyDescent="0.25">
      <c r="A260" s="127">
        <f>Données!A260</f>
        <v>5860</v>
      </c>
      <c r="B260" s="26" t="str">
        <f>Données!B260</f>
        <v>Perroy</v>
      </c>
      <c r="C260" s="266">
        <f>VPI!R260</f>
        <v>114833.15061143985</v>
      </c>
      <c r="D260" s="26">
        <f>Données!Z260</f>
        <v>1588</v>
      </c>
      <c r="E260" s="86">
        <f t="shared" si="24"/>
        <v>72.31306713566741</v>
      </c>
      <c r="F260" s="140">
        <f t="shared" si="25"/>
        <v>1.4472618693425374</v>
      </c>
      <c r="G260" s="352">
        <f t="shared" si="26"/>
        <v>22.347633327535775</v>
      </c>
      <c r="H260" s="352">
        <f t="shared" si="27"/>
        <v>12.354546565909452</v>
      </c>
      <c r="I260" s="352">
        <f t="shared" si="28"/>
        <v>0</v>
      </c>
      <c r="J260" s="352">
        <f t="shared" si="29"/>
        <v>0</v>
      </c>
      <c r="K260" s="352">
        <f t="shared" si="30"/>
        <v>0</v>
      </c>
      <c r="L260" s="354">
        <f t="shared" si="31"/>
        <v>5.7049813220981003</v>
      </c>
      <c r="M260" s="227">
        <f>L260*D260*VPI!Q260</f>
        <v>529981.35486026923</v>
      </c>
    </row>
    <row r="261" spans="1:13" x14ac:dyDescent="0.25">
      <c r="A261" s="127">
        <f>Données!A261</f>
        <v>5861</v>
      </c>
      <c r="B261" s="26" t="str">
        <f>Données!B261</f>
        <v>Rolle</v>
      </c>
      <c r="C261" s="266">
        <f>VPI!R261</f>
        <v>1001631.7391596638</v>
      </c>
      <c r="D261" s="26">
        <f>Données!Z261</f>
        <v>6537</v>
      </c>
      <c r="E261" s="86">
        <f t="shared" si="24"/>
        <v>153.22498686854271</v>
      </c>
      <c r="F261" s="140">
        <f t="shared" si="25"/>
        <v>3.0666197647143432</v>
      </c>
      <c r="G261" s="352">
        <f t="shared" si="26"/>
        <v>103.25955306041108</v>
      </c>
      <c r="H261" s="352">
        <f t="shared" si="27"/>
        <v>93.266466298784763</v>
      </c>
      <c r="I261" s="352">
        <f t="shared" si="28"/>
        <v>78.276836156345269</v>
      </c>
      <c r="J261" s="352">
        <f t="shared" si="29"/>
        <v>53.294119252279444</v>
      </c>
      <c r="K261" s="352">
        <f t="shared" si="30"/>
        <v>3.3286854441478226</v>
      </c>
      <c r="L261" s="354">
        <f t="shared" si="31"/>
        <v>43.468521327237944</v>
      </c>
      <c r="M261" s="227">
        <f>L261*D261*VPI!Q261</f>
        <v>16907146.573011186</v>
      </c>
    </row>
    <row r="262" spans="1:13" x14ac:dyDescent="0.25">
      <c r="A262" s="127">
        <f>Données!A262</f>
        <v>5862</v>
      </c>
      <c r="B262" s="26" t="str">
        <f>Données!B262</f>
        <v>Tartegnin</v>
      </c>
      <c r="C262" s="266">
        <f>VPI!R262</f>
        <v>12378.270379746835</v>
      </c>
      <c r="D262" s="26">
        <f>Données!Z262</f>
        <v>238</v>
      </c>
      <c r="E262" s="86">
        <f t="shared" si="24"/>
        <v>52.009539410700988</v>
      </c>
      <c r="F262" s="140">
        <f t="shared" si="25"/>
        <v>1.0409103943822196</v>
      </c>
      <c r="G262" s="352">
        <f t="shared" si="26"/>
        <v>2.0441056025693527</v>
      </c>
      <c r="H262" s="352">
        <f t="shared" si="27"/>
        <v>0</v>
      </c>
      <c r="I262" s="352">
        <f t="shared" si="28"/>
        <v>0</v>
      </c>
      <c r="J262" s="352">
        <f t="shared" si="29"/>
        <v>0</v>
      </c>
      <c r="K262" s="352">
        <f t="shared" si="30"/>
        <v>0</v>
      </c>
      <c r="L262" s="354">
        <f t="shared" si="31"/>
        <v>0.40882112051387054</v>
      </c>
      <c r="M262" s="227">
        <f>L262*D262*VPI!Q262</f>
        <v>7686.6547079017937</v>
      </c>
    </row>
    <row r="263" spans="1:13" x14ac:dyDescent="0.25">
      <c r="A263" s="127">
        <f>Données!A263</f>
        <v>5863</v>
      </c>
      <c r="B263" s="26" t="str">
        <f>Données!B263</f>
        <v>Vinzel</v>
      </c>
      <c r="C263" s="266">
        <f>VPI!R263</f>
        <v>20119.523999999998</v>
      </c>
      <c r="D263" s="26">
        <f>Données!Z263</f>
        <v>387</v>
      </c>
      <c r="E263" s="86">
        <f t="shared" ref="E263:E305" si="32">C263/D263</f>
        <v>51.988434108527123</v>
      </c>
      <c r="F263" s="140">
        <f t="shared" ref="F263:F305" si="33">E263/$E$306</f>
        <v>1.0404879963248963</v>
      </c>
      <c r="G263" s="352">
        <f t="shared" ref="G263:G305" si="34">IF(E263-$G$3&lt;0,0,E263-$G$3)</f>
        <v>2.0230003003954877</v>
      </c>
      <c r="H263" s="352">
        <f t="shared" ref="H263:H305" si="35">IF(E263-$H$3&lt;0,0,E263-$H$3)</f>
        <v>0</v>
      </c>
      <c r="I263" s="352">
        <f t="shared" ref="I263:I305" si="36">IF(E263-$I$3&lt;0,0,E263-$I$3)</f>
        <v>0</v>
      </c>
      <c r="J263" s="352">
        <f t="shared" ref="J263:J305" si="37">IF(E263-$J$3&lt;0,0,E263-$J$3)</f>
        <v>0</v>
      </c>
      <c r="K263" s="352">
        <f t="shared" ref="K263:K305" si="38">IF(E263-$K$3&lt;0,0,E263-$K$3)</f>
        <v>0</v>
      </c>
      <c r="L263" s="354">
        <f t="shared" ref="L263:L305" si="39">(G263-H263)*$G$4+(H263-I263)*$H$4+(I263-J263)*$I$4+(J263-K263)*$J$4+(K263*$K$4)</f>
        <v>0.40460006007909755</v>
      </c>
      <c r="M263" s="227">
        <f>L263*D263*VPI!Q263</f>
        <v>10177.714511289698</v>
      </c>
    </row>
    <row r="264" spans="1:13" x14ac:dyDescent="0.25">
      <c r="A264" s="127">
        <f>Données!A264</f>
        <v>5871</v>
      </c>
      <c r="B264" s="26" t="str">
        <f>Données!B264</f>
        <v>L'Abbaye</v>
      </c>
      <c r="C264" s="266">
        <f>VPI!R264</f>
        <v>50137.027069032512</v>
      </c>
      <c r="D264" s="26">
        <f>Données!Z264</f>
        <v>1538</v>
      </c>
      <c r="E264" s="86">
        <f t="shared" si="32"/>
        <v>32.598847249045846</v>
      </c>
      <c r="F264" s="140">
        <f t="shared" si="33"/>
        <v>0.6524279839984205</v>
      </c>
      <c r="G264" s="352">
        <f t="shared" si="34"/>
        <v>0</v>
      </c>
      <c r="H264" s="352">
        <f t="shared" si="35"/>
        <v>0</v>
      </c>
      <c r="I264" s="352">
        <f t="shared" si="36"/>
        <v>0</v>
      </c>
      <c r="J264" s="352">
        <f t="shared" si="37"/>
        <v>0</v>
      </c>
      <c r="K264" s="352">
        <f t="shared" si="38"/>
        <v>0</v>
      </c>
      <c r="L264" s="354">
        <f t="shared" si="39"/>
        <v>0</v>
      </c>
      <c r="M264" s="227">
        <f>L264*D264*VPI!Q264</f>
        <v>0</v>
      </c>
    </row>
    <row r="265" spans="1:13" x14ac:dyDescent="0.25">
      <c r="A265" s="127">
        <f>Données!A265</f>
        <v>5872</v>
      </c>
      <c r="B265" s="26" t="str">
        <f>Données!B265</f>
        <v>Le Chenit</v>
      </c>
      <c r="C265" s="266">
        <f>VPI!R265</f>
        <v>359580.06573194644</v>
      </c>
      <c r="D265" s="26">
        <f>Données!Z265</f>
        <v>4760</v>
      </c>
      <c r="E265" s="86">
        <f t="shared" si="32"/>
        <v>75.542030615955127</v>
      </c>
      <c r="F265" s="140">
        <f t="shared" si="33"/>
        <v>1.511885815022405</v>
      </c>
      <c r="G265" s="352">
        <f t="shared" si="34"/>
        <v>25.576596807823492</v>
      </c>
      <c r="H265" s="352">
        <f t="shared" si="35"/>
        <v>15.583510046197169</v>
      </c>
      <c r="I265" s="352">
        <f t="shared" si="36"/>
        <v>0.5938799037576814</v>
      </c>
      <c r="J265" s="352">
        <f t="shared" si="37"/>
        <v>0</v>
      </c>
      <c r="K265" s="352">
        <f t="shared" si="38"/>
        <v>0</v>
      </c>
      <c r="L265" s="354">
        <f t="shared" si="39"/>
        <v>6.7330583565601829</v>
      </c>
      <c r="M265" s="227">
        <f>L265*D265*VPI!Q265</f>
        <v>2125833.9013634315</v>
      </c>
    </row>
    <row r="266" spans="1:13" x14ac:dyDescent="0.25">
      <c r="A266" s="127">
        <f>Données!A266</f>
        <v>5873</v>
      </c>
      <c r="B266" s="26" t="str">
        <f>Données!B266</f>
        <v>Le Lieu</v>
      </c>
      <c r="C266" s="266">
        <f>VPI!R266</f>
        <v>31550.524000000001</v>
      </c>
      <c r="D266" s="26">
        <f>Données!Z266</f>
        <v>925</v>
      </c>
      <c r="E266" s="86">
        <f t="shared" si="32"/>
        <v>34.108674594594596</v>
      </c>
      <c r="F266" s="140">
        <f t="shared" si="33"/>
        <v>0.68264542094386005</v>
      </c>
      <c r="G266" s="352">
        <f t="shared" si="34"/>
        <v>0</v>
      </c>
      <c r="H266" s="352">
        <f t="shared" si="35"/>
        <v>0</v>
      </c>
      <c r="I266" s="352">
        <f t="shared" si="36"/>
        <v>0</v>
      </c>
      <c r="J266" s="352">
        <f t="shared" si="37"/>
        <v>0</v>
      </c>
      <c r="K266" s="352">
        <f t="shared" si="38"/>
        <v>0</v>
      </c>
      <c r="L266" s="354">
        <f t="shared" si="39"/>
        <v>0</v>
      </c>
      <c r="M266" s="227">
        <f>L266*D266*VPI!Q266</f>
        <v>0</v>
      </c>
    </row>
    <row r="267" spans="1:13" x14ac:dyDescent="0.25">
      <c r="A267" s="127">
        <f>Données!A267</f>
        <v>5882</v>
      </c>
      <c r="B267" s="26" t="str">
        <f>Données!B267</f>
        <v>Chardonne</v>
      </c>
      <c r="C267" s="266">
        <f>VPI!R267</f>
        <v>202050.46544117649</v>
      </c>
      <c r="D267" s="26">
        <f>Données!Z267</f>
        <v>3340</v>
      </c>
      <c r="E267" s="86">
        <f t="shared" si="32"/>
        <v>60.494151329693558</v>
      </c>
      <c r="F267" s="140">
        <f t="shared" si="33"/>
        <v>1.2107200262083671</v>
      </c>
      <c r="G267" s="352">
        <f t="shared" si="34"/>
        <v>10.528717521561923</v>
      </c>
      <c r="H267" s="352">
        <f t="shared" si="35"/>
        <v>0.53563075993560005</v>
      </c>
      <c r="I267" s="352">
        <f t="shared" si="36"/>
        <v>0</v>
      </c>
      <c r="J267" s="352">
        <f t="shared" si="37"/>
        <v>0</v>
      </c>
      <c r="K267" s="352">
        <f t="shared" si="38"/>
        <v>0</v>
      </c>
      <c r="L267" s="354">
        <f t="shared" si="39"/>
        <v>2.1593065803059446</v>
      </c>
      <c r="M267" s="227">
        <f>L267*D267*VPI!Q267</f>
        <v>490421.7105190861</v>
      </c>
    </row>
    <row r="268" spans="1:13" x14ac:dyDescent="0.25">
      <c r="A268" s="127">
        <f>Données!A268</f>
        <v>5883</v>
      </c>
      <c r="B268" s="26" t="str">
        <f>Données!B268</f>
        <v>Corseaux</v>
      </c>
      <c r="C268" s="266">
        <f>VPI!R268</f>
        <v>187748.47585185184</v>
      </c>
      <c r="D268" s="26">
        <f>Données!Z268</f>
        <v>2322</v>
      </c>
      <c r="E268" s="86">
        <f t="shared" si="32"/>
        <v>80.856363415956864</v>
      </c>
      <c r="F268" s="140">
        <f t="shared" si="33"/>
        <v>1.6182460003539063</v>
      </c>
      <c r="G268" s="352">
        <f t="shared" si="34"/>
        <v>30.890929607825228</v>
      </c>
      <c r="H268" s="352">
        <f t="shared" si="35"/>
        <v>20.897842846198905</v>
      </c>
      <c r="I268" s="352">
        <f t="shared" si="36"/>
        <v>5.9082127037594176</v>
      </c>
      <c r="J268" s="352">
        <f t="shared" si="37"/>
        <v>0</v>
      </c>
      <c r="K268" s="352">
        <f t="shared" si="38"/>
        <v>0</v>
      </c>
      <c r="L268" s="354">
        <f t="shared" si="39"/>
        <v>8.858791476560878</v>
      </c>
      <c r="M268" s="227">
        <f>L268*D268*VPI!Q268</f>
        <v>1388482.6820787692</v>
      </c>
    </row>
    <row r="269" spans="1:13" x14ac:dyDescent="0.25">
      <c r="A269" s="127">
        <f>Données!A269</f>
        <v>5884</v>
      </c>
      <c r="B269" s="26" t="str">
        <f>Données!B269</f>
        <v>Corsier-sur-Vevey</v>
      </c>
      <c r="C269" s="266">
        <f>VPI!R269</f>
        <v>160309.28653746771</v>
      </c>
      <c r="D269" s="26">
        <f>Données!Z269</f>
        <v>3389</v>
      </c>
      <c r="E269" s="86">
        <f t="shared" si="32"/>
        <v>47.302828721589762</v>
      </c>
      <c r="F269" s="140">
        <f t="shared" si="33"/>
        <v>0.94671105835353431</v>
      </c>
      <c r="G269" s="352">
        <f t="shared" si="34"/>
        <v>0</v>
      </c>
      <c r="H269" s="352">
        <f t="shared" si="35"/>
        <v>0</v>
      </c>
      <c r="I269" s="352">
        <f t="shared" si="36"/>
        <v>0</v>
      </c>
      <c r="J269" s="352">
        <f t="shared" si="37"/>
        <v>0</v>
      </c>
      <c r="K269" s="352">
        <f t="shared" si="38"/>
        <v>0</v>
      </c>
      <c r="L269" s="354">
        <f t="shared" si="39"/>
        <v>0</v>
      </c>
      <c r="M269" s="227">
        <f>L269*D269*VPI!Q269</f>
        <v>0</v>
      </c>
    </row>
    <row r="270" spans="1:13" x14ac:dyDescent="0.25">
      <c r="A270" s="127">
        <f>Données!A270</f>
        <v>5885</v>
      </c>
      <c r="B270" s="26" t="str">
        <f>Données!B270</f>
        <v>Jongny</v>
      </c>
      <c r="C270" s="266">
        <f>VPI!R270</f>
        <v>105153.24390887292</v>
      </c>
      <c r="D270" s="26">
        <f>Données!Z270</f>
        <v>1921</v>
      </c>
      <c r="E270" s="86">
        <f t="shared" si="32"/>
        <v>54.738804741734988</v>
      </c>
      <c r="F270" s="140">
        <f t="shared" si="33"/>
        <v>1.0955334632324658</v>
      </c>
      <c r="G270" s="352">
        <f t="shared" si="34"/>
        <v>4.7733709336033527</v>
      </c>
      <c r="H270" s="352">
        <f t="shared" si="35"/>
        <v>0</v>
      </c>
      <c r="I270" s="352">
        <f t="shared" si="36"/>
        <v>0</v>
      </c>
      <c r="J270" s="352">
        <f t="shared" si="37"/>
        <v>0</v>
      </c>
      <c r="K270" s="352">
        <f t="shared" si="38"/>
        <v>0</v>
      </c>
      <c r="L270" s="354">
        <f t="shared" si="39"/>
        <v>0.95467418672067061</v>
      </c>
      <c r="M270" s="227">
        <f>L270*D270*VPI!Q270</f>
        <v>127458.07333198337</v>
      </c>
    </row>
    <row r="271" spans="1:13" x14ac:dyDescent="0.25">
      <c r="A271" s="127">
        <f>Données!A271</f>
        <v>5886</v>
      </c>
      <c r="B271" s="26" t="str">
        <f>Données!B271</f>
        <v>Montreux</v>
      </c>
      <c r="C271" s="266">
        <f>VPI!R271</f>
        <v>1120945.0450256411</v>
      </c>
      <c r="D271" s="26">
        <f>Données!Z271</f>
        <v>26964</v>
      </c>
      <c r="E271" s="86">
        <f t="shared" si="32"/>
        <v>41.571912365585263</v>
      </c>
      <c r="F271" s="140">
        <f t="shared" si="33"/>
        <v>0.8320134380344284</v>
      </c>
      <c r="G271" s="352">
        <f t="shared" si="34"/>
        <v>0</v>
      </c>
      <c r="H271" s="352">
        <f t="shared" si="35"/>
        <v>0</v>
      </c>
      <c r="I271" s="352">
        <f t="shared" si="36"/>
        <v>0</v>
      </c>
      <c r="J271" s="352">
        <f t="shared" si="37"/>
        <v>0</v>
      </c>
      <c r="K271" s="352">
        <f t="shared" si="38"/>
        <v>0</v>
      </c>
      <c r="L271" s="354">
        <f t="shared" si="39"/>
        <v>0</v>
      </c>
      <c r="M271" s="227">
        <f>L271*D271*VPI!Q271</f>
        <v>0</v>
      </c>
    </row>
    <row r="272" spans="1:13" x14ac:dyDescent="0.25">
      <c r="A272" s="127">
        <f>Données!A272</f>
        <v>5889</v>
      </c>
      <c r="B272" s="26" t="str">
        <f>Données!B272</f>
        <v>La Tour-de-Peilz</v>
      </c>
      <c r="C272" s="266">
        <f>VPI!R272</f>
        <v>728841.71013020864</v>
      </c>
      <c r="D272" s="26">
        <f>Données!Z272</f>
        <v>12812</v>
      </c>
      <c r="E272" s="86">
        <f t="shared" si="32"/>
        <v>56.887426641446197</v>
      </c>
      <c r="F272" s="140">
        <f t="shared" si="33"/>
        <v>1.1385356296493925</v>
      </c>
      <c r="G272" s="352">
        <f t="shared" si="34"/>
        <v>6.9219928333145617</v>
      </c>
      <c r="H272" s="352">
        <f t="shared" si="35"/>
        <v>0</v>
      </c>
      <c r="I272" s="352">
        <f t="shared" si="36"/>
        <v>0</v>
      </c>
      <c r="J272" s="352">
        <f t="shared" si="37"/>
        <v>0</v>
      </c>
      <c r="K272" s="352">
        <f t="shared" si="38"/>
        <v>0</v>
      </c>
      <c r="L272" s="354">
        <f t="shared" si="39"/>
        <v>1.3843985666629124</v>
      </c>
      <c r="M272" s="227">
        <f>L272*D272*VPI!Q272</f>
        <v>1135162.5239094549</v>
      </c>
    </row>
    <row r="273" spans="1:13" x14ac:dyDescent="0.25">
      <c r="A273" s="127">
        <f>Données!A273</f>
        <v>5890</v>
      </c>
      <c r="B273" s="26" t="str">
        <f>Données!B273</f>
        <v>Vevey</v>
      </c>
      <c r="C273" s="266">
        <f>VPI!R273</f>
        <v>1064325.313736018</v>
      </c>
      <c r="D273" s="26">
        <f>Données!Z273</f>
        <v>20146</v>
      </c>
      <c r="E273" s="86">
        <f t="shared" si="32"/>
        <v>52.830602290083291</v>
      </c>
      <c r="F273" s="140">
        <f t="shared" si="33"/>
        <v>1.0573430122302945</v>
      </c>
      <c r="G273" s="352">
        <f t="shared" si="34"/>
        <v>2.8651684819516561</v>
      </c>
      <c r="H273" s="352">
        <f t="shared" si="35"/>
        <v>0</v>
      </c>
      <c r="I273" s="352">
        <f t="shared" si="36"/>
        <v>0</v>
      </c>
      <c r="J273" s="352">
        <f t="shared" si="37"/>
        <v>0</v>
      </c>
      <c r="K273" s="352">
        <f t="shared" si="38"/>
        <v>0</v>
      </c>
      <c r="L273" s="354">
        <f t="shared" si="39"/>
        <v>0.57303369639033119</v>
      </c>
      <c r="M273" s="227">
        <f>L273*D273*VPI!Q273</f>
        <v>860053.09513723105</v>
      </c>
    </row>
    <row r="274" spans="1:13" x14ac:dyDescent="0.25">
      <c r="A274" s="127">
        <f>Données!A274</f>
        <v>5891</v>
      </c>
      <c r="B274" s="26" t="str">
        <f>Données!B274</f>
        <v>Veytaux</v>
      </c>
      <c r="C274" s="266">
        <f>VPI!R274</f>
        <v>41068.156987654322</v>
      </c>
      <c r="D274" s="26">
        <f>Données!Z274</f>
        <v>1043</v>
      </c>
      <c r="E274" s="86">
        <f t="shared" si="32"/>
        <v>39.375030668891966</v>
      </c>
      <c r="F274" s="140">
        <f t="shared" si="33"/>
        <v>0.78804540795328526</v>
      </c>
      <c r="G274" s="352">
        <f t="shared" si="34"/>
        <v>0</v>
      </c>
      <c r="H274" s="352">
        <f t="shared" si="35"/>
        <v>0</v>
      </c>
      <c r="I274" s="352">
        <f t="shared" si="36"/>
        <v>0</v>
      </c>
      <c r="J274" s="352">
        <f t="shared" si="37"/>
        <v>0</v>
      </c>
      <c r="K274" s="352">
        <f t="shared" si="38"/>
        <v>0</v>
      </c>
      <c r="L274" s="354">
        <f t="shared" si="39"/>
        <v>0</v>
      </c>
      <c r="M274" s="227">
        <f>L274*D274*VPI!Q274</f>
        <v>0</v>
      </c>
    </row>
    <row r="275" spans="1:13" x14ac:dyDescent="0.25">
      <c r="A275" s="127">
        <f>Données!A275</f>
        <v>5892</v>
      </c>
      <c r="B275" s="26" t="str">
        <f>Données!B275</f>
        <v>Blonay - Saint-Légier</v>
      </c>
      <c r="C275" s="266">
        <f>VPI!R275</f>
        <v>755904.99576642353</v>
      </c>
      <c r="D275" s="26">
        <f>Données!Z275</f>
        <v>12463</v>
      </c>
      <c r="E275" s="86">
        <f t="shared" si="32"/>
        <v>60.651929372255758</v>
      </c>
      <c r="F275" s="140">
        <f t="shared" si="33"/>
        <v>1.213877770083224</v>
      </c>
      <c r="G275" s="352">
        <f t="shared" si="34"/>
        <v>10.686495564124122</v>
      </c>
      <c r="H275" s="352">
        <f t="shared" si="35"/>
        <v>0.69340880249779957</v>
      </c>
      <c r="I275" s="352">
        <f t="shared" si="36"/>
        <v>0</v>
      </c>
      <c r="J275" s="352">
        <f t="shared" si="37"/>
        <v>0</v>
      </c>
      <c r="K275" s="352">
        <f t="shared" si="38"/>
        <v>0</v>
      </c>
      <c r="L275" s="354">
        <f t="shared" si="39"/>
        <v>2.2066399930746043</v>
      </c>
      <c r="M275" s="227">
        <f>L275*D275*VPI!Q275</f>
        <v>1883842.7650076824</v>
      </c>
    </row>
    <row r="276" spans="1:13" x14ac:dyDescent="0.25">
      <c r="A276" s="127">
        <f>Données!A276</f>
        <v>5902</v>
      </c>
      <c r="B276" s="26" t="str">
        <f>Données!B276</f>
        <v>Belmont-sur-Yverdon</v>
      </c>
      <c r="C276" s="266">
        <f>VPI!R276</f>
        <v>12357.530428571426</v>
      </c>
      <c r="D276" s="26">
        <f>Données!Z276</f>
        <v>445</v>
      </c>
      <c r="E276" s="86">
        <f t="shared" si="32"/>
        <v>27.769731300160508</v>
      </c>
      <c r="F276" s="140">
        <f t="shared" si="33"/>
        <v>0.55577884916994591</v>
      </c>
      <c r="G276" s="352">
        <f t="shared" si="34"/>
        <v>0</v>
      </c>
      <c r="H276" s="352">
        <f t="shared" si="35"/>
        <v>0</v>
      </c>
      <c r="I276" s="352">
        <f t="shared" si="36"/>
        <v>0</v>
      </c>
      <c r="J276" s="352">
        <f t="shared" si="37"/>
        <v>0</v>
      </c>
      <c r="K276" s="352">
        <f t="shared" si="38"/>
        <v>0</v>
      </c>
      <c r="L276" s="354">
        <f t="shared" si="39"/>
        <v>0</v>
      </c>
      <c r="M276" s="227">
        <f>L276*D276*VPI!Q276</f>
        <v>0</v>
      </c>
    </row>
    <row r="277" spans="1:13" x14ac:dyDescent="0.25">
      <c r="A277" s="127">
        <f>Données!A277</f>
        <v>5903</v>
      </c>
      <c r="B277" s="26" t="str">
        <f>Données!B277</f>
        <v>Bioley-Magnoux</v>
      </c>
      <c r="C277" s="266">
        <f>VPI!R277</f>
        <v>7020.1331746031747</v>
      </c>
      <c r="D277" s="26">
        <f>Données!Z277</f>
        <v>257</v>
      </c>
      <c r="E277" s="86">
        <f t="shared" si="32"/>
        <v>27.315693286393675</v>
      </c>
      <c r="F277" s="140">
        <f t="shared" si="33"/>
        <v>0.54669180680561158</v>
      </c>
      <c r="G277" s="352">
        <f t="shared" si="34"/>
        <v>0</v>
      </c>
      <c r="H277" s="352">
        <f t="shared" si="35"/>
        <v>0</v>
      </c>
      <c r="I277" s="352">
        <f t="shared" si="36"/>
        <v>0</v>
      </c>
      <c r="J277" s="352">
        <f t="shared" si="37"/>
        <v>0</v>
      </c>
      <c r="K277" s="352">
        <f t="shared" si="38"/>
        <v>0</v>
      </c>
      <c r="L277" s="354">
        <f t="shared" si="39"/>
        <v>0</v>
      </c>
      <c r="M277" s="227">
        <f>L277*D277*VPI!Q277</f>
        <v>0</v>
      </c>
    </row>
    <row r="278" spans="1:13" x14ac:dyDescent="0.25">
      <c r="A278" s="127">
        <f>Données!A278</f>
        <v>5904</v>
      </c>
      <c r="B278" s="26" t="str">
        <f>Données!B278</f>
        <v>Chamblon</v>
      </c>
      <c r="C278" s="266">
        <f>VPI!R278</f>
        <v>17094.436818181817</v>
      </c>
      <c r="D278" s="26">
        <f>Données!Z278</f>
        <v>554</v>
      </c>
      <c r="E278" s="86">
        <f t="shared" si="32"/>
        <v>30.856384148342631</v>
      </c>
      <c r="F278" s="140">
        <f t="shared" si="33"/>
        <v>0.61755461319182825</v>
      </c>
      <c r="G278" s="352">
        <f t="shared" si="34"/>
        <v>0</v>
      </c>
      <c r="H278" s="352">
        <f t="shared" si="35"/>
        <v>0</v>
      </c>
      <c r="I278" s="352">
        <f t="shared" si="36"/>
        <v>0</v>
      </c>
      <c r="J278" s="352">
        <f t="shared" si="37"/>
        <v>0</v>
      </c>
      <c r="K278" s="352">
        <f t="shared" si="38"/>
        <v>0</v>
      </c>
      <c r="L278" s="354">
        <f t="shared" si="39"/>
        <v>0</v>
      </c>
      <c r="M278" s="227">
        <f>L278*D278*VPI!Q278</f>
        <v>0</v>
      </c>
    </row>
    <row r="279" spans="1:13" x14ac:dyDescent="0.25">
      <c r="A279" s="127">
        <f>Données!A279</f>
        <v>5905</v>
      </c>
      <c r="B279" s="26" t="str">
        <f>Données!B279</f>
        <v>Champvent</v>
      </c>
      <c r="C279" s="266">
        <f>VPI!R279</f>
        <v>21074.306571428569</v>
      </c>
      <c r="D279" s="26">
        <f>Données!Z279</f>
        <v>725</v>
      </c>
      <c r="E279" s="86">
        <f t="shared" si="32"/>
        <v>29.068009064039405</v>
      </c>
      <c r="F279" s="140">
        <f t="shared" si="33"/>
        <v>0.5817623674731055</v>
      </c>
      <c r="G279" s="352">
        <f t="shared" si="34"/>
        <v>0</v>
      </c>
      <c r="H279" s="352">
        <f t="shared" si="35"/>
        <v>0</v>
      </c>
      <c r="I279" s="352">
        <f t="shared" si="36"/>
        <v>0</v>
      </c>
      <c r="J279" s="352">
        <f t="shared" si="37"/>
        <v>0</v>
      </c>
      <c r="K279" s="352">
        <f t="shared" si="38"/>
        <v>0</v>
      </c>
      <c r="L279" s="354">
        <f t="shared" si="39"/>
        <v>0</v>
      </c>
      <c r="M279" s="227">
        <f>L279*D279*VPI!Q279</f>
        <v>0</v>
      </c>
    </row>
    <row r="280" spans="1:13" x14ac:dyDescent="0.25">
      <c r="A280" s="127">
        <f>Données!A280</f>
        <v>5907</v>
      </c>
      <c r="B280" s="26" t="str">
        <f>Données!B280</f>
        <v>Chavannes-le-Chêne</v>
      </c>
      <c r="C280" s="266">
        <f>VPI!R280</f>
        <v>7797.3521333333319</v>
      </c>
      <c r="D280" s="26">
        <f>Données!Z280</f>
        <v>322</v>
      </c>
      <c r="E280" s="86">
        <f t="shared" si="32"/>
        <v>24.215379296066249</v>
      </c>
      <c r="F280" s="140">
        <f t="shared" si="33"/>
        <v>0.48464263092468762</v>
      </c>
      <c r="G280" s="352">
        <f t="shared" si="34"/>
        <v>0</v>
      </c>
      <c r="H280" s="352">
        <f t="shared" si="35"/>
        <v>0</v>
      </c>
      <c r="I280" s="352">
        <f t="shared" si="36"/>
        <v>0</v>
      </c>
      <c r="J280" s="352">
        <f t="shared" si="37"/>
        <v>0</v>
      </c>
      <c r="K280" s="352">
        <f t="shared" si="38"/>
        <v>0</v>
      </c>
      <c r="L280" s="354">
        <f t="shared" si="39"/>
        <v>0</v>
      </c>
      <c r="M280" s="227">
        <f>L280*D280*VPI!Q280</f>
        <v>0</v>
      </c>
    </row>
    <row r="281" spans="1:13" x14ac:dyDescent="0.25">
      <c r="A281" s="127">
        <f>Données!A281</f>
        <v>5908</v>
      </c>
      <c r="B281" s="26" t="str">
        <f>Données!B281</f>
        <v>Chêne-Pâquier</v>
      </c>
      <c r="C281" s="266">
        <f>VPI!R281</f>
        <v>5664.0389333333333</v>
      </c>
      <c r="D281" s="26">
        <f>Données!Z281</f>
        <v>173</v>
      </c>
      <c r="E281" s="86">
        <f t="shared" si="32"/>
        <v>32.740109441233137</v>
      </c>
      <c r="F281" s="140">
        <f t="shared" si="33"/>
        <v>0.65525518235178104</v>
      </c>
      <c r="G281" s="352">
        <f t="shared" si="34"/>
        <v>0</v>
      </c>
      <c r="H281" s="352">
        <f t="shared" si="35"/>
        <v>0</v>
      </c>
      <c r="I281" s="352">
        <f t="shared" si="36"/>
        <v>0</v>
      </c>
      <c r="J281" s="352">
        <f t="shared" si="37"/>
        <v>0</v>
      </c>
      <c r="K281" s="352">
        <f t="shared" si="38"/>
        <v>0</v>
      </c>
      <c r="L281" s="354">
        <f t="shared" si="39"/>
        <v>0</v>
      </c>
      <c r="M281" s="227">
        <f>L281*D281*VPI!Q281</f>
        <v>0</v>
      </c>
    </row>
    <row r="282" spans="1:13" x14ac:dyDescent="0.25">
      <c r="A282" s="127">
        <f>Données!A282</f>
        <v>5909</v>
      </c>
      <c r="B282" s="26" t="str">
        <f>Données!B282</f>
        <v>Cheseaux-Noréaz</v>
      </c>
      <c r="C282" s="266">
        <f>VPI!R282</f>
        <v>31504.478358208951</v>
      </c>
      <c r="D282" s="26">
        <f>Données!Z282</f>
        <v>734</v>
      </c>
      <c r="E282" s="86">
        <f t="shared" si="32"/>
        <v>42.921632640611648</v>
      </c>
      <c r="F282" s="140">
        <f t="shared" si="33"/>
        <v>0.85902651832127908</v>
      </c>
      <c r="G282" s="352">
        <f t="shared" si="34"/>
        <v>0</v>
      </c>
      <c r="H282" s="352">
        <f t="shared" si="35"/>
        <v>0</v>
      </c>
      <c r="I282" s="352">
        <f t="shared" si="36"/>
        <v>0</v>
      </c>
      <c r="J282" s="352">
        <f t="shared" si="37"/>
        <v>0</v>
      </c>
      <c r="K282" s="352">
        <f t="shared" si="38"/>
        <v>0</v>
      </c>
      <c r="L282" s="354">
        <f t="shared" si="39"/>
        <v>0</v>
      </c>
      <c r="M282" s="227">
        <f>L282*D282*VPI!Q282</f>
        <v>0</v>
      </c>
    </row>
    <row r="283" spans="1:13" x14ac:dyDescent="0.25">
      <c r="A283" s="127">
        <f>Données!A283</f>
        <v>5910</v>
      </c>
      <c r="B283" s="26" t="str">
        <f>Données!B283</f>
        <v>Cronay</v>
      </c>
      <c r="C283" s="266">
        <f>VPI!R283</f>
        <v>11511.156533333333</v>
      </c>
      <c r="D283" s="26">
        <f>Données!Z283</f>
        <v>425</v>
      </c>
      <c r="E283" s="86">
        <f t="shared" si="32"/>
        <v>27.08507419607843</v>
      </c>
      <c r="F283" s="140">
        <f t="shared" si="33"/>
        <v>0.5420762341439026</v>
      </c>
      <c r="G283" s="352">
        <f t="shared" si="34"/>
        <v>0</v>
      </c>
      <c r="H283" s="352">
        <f t="shared" si="35"/>
        <v>0</v>
      </c>
      <c r="I283" s="352">
        <f t="shared" si="36"/>
        <v>0</v>
      </c>
      <c r="J283" s="352">
        <f t="shared" si="37"/>
        <v>0</v>
      </c>
      <c r="K283" s="352">
        <f t="shared" si="38"/>
        <v>0</v>
      </c>
      <c r="L283" s="354">
        <f t="shared" si="39"/>
        <v>0</v>
      </c>
      <c r="M283" s="227">
        <f>L283*D283*VPI!Q283</f>
        <v>0</v>
      </c>
    </row>
    <row r="284" spans="1:13" x14ac:dyDescent="0.25">
      <c r="A284" s="127">
        <f>Données!A284</f>
        <v>5911</v>
      </c>
      <c r="B284" s="26" t="str">
        <f>Données!B284</f>
        <v>Cuarny</v>
      </c>
      <c r="C284" s="266">
        <f>VPI!R284</f>
        <v>7072.9457142857154</v>
      </c>
      <c r="D284" s="26">
        <f>Données!Z284</f>
        <v>241</v>
      </c>
      <c r="E284" s="86">
        <f t="shared" si="32"/>
        <v>29.348322465915832</v>
      </c>
      <c r="F284" s="140">
        <f t="shared" si="33"/>
        <v>0.58737251393861678</v>
      </c>
      <c r="G284" s="352">
        <f t="shared" si="34"/>
        <v>0</v>
      </c>
      <c r="H284" s="352">
        <f t="shared" si="35"/>
        <v>0</v>
      </c>
      <c r="I284" s="352">
        <f t="shared" si="36"/>
        <v>0</v>
      </c>
      <c r="J284" s="352">
        <f t="shared" si="37"/>
        <v>0</v>
      </c>
      <c r="K284" s="352">
        <f t="shared" si="38"/>
        <v>0</v>
      </c>
      <c r="L284" s="354">
        <f t="shared" si="39"/>
        <v>0</v>
      </c>
      <c r="M284" s="227">
        <f>L284*D284*VPI!Q284</f>
        <v>0</v>
      </c>
    </row>
    <row r="285" spans="1:13" x14ac:dyDescent="0.25">
      <c r="A285" s="127">
        <f>Données!A285</f>
        <v>5912</v>
      </c>
      <c r="B285" s="26" t="str">
        <f>Données!B285</f>
        <v>Démoret</v>
      </c>
      <c r="C285" s="266">
        <f>VPI!R285</f>
        <v>4054.1132051282052</v>
      </c>
      <c r="D285" s="26">
        <f>Données!Z285</f>
        <v>172</v>
      </c>
      <c r="E285" s="86">
        <f t="shared" si="32"/>
        <v>23.570425611210496</v>
      </c>
      <c r="F285" s="140">
        <f t="shared" si="33"/>
        <v>0.4717346336213441</v>
      </c>
      <c r="G285" s="352">
        <f t="shared" si="34"/>
        <v>0</v>
      </c>
      <c r="H285" s="352">
        <f t="shared" si="35"/>
        <v>0</v>
      </c>
      <c r="I285" s="352">
        <f t="shared" si="36"/>
        <v>0</v>
      </c>
      <c r="J285" s="352">
        <f t="shared" si="37"/>
        <v>0</v>
      </c>
      <c r="K285" s="352">
        <f t="shared" si="38"/>
        <v>0</v>
      </c>
      <c r="L285" s="354">
        <f t="shared" si="39"/>
        <v>0</v>
      </c>
      <c r="M285" s="227">
        <f>L285*D285*VPI!Q285</f>
        <v>0</v>
      </c>
    </row>
    <row r="286" spans="1:13" x14ac:dyDescent="0.25">
      <c r="A286" s="127">
        <f>Données!A286</f>
        <v>5913</v>
      </c>
      <c r="B286" s="26" t="str">
        <f>Données!B286</f>
        <v>Donneloye</v>
      </c>
      <c r="C286" s="266">
        <f>VPI!R286</f>
        <v>21866.794931506847</v>
      </c>
      <c r="D286" s="26">
        <f>Données!Z286</f>
        <v>917</v>
      </c>
      <c r="E286" s="86">
        <f t="shared" si="32"/>
        <v>23.84601410197039</v>
      </c>
      <c r="F286" s="140">
        <f t="shared" si="33"/>
        <v>0.47725021649045635</v>
      </c>
      <c r="G286" s="352">
        <f t="shared" si="34"/>
        <v>0</v>
      </c>
      <c r="H286" s="352">
        <f t="shared" si="35"/>
        <v>0</v>
      </c>
      <c r="I286" s="352">
        <f t="shared" si="36"/>
        <v>0</v>
      </c>
      <c r="J286" s="352">
        <f t="shared" si="37"/>
        <v>0</v>
      </c>
      <c r="K286" s="352">
        <f t="shared" si="38"/>
        <v>0</v>
      </c>
      <c r="L286" s="354">
        <f t="shared" si="39"/>
        <v>0</v>
      </c>
      <c r="M286" s="227">
        <f>L286*D286*VPI!Q286</f>
        <v>0</v>
      </c>
    </row>
    <row r="287" spans="1:13" x14ac:dyDescent="0.25">
      <c r="A287" s="127">
        <f>Données!A287</f>
        <v>5914</v>
      </c>
      <c r="B287" s="26" t="str">
        <f>Données!B287</f>
        <v>Ependes</v>
      </c>
      <c r="C287" s="266">
        <f>VPI!R287</f>
        <v>10606.318639455782</v>
      </c>
      <c r="D287" s="26">
        <f>Données!Z287</f>
        <v>381</v>
      </c>
      <c r="E287" s="86">
        <f t="shared" si="32"/>
        <v>27.838106665238271</v>
      </c>
      <c r="F287" s="140">
        <f t="shared" si="33"/>
        <v>0.5571473025159196</v>
      </c>
      <c r="G287" s="352">
        <f t="shared" si="34"/>
        <v>0</v>
      </c>
      <c r="H287" s="352">
        <f t="shared" si="35"/>
        <v>0</v>
      </c>
      <c r="I287" s="352">
        <f t="shared" si="36"/>
        <v>0</v>
      </c>
      <c r="J287" s="352">
        <f t="shared" si="37"/>
        <v>0</v>
      </c>
      <c r="K287" s="352">
        <f t="shared" si="38"/>
        <v>0</v>
      </c>
      <c r="L287" s="354">
        <f t="shared" si="39"/>
        <v>0</v>
      </c>
      <c r="M287" s="227">
        <f>L287*D287*VPI!Q287</f>
        <v>0</v>
      </c>
    </row>
    <row r="288" spans="1:13" x14ac:dyDescent="0.25">
      <c r="A288" s="127">
        <f>Données!A288</f>
        <v>5919</v>
      </c>
      <c r="B288" s="26" t="str">
        <f>Données!B288</f>
        <v>Mathod</v>
      </c>
      <c r="C288" s="266">
        <f>VPI!R288</f>
        <v>21430.97550925926</v>
      </c>
      <c r="D288" s="26">
        <f>Données!Z288</f>
        <v>725</v>
      </c>
      <c r="E288" s="86">
        <f t="shared" si="32"/>
        <v>29.559966219667945</v>
      </c>
      <c r="F288" s="140">
        <f t="shared" si="33"/>
        <v>0.59160831732551078</v>
      </c>
      <c r="G288" s="352">
        <f t="shared" si="34"/>
        <v>0</v>
      </c>
      <c r="H288" s="352">
        <f t="shared" si="35"/>
        <v>0</v>
      </c>
      <c r="I288" s="352">
        <f t="shared" si="36"/>
        <v>0</v>
      </c>
      <c r="J288" s="352">
        <f t="shared" si="37"/>
        <v>0</v>
      </c>
      <c r="K288" s="352">
        <f t="shared" si="38"/>
        <v>0</v>
      </c>
      <c r="L288" s="354">
        <f t="shared" si="39"/>
        <v>0</v>
      </c>
      <c r="M288" s="227">
        <f>L288*D288*VPI!Q288</f>
        <v>0</v>
      </c>
    </row>
    <row r="289" spans="1:18" s="146" customFormat="1" x14ac:dyDescent="0.25">
      <c r="A289" s="127">
        <f>Données!A289</f>
        <v>5921</v>
      </c>
      <c r="B289" s="26" t="str">
        <f>Données!B289</f>
        <v>Molondin</v>
      </c>
      <c r="C289" s="266">
        <f>VPI!R289</f>
        <v>8425.9467901234584</v>
      </c>
      <c r="D289" s="26">
        <f>Données!Z289</f>
        <v>269</v>
      </c>
      <c r="E289" s="86">
        <f t="shared" si="32"/>
        <v>31.323222268116947</v>
      </c>
      <c r="F289" s="140">
        <f t="shared" si="33"/>
        <v>0.62689783477911565</v>
      </c>
      <c r="G289" s="352">
        <f t="shared" si="34"/>
        <v>0</v>
      </c>
      <c r="H289" s="352">
        <f t="shared" si="35"/>
        <v>0</v>
      </c>
      <c r="I289" s="352">
        <f t="shared" si="36"/>
        <v>0</v>
      </c>
      <c r="J289" s="352">
        <f t="shared" si="37"/>
        <v>0</v>
      </c>
      <c r="K289" s="352">
        <f t="shared" si="38"/>
        <v>0</v>
      </c>
      <c r="L289" s="354">
        <f t="shared" si="39"/>
        <v>0</v>
      </c>
      <c r="M289" s="227">
        <f>L289*D289*VPI!Q289</f>
        <v>0</v>
      </c>
      <c r="N289" s="159"/>
      <c r="O289" s="159"/>
      <c r="P289" s="159"/>
      <c r="Q289" s="159"/>
      <c r="R289" s="159"/>
    </row>
    <row r="290" spans="1:18" s="146" customFormat="1" x14ac:dyDescent="0.25">
      <c r="A290" s="127">
        <f>Données!A290</f>
        <v>5922</v>
      </c>
      <c r="B290" s="26" t="str">
        <f>Données!B290</f>
        <v>Montagny-près-Yverdon</v>
      </c>
      <c r="C290" s="266">
        <f>VPI!R290</f>
        <v>40785.058217054269</v>
      </c>
      <c r="D290" s="26">
        <f>Données!Z290</f>
        <v>783</v>
      </c>
      <c r="E290" s="86">
        <f t="shared" si="32"/>
        <v>52.088196956646577</v>
      </c>
      <c r="F290" s="140">
        <f t="shared" si="33"/>
        <v>1.0424846336102354</v>
      </c>
      <c r="G290" s="352">
        <f t="shared" si="34"/>
        <v>2.1227631485149416</v>
      </c>
      <c r="H290" s="352">
        <f t="shared" si="35"/>
        <v>0</v>
      </c>
      <c r="I290" s="352">
        <f t="shared" si="36"/>
        <v>0</v>
      </c>
      <c r="J290" s="352">
        <f t="shared" si="37"/>
        <v>0</v>
      </c>
      <c r="K290" s="352">
        <f t="shared" si="38"/>
        <v>0</v>
      </c>
      <c r="L290" s="354">
        <f t="shared" si="39"/>
        <v>0.42455262970298835</v>
      </c>
      <c r="M290" s="227">
        <f>L290*D290*VPI!Q290</f>
        <v>21441.393734204874</v>
      </c>
      <c r="N290" s="159"/>
      <c r="O290" s="159"/>
      <c r="P290" s="159"/>
      <c r="Q290" s="159"/>
      <c r="R290" s="159"/>
    </row>
    <row r="291" spans="1:18" s="146" customFormat="1" x14ac:dyDescent="0.25">
      <c r="A291" s="127">
        <f>Données!A291</f>
        <v>5923</v>
      </c>
      <c r="B291" s="26" t="str">
        <f>Données!B291</f>
        <v>Oppens</v>
      </c>
      <c r="C291" s="266">
        <f>VPI!R291</f>
        <v>5683.6511392405064</v>
      </c>
      <c r="D291" s="26">
        <f>Données!Z291</f>
        <v>202</v>
      </c>
      <c r="E291" s="86">
        <f t="shared" si="32"/>
        <v>28.136886827923298</v>
      </c>
      <c r="F291" s="140">
        <f t="shared" si="33"/>
        <v>0.56312703970447975</v>
      </c>
      <c r="G291" s="352">
        <f t="shared" si="34"/>
        <v>0</v>
      </c>
      <c r="H291" s="352">
        <f t="shared" si="35"/>
        <v>0</v>
      </c>
      <c r="I291" s="352">
        <f t="shared" si="36"/>
        <v>0</v>
      </c>
      <c r="J291" s="352">
        <f t="shared" si="37"/>
        <v>0</v>
      </c>
      <c r="K291" s="352">
        <f t="shared" si="38"/>
        <v>0</v>
      </c>
      <c r="L291" s="354">
        <f t="shared" si="39"/>
        <v>0</v>
      </c>
      <c r="M291" s="227">
        <f>L291*D291*VPI!Q291</f>
        <v>0</v>
      </c>
      <c r="N291" s="159"/>
      <c r="O291" s="159"/>
      <c r="P291" s="159"/>
      <c r="Q291" s="159"/>
      <c r="R291" s="159"/>
    </row>
    <row r="292" spans="1:18" s="146" customFormat="1" x14ac:dyDescent="0.25">
      <c r="A292" s="127">
        <f>Données!A292</f>
        <v>5924</v>
      </c>
      <c r="B292" s="26" t="str">
        <f>Données!B292</f>
        <v>Orges</v>
      </c>
      <c r="C292" s="266">
        <f>VPI!R292</f>
        <v>13265.35135135135</v>
      </c>
      <c r="D292" s="26">
        <f>Données!Z292</f>
        <v>424</v>
      </c>
      <c r="E292" s="86">
        <f t="shared" si="32"/>
        <v>31.286206017338088</v>
      </c>
      <c r="F292" s="140">
        <f t="shared" si="33"/>
        <v>0.62615699760514054</v>
      </c>
      <c r="G292" s="352">
        <f t="shared" si="34"/>
        <v>0</v>
      </c>
      <c r="H292" s="352">
        <f t="shared" si="35"/>
        <v>0</v>
      </c>
      <c r="I292" s="352">
        <f t="shared" si="36"/>
        <v>0</v>
      </c>
      <c r="J292" s="352">
        <f t="shared" si="37"/>
        <v>0</v>
      </c>
      <c r="K292" s="352">
        <f t="shared" si="38"/>
        <v>0</v>
      </c>
      <c r="L292" s="354">
        <f t="shared" si="39"/>
        <v>0</v>
      </c>
      <c r="M292" s="227">
        <f>L292*D292*VPI!Q292</f>
        <v>0</v>
      </c>
      <c r="N292" s="159"/>
      <c r="O292" s="159"/>
      <c r="P292" s="159"/>
      <c r="Q292" s="159"/>
      <c r="R292" s="159"/>
    </row>
    <row r="293" spans="1:18" s="146" customFormat="1" x14ac:dyDescent="0.25">
      <c r="A293" s="127">
        <f>Données!A293</f>
        <v>5925</v>
      </c>
      <c r="B293" s="26" t="str">
        <f>Données!B293</f>
        <v>Orzens</v>
      </c>
      <c r="C293" s="266">
        <f>VPI!R293</f>
        <v>5055.3741772151898</v>
      </c>
      <c r="D293" s="26">
        <f>Données!Z293</f>
        <v>216</v>
      </c>
      <c r="E293" s="86">
        <f t="shared" si="32"/>
        <v>23.404510079699953</v>
      </c>
      <c r="F293" s="140">
        <f t="shared" si="33"/>
        <v>0.46841402737688193</v>
      </c>
      <c r="G293" s="352">
        <f t="shared" si="34"/>
        <v>0</v>
      </c>
      <c r="H293" s="352">
        <f t="shared" si="35"/>
        <v>0</v>
      </c>
      <c r="I293" s="352">
        <f t="shared" si="36"/>
        <v>0</v>
      </c>
      <c r="J293" s="352">
        <f t="shared" si="37"/>
        <v>0</v>
      </c>
      <c r="K293" s="352">
        <f t="shared" si="38"/>
        <v>0</v>
      </c>
      <c r="L293" s="354">
        <f t="shared" si="39"/>
        <v>0</v>
      </c>
      <c r="M293" s="227">
        <f>L293*D293*VPI!Q293</f>
        <v>0</v>
      </c>
      <c r="N293" s="159"/>
      <c r="O293" s="159"/>
      <c r="P293" s="159"/>
      <c r="Q293" s="159"/>
      <c r="R293" s="159"/>
    </row>
    <row r="294" spans="1:18" s="146" customFormat="1" x14ac:dyDescent="0.25">
      <c r="A294" s="127">
        <f>Données!A294</f>
        <v>5926</v>
      </c>
      <c r="B294" s="26" t="str">
        <f>Données!B294</f>
        <v>Pomy</v>
      </c>
      <c r="C294" s="266">
        <f>VPI!R294</f>
        <v>26646.407887323945</v>
      </c>
      <c r="D294" s="26">
        <f>Données!Z294</f>
        <v>877</v>
      </c>
      <c r="E294" s="86">
        <f t="shared" si="32"/>
        <v>30.383589381213163</v>
      </c>
      <c r="F294" s="140">
        <f t="shared" si="33"/>
        <v>0.60809217624101519</v>
      </c>
      <c r="G294" s="352">
        <f t="shared" si="34"/>
        <v>0</v>
      </c>
      <c r="H294" s="352">
        <f t="shared" si="35"/>
        <v>0</v>
      </c>
      <c r="I294" s="352">
        <f t="shared" si="36"/>
        <v>0</v>
      </c>
      <c r="J294" s="352">
        <f t="shared" si="37"/>
        <v>0</v>
      </c>
      <c r="K294" s="352">
        <f t="shared" si="38"/>
        <v>0</v>
      </c>
      <c r="L294" s="354">
        <f t="shared" si="39"/>
        <v>0</v>
      </c>
      <c r="M294" s="227">
        <f>L294*D294*VPI!Q294</f>
        <v>0</v>
      </c>
      <c r="N294" s="159"/>
      <c r="O294" s="159"/>
      <c r="P294" s="159"/>
      <c r="Q294" s="159"/>
      <c r="R294" s="159"/>
    </row>
    <row r="295" spans="1:18" s="146" customFormat="1" x14ac:dyDescent="0.25">
      <c r="A295" s="127">
        <f>Données!A295</f>
        <v>5928</v>
      </c>
      <c r="B295" s="26" t="str">
        <f>Données!B295</f>
        <v>Rovray</v>
      </c>
      <c r="C295" s="266">
        <f>VPI!R295</f>
        <v>5997.0809589041082</v>
      </c>
      <c r="D295" s="26">
        <f>Données!Z295</f>
        <v>195</v>
      </c>
      <c r="E295" s="86">
        <f t="shared" si="32"/>
        <v>30.754261327713376</v>
      </c>
      <c r="F295" s="140">
        <f t="shared" si="33"/>
        <v>0.61551074380361459</v>
      </c>
      <c r="G295" s="352">
        <f t="shared" si="34"/>
        <v>0</v>
      </c>
      <c r="H295" s="352">
        <f t="shared" si="35"/>
        <v>0</v>
      </c>
      <c r="I295" s="352">
        <f t="shared" si="36"/>
        <v>0</v>
      </c>
      <c r="J295" s="352">
        <f t="shared" si="37"/>
        <v>0</v>
      </c>
      <c r="K295" s="352">
        <f t="shared" si="38"/>
        <v>0</v>
      </c>
      <c r="L295" s="354">
        <f t="shared" si="39"/>
        <v>0</v>
      </c>
      <c r="M295" s="227">
        <f>L295*D295*VPI!Q295</f>
        <v>0</v>
      </c>
      <c r="N295" s="159"/>
      <c r="O295" s="159"/>
      <c r="P295" s="159"/>
      <c r="Q295" s="159"/>
      <c r="R295" s="159"/>
    </row>
    <row r="296" spans="1:18" s="146" customFormat="1" x14ac:dyDescent="0.25">
      <c r="A296" s="127">
        <f>Données!A296</f>
        <v>5929</v>
      </c>
      <c r="B296" s="26" t="str">
        <f>Données!B296</f>
        <v>Suchy</v>
      </c>
      <c r="C296" s="266">
        <f>VPI!R296</f>
        <v>22958.537249999998</v>
      </c>
      <c r="D296" s="26">
        <f>Données!Z296</f>
        <v>670</v>
      </c>
      <c r="E296" s="86">
        <f t="shared" si="32"/>
        <v>34.266473507462685</v>
      </c>
      <c r="F296" s="140">
        <f t="shared" si="33"/>
        <v>0.68580358251359719</v>
      </c>
      <c r="G296" s="352">
        <f t="shared" si="34"/>
        <v>0</v>
      </c>
      <c r="H296" s="352">
        <f t="shared" si="35"/>
        <v>0</v>
      </c>
      <c r="I296" s="352">
        <f t="shared" si="36"/>
        <v>0</v>
      </c>
      <c r="J296" s="352">
        <f t="shared" si="37"/>
        <v>0</v>
      </c>
      <c r="K296" s="352">
        <f t="shared" si="38"/>
        <v>0</v>
      </c>
      <c r="L296" s="354">
        <f t="shared" si="39"/>
        <v>0</v>
      </c>
      <c r="M296" s="227">
        <f>L296*D296*VPI!Q296</f>
        <v>0</v>
      </c>
      <c r="N296" s="159"/>
      <c r="O296" s="159"/>
      <c r="P296" s="159"/>
      <c r="Q296" s="159"/>
      <c r="R296" s="159"/>
    </row>
    <row r="297" spans="1:18" x14ac:dyDescent="0.25">
      <c r="A297" s="127">
        <f>Données!A297</f>
        <v>5930</v>
      </c>
      <c r="B297" s="26" t="str">
        <f>Données!B297</f>
        <v>Suscévaz</v>
      </c>
      <c r="C297" s="266">
        <f>VPI!R297</f>
        <v>5123.1661111111116</v>
      </c>
      <c r="D297" s="26">
        <f>Données!Z297</f>
        <v>237</v>
      </c>
      <c r="E297" s="86">
        <f t="shared" si="32"/>
        <v>21.616734646038445</v>
      </c>
      <c r="F297" s="140">
        <f t="shared" si="33"/>
        <v>0.43263378296778493</v>
      </c>
      <c r="G297" s="352">
        <f t="shared" si="34"/>
        <v>0</v>
      </c>
      <c r="H297" s="352">
        <f t="shared" si="35"/>
        <v>0</v>
      </c>
      <c r="I297" s="352">
        <f t="shared" si="36"/>
        <v>0</v>
      </c>
      <c r="J297" s="352">
        <f t="shared" si="37"/>
        <v>0</v>
      </c>
      <c r="K297" s="352">
        <f t="shared" si="38"/>
        <v>0</v>
      </c>
      <c r="L297" s="354">
        <f t="shared" si="39"/>
        <v>0</v>
      </c>
      <c r="M297" s="227">
        <f>L297*D297*VPI!Q297</f>
        <v>0</v>
      </c>
    </row>
    <row r="298" spans="1:18" x14ac:dyDescent="0.25">
      <c r="A298" s="127">
        <f>Données!A298</f>
        <v>5931</v>
      </c>
      <c r="B298" s="26" t="str">
        <f>Données!B298</f>
        <v>Treycovagnes</v>
      </c>
      <c r="C298" s="266">
        <f>VPI!R298</f>
        <v>16489.594109589041</v>
      </c>
      <c r="D298" s="26">
        <f>Données!Z298</f>
        <v>513</v>
      </c>
      <c r="E298" s="86">
        <f t="shared" si="32"/>
        <v>32.143458303292476</v>
      </c>
      <c r="F298" s="140">
        <f t="shared" si="33"/>
        <v>0.64331390430280389</v>
      </c>
      <c r="G298" s="352">
        <f t="shared" si="34"/>
        <v>0</v>
      </c>
      <c r="H298" s="352">
        <f t="shared" si="35"/>
        <v>0</v>
      </c>
      <c r="I298" s="352">
        <f t="shared" si="36"/>
        <v>0</v>
      </c>
      <c r="J298" s="352">
        <f t="shared" si="37"/>
        <v>0</v>
      </c>
      <c r="K298" s="352">
        <f t="shared" si="38"/>
        <v>0</v>
      </c>
      <c r="L298" s="354">
        <f t="shared" si="39"/>
        <v>0</v>
      </c>
      <c r="M298" s="227">
        <f>L298*D298*VPI!Q298</f>
        <v>0</v>
      </c>
    </row>
    <row r="299" spans="1:18" x14ac:dyDescent="0.25">
      <c r="A299" s="127">
        <f>Données!A299</f>
        <v>5932</v>
      </c>
      <c r="B299" s="26" t="str">
        <f>Données!B299</f>
        <v>Ursins</v>
      </c>
      <c r="C299" s="266">
        <f>VPI!R299</f>
        <v>9309.2870666666695</v>
      </c>
      <c r="D299" s="26">
        <f>Données!Z299</f>
        <v>233</v>
      </c>
      <c r="E299" s="86">
        <f t="shared" si="32"/>
        <v>39.954021745350509</v>
      </c>
      <c r="F299" s="140">
        <f t="shared" si="33"/>
        <v>0.7996332404272688</v>
      </c>
      <c r="G299" s="352">
        <f t="shared" si="34"/>
        <v>0</v>
      </c>
      <c r="H299" s="352">
        <f t="shared" si="35"/>
        <v>0</v>
      </c>
      <c r="I299" s="352">
        <f t="shared" si="36"/>
        <v>0</v>
      </c>
      <c r="J299" s="352">
        <f t="shared" si="37"/>
        <v>0</v>
      </c>
      <c r="K299" s="352">
        <f t="shared" si="38"/>
        <v>0</v>
      </c>
      <c r="L299" s="354">
        <f t="shared" si="39"/>
        <v>0</v>
      </c>
      <c r="M299" s="227">
        <f>L299*D299*VPI!Q299</f>
        <v>0</v>
      </c>
    </row>
    <row r="300" spans="1:18" x14ac:dyDescent="0.25">
      <c r="A300" s="127">
        <f>Données!A300</f>
        <v>5933</v>
      </c>
      <c r="B300" s="26" t="str">
        <f>Données!B300</f>
        <v>Valeyres-sous-Montagny</v>
      </c>
      <c r="C300" s="266">
        <f>VPI!R300</f>
        <v>23289.682127659577</v>
      </c>
      <c r="D300" s="26">
        <f>Données!Z300</f>
        <v>706</v>
      </c>
      <c r="E300" s="86">
        <f t="shared" si="32"/>
        <v>32.988218311132542</v>
      </c>
      <c r="F300" s="140">
        <f t="shared" si="33"/>
        <v>0.66022079259449695</v>
      </c>
      <c r="G300" s="352">
        <f t="shared" si="34"/>
        <v>0</v>
      </c>
      <c r="H300" s="352">
        <f t="shared" si="35"/>
        <v>0</v>
      </c>
      <c r="I300" s="352">
        <f t="shared" si="36"/>
        <v>0</v>
      </c>
      <c r="J300" s="352">
        <f t="shared" si="37"/>
        <v>0</v>
      </c>
      <c r="K300" s="352">
        <f t="shared" si="38"/>
        <v>0</v>
      </c>
      <c r="L300" s="354">
        <f t="shared" si="39"/>
        <v>0</v>
      </c>
      <c r="M300" s="227">
        <f>L300*D300*VPI!Q300</f>
        <v>0</v>
      </c>
    </row>
    <row r="301" spans="1:18" x14ac:dyDescent="0.25">
      <c r="A301" s="127">
        <f>Données!A301</f>
        <v>5934</v>
      </c>
      <c r="B301" s="26" t="str">
        <f>Données!B301</f>
        <v>Valeyres-sous-Ursins</v>
      </c>
      <c r="C301" s="266">
        <f>VPI!R301</f>
        <v>8590.653896103895</v>
      </c>
      <c r="D301" s="26">
        <f>Données!Z301</f>
        <v>236</v>
      </c>
      <c r="E301" s="86">
        <f t="shared" si="32"/>
        <v>36.401075830948706</v>
      </c>
      <c r="F301" s="140">
        <f t="shared" si="33"/>
        <v>0.72852516343057561</v>
      </c>
      <c r="G301" s="352">
        <f t="shared" si="34"/>
        <v>0</v>
      </c>
      <c r="H301" s="352">
        <f t="shared" si="35"/>
        <v>0</v>
      </c>
      <c r="I301" s="352">
        <f t="shared" si="36"/>
        <v>0</v>
      </c>
      <c r="J301" s="352">
        <f t="shared" si="37"/>
        <v>0</v>
      </c>
      <c r="K301" s="352">
        <f t="shared" si="38"/>
        <v>0</v>
      </c>
      <c r="L301" s="354">
        <f t="shared" si="39"/>
        <v>0</v>
      </c>
      <c r="M301" s="227">
        <f>L301*D301*VPI!Q301</f>
        <v>0</v>
      </c>
    </row>
    <row r="302" spans="1:18" x14ac:dyDescent="0.25">
      <c r="A302" s="127">
        <f>Données!A302</f>
        <v>5935</v>
      </c>
      <c r="B302" s="26" t="str">
        <f>Données!B302</f>
        <v>Villars-Epeney</v>
      </c>
      <c r="C302" s="266">
        <f>VPI!R302</f>
        <v>10030.652647058823</v>
      </c>
      <c r="D302" s="26">
        <f>Données!Z302</f>
        <v>108</v>
      </c>
      <c r="E302" s="86">
        <f t="shared" si="32"/>
        <v>92.876413398692804</v>
      </c>
      <c r="F302" s="140">
        <f t="shared" si="33"/>
        <v>1.8588133099242223</v>
      </c>
      <c r="G302" s="352">
        <f t="shared" si="34"/>
        <v>42.910979590561169</v>
      </c>
      <c r="H302" s="352">
        <f t="shared" si="35"/>
        <v>32.917892828934846</v>
      </c>
      <c r="I302" s="352">
        <f t="shared" si="36"/>
        <v>17.928262686495358</v>
      </c>
      <c r="J302" s="352">
        <f t="shared" si="37"/>
        <v>0</v>
      </c>
      <c r="K302" s="352">
        <f t="shared" si="38"/>
        <v>0</v>
      </c>
      <c r="L302" s="354">
        <f t="shared" si="39"/>
        <v>13.666811469655254</v>
      </c>
      <c r="M302" s="227">
        <f>L302*D302*VPI!Q302</f>
        <v>100369.0634331482</v>
      </c>
    </row>
    <row r="303" spans="1:18" x14ac:dyDescent="0.25">
      <c r="A303" s="127">
        <f>Données!A303</f>
        <v>5937</v>
      </c>
      <c r="B303" s="26" t="str">
        <f>Données!B303</f>
        <v>Vugelles-La Mothe</v>
      </c>
      <c r="C303" s="266">
        <f>VPI!R303</f>
        <v>4424.7368571428569</v>
      </c>
      <c r="D303" s="26">
        <f>Données!Z303</f>
        <v>147</v>
      </c>
      <c r="E303" s="86">
        <f t="shared" si="32"/>
        <v>30.100250728862971</v>
      </c>
      <c r="F303" s="140">
        <f t="shared" si="33"/>
        <v>0.60242148290853625</v>
      </c>
      <c r="G303" s="352">
        <f t="shared" si="34"/>
        <v>0</v>
      </c>
      <c r="H303" s="352">
        <f t="shared" si="35"/>
        <v>0</v>
      </c>
      <c r="I303" s="352">
        <f t="shared" si="36"/>
        <v>0</v>
      </c>
      <c r="J303" s="352">
        <f t="shared" si="37"/>
        <v>0</v>
      </c>
      <c r="K303" s="352">
        <f t="shared" si="38"/>
        <v>0</v>
      </c>
      <c r="L303" s="354">
        <f t="shared" si="39"/>
        <v>0</v>
      </c>
      <c r="M303" s="227">
        <f>L303*D303*VPI!Q303</f>
        <v>0</v>
      </c>
    </row>
    <row r="304" spans="1:18" x14ac:dyDescent="0.25">
      <c r="A304" s="127">
        <f>Données!A304</f>
        <v>5938</v>
      </c>
      <c r="B304" s="26" t="str">
        <f>Données!B304</f>
        <v>Yverdon-les-Bains</v>
      </c>
      <c r="C304" s="266">
        <f>VPI!R304</f>
        <v>801823.39555555547</v>
      </c>
      <c r="D304" s="26">
        <f>Données!Z304</f>
        <v>30332</v>
      </c>
      <c r="E304" s="86">
        <f t="shared" si="32"/>
        <v>26.434900288657374</v>
      </c>
      <c r="F304" s="140">
        <f t="shared" si="33"/>
        <v>0.52906376016203471</v>
      </c>
      <c r="G304" s="352">
        <f t="shared" si="34"/>
        <v>0</v>
      </c>
      <c r="H304" s="352">
        <f t="shared" si="35"/>
        <v>0</v>
      </c>
      <c r="I304" s="352">
        <f t="shared" si="36"/>
        <v>0</v>
      </c>
      <c r="J304" s="352">
        <f t="shared" si="37"/>
        <v>0</v>
      </c>
      <c r="K304" s="352">
        <f t="shared" si="38"/>
        <v>0</v>
      </c>
      <c r="L304" s="354">
        <f t="shared" si="39"/>
        <v>0</v>
      </c>
      <c r="M304" s="227">
        <f>L304*D304*VPI!Q304</f>
        <v>0</v>
      </c>
    </row>
    <row r="305" spans="1:13" x14ac:dyDescent="0.25">
      <c r="A305" s="127">
        <f>Données!A305</f>
        <v>5939</v>
      </c>
      <c r="B305" s="26" t="str">
        <f>Données!B305</f>
        <v>Yvonand</v>
      </c>
      <c r="C305" s="266">
        <f>VPI!R305</f>
        <v>95983.007692307685</v>
      </c>
      <c r="D305" s="26">
        <f>Données!Z305</f>
        <v>3525</v>
      </c>
      <c r="E305" s="86">
        <f t="shared" si="32"/>
        <v>27.229222040370974</v>
      </c>
      <c r="F305" s="140">
        <f t="shared" si="33"/>
        <v>0.54496118546537164</v>
      </c>
      <c r="G305" s="352">
        <f t="shared" si="34"/>
        <v>0</v>
      </c>
      <c r="H305" s="352">
        <f t="shared" si="35"/>
        <v>0</v>
      </c>
      <c r="I305" s="352">
        <f t="shared" si="36"/>
        <v>0</v>
      </c>
      <c r="J305" s="352">
        <f t="shared" si="37"/>
        <v>0</v>
      </c>
      <c r="K305" s="352">
        <f t="shared" si="38"/>
        <v>0</v>
      </c>
      <c r="L305" s="355">
        <f t="shared" si="39"/>
        <v>0</v>
      </c>
      <c r="M305" s="227">
        <f>L305*D305*VPI!Q305</f>
        <v>0</v>
      </c>
    </row>
    <row r="306" spans="1:13" x14ac:dyDescent="0.25">
      <c r="A306" s="5"/>
      <c r="B306" s="71">
        <f>COUNTA(B6:B305)</f>
        <v>300</v>
      </c>
      <c r="C306" s="267">
        <f>SUM(C6:C305)</f>
        <v>42757870.01587484</v>
      </c>
      <c r="D306" s="118">
        <f>SUM(D6:D305)</f>
        <v>855749</v>
      </c>
      <c r="E306" s="45">
        <f>C306/D306</f>
        <v>49.965433808131635</v>
      </c>
      <c r="F306" s="46">
        <v>1</v>
      </c>
      <c r="G306" s="750"/>
      <c r="H306" s="751"/>
      <c r="I306" s="751"/>
      <c r="J306" s="751"/>
      <c r="K306" s="751"/>
      <c r="L306" s="752"/>
      <c r="M306" s="228">
        <f>SUM(M6:M305)</f>
        <v>152221661.07741937</v>
      </c>
    </row>
    <row r="307" spans="1:13" x14ac:dyDescent="0.25">
      <c r="M307" s="4"/>
    </row>
    <row r="309" spans="1:13" x14ac:dyDescent="0.25">
      <c r="F309" s="12"/>
    </row>
    <row r="310" spans="1:13" x14ac:dyDescent="0.25">
      <c r="F310" s="12"/>
    </row>
    <row r="311" spans="1:13" x14ac:dyDescent="0.25">
      <c r="F311" s="12"/>
      <c r="G311" s="14"/>
      <c r="H311" s="14"/>
    </row>
    <row r="312" spans="1:13" x14ac:dyDescent="0.25">
      <c r="E312" s="22"/>
    </row>
  </sheetData>
  <sheetProtection sheet="1" objects="1" scenarios="1"/>
  <mergeCells count="7">
    <mergeCell ref="G306:L306"/>
    <mergeCell ref="M4:M5"/>
    <mergeCell ref="L4:L5"/>
    <mergeCell ref="A4:A5"/>
    <mergeCell ref="B4:B5"/>
    <mergeCell ref="F4:F5"/>
    <mergeCell ref="C4:E4"/>
  </mergeCells>
  <phoneticPr fontId="21" type="noConversion"/>
  <hyperlinks>
    <hyperlink ref="C1" location="PCS!A1" display="← Précédent" xr:uid="{901F770C-9D71-4B9C-BD74-2BF5F01B4728}"/>
    <hyperlink ref="E1" location="'Péréquation directe'!A1" display="Suivant →" xr:uid="{8E8E8AD3-F212-48FB-86E5-C0AB3A686AFA}"/>
    <hyperlink ref="D1" location="'Table des matières'!A1" display="'Table des matières'!A1" xr:uid="{202983C2-6A43-4285-A91A-F524C826C944}"/>
  </hyperlinks>
  <pageMargins left="0.78740157499999996" right="0.78740157499999996" top="0.984251969" bottom="0.984251969" header="0.4921259845" footer="0.4921259845"/>
  <pageSetup paperSize="9" orientation="landscape" horizontalDpi="4294967292" verticalDpi="4294967292"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1">
    <tabColor rgb="FF00B050"/>
  </sheetPr>
  <dimension ref="A1:K331"/>
  <sheetViews>
    <sheetView zoomScaleNormal="100" workbookViewId="0">
      <pane xSplit="2" ySplit="11" topLeftCell="C12" activePane="bottomRight" state="frozen"/>
      <selection pane="topRight" activeCell="C1" sqref="C1"/>
      <selection pane="bottomLeft" activeCell="A12" sqref="A12"/>
      <selection pane="bottomRight"/>
    </sheetView>
  </sheetViews>
  <sheetFormatPr baseColWidth="10" defaultColWidth="11" defaultRowHeight="15" x14ac:dyDescent="0.25"/>
  <cols>
    <col min="1" max="1" width="7.125" style="10" customWidth="1"/>
    <col min="2" max="2" width="23.125" style="10" customWidth="1"/>
    <col min="3" max="3" width="16.125" style="10" customWidth="1"/>
    <col min="4" max="4" width="11" style="10" customWidth="1"/>
    <col min="5" max="6" width="12.75" style="10" customWidth="1"/>
    <col min="7" max="7" width="12.875" style="10" customWidth="1"/>
    <col min="8" max="8" width="12.75" style="146" customWidth="1"/>
    <col min="9" max="9" width="12.75" style="10" customWidth="1"/>
    <col min="10" max="10" width="12.75" style="146" customWidth="1"/>
    <col min="11" max="11" width="12.5" style="10" customWidth="1"/>
    <col min="12" max="16384" width="11" style="10"/>
  </cols>
  <sheetData>
    <row r="1" spans="1:11" s="194" customFormat="1" ht="26.25" x14ac:dyDescent="0.4">
      <c r="A1" s="187" t="s">
        <v>277</v>
      </c>
      <c r="B1" s="192"/>
      <c r="C1" s="287" t="s">
        <v>402</v>
      </c>
      <c r="D1" s="208" t="s">
        <v>394</v>
      </c>
      <c r="E1" s="348" t="s">
        <v>403</v>
      </c>
      <c r="H1" s="213"/>
    </row>
    <row r="2" spans="1:11" s="146" customFormat="1" ht="15.75" x14ac:dyDescent="0.25">
      <c r="A2" s="253" t="str">
        <f>Paramètres!B4</f>
        <v>Décompte 2024</v>
      </c>
      <c r="B2" s="31"/>
      <c r="C2" s="148"/>
      <c r="D2" s="148"/>
      <c r="E2" s="148"/>
      <c r="F2" s="148"/>
      <c r="G2" s="148"/>
      <c r="H2" s="148"/>
      <c r="I2" s="148"/>
      <c r="J2" s="148"/>
    </row>
    <row r="4" spans="1:11" x14ac:dyDescent="0.25">
      <c r="A4" s="73" t="s">
        <v>499</v>
      </c>
      <c r="B4" s="74"/>
      <c r="C4" s="75" t="s">
        <v>356</v>
      </c>
      <c r="D4" s="75" t="s">
        <v>334</v>
      </c>
      <c r="E4" s="48"/>
      <c r="F4" s="48"/>
      <c r="G4" s="48"/>
      <c r="H4" s="148"/>
      <c r="I4" s="48"/>
      <c r="J4" s="148"/>
    </row>
    <row r="5" spans="1:11" x14ac:dyDescent="0.25">
      <c r="A5" s="759" t="s">
        <v>500</v>
      </c>
      <c r="B5" s="760"/>
      <c r="C5" s="15">
        <f>ABS(E312+F312+G312)</f>
        <v>841592640.34138036</v>
      </c>
      <c r="D5" s="60">
        <f>C5/$C$312</f>
        <v>19.68275407612493</v>
      </c>
      <c r="E5" s="48"/>
      <c r="F5" s="48"/>
      <c r="G5" s="48"/>
      <c r="H5" s="148"/>
      <c r="I5" s="48"/>
      <c r="J5" s="148"/>
    </row>
    <row r="6" spans="1:11" x14ac:dyDescent="0.25">
      <c r="A6" s="761" t="s">
        <v>544</v>
      </c>
      <c r="B6" s="762"/>
      <c r="C6" s="7">
        <f>-Paramètres!B50</f>
        <v>-3152282.356019882</v>
      </c>
      <c r="D6" s="60">
        <f>C6/$C$312</f>
        <v>-7.3724026824758218E-2</v>
      </c>
      <c r="E6" s="48"/>
      <c r="F6" s="48"/>
      <c r="G6" s="48"/>
      <c r="H6" s="148"/>
      <c r="I6" s="48"/>
      <c r="J6" s="148"/>
    </row>
    <row r="7" spans="1:11" x14ac:dyDescent="0.25">
      <c r="A7" s="759" t="s">
        <v>507</v>
      </c>
      <c r="B7" s="760"/>
      <c r="C7" s="8">
        <f>Paramètres!B51</f>
        <v>450000</v>
      </c>
      <c r="D7" s="60">
        <f>C7/$C$312</f>
        <v>1.0524378315218396E-2</v>
      </c>
      <c r="E7" s="48"/>
      <c r="F7" s="48"/>
      <c r="G7" s="48"/>
      <c r="H7" s="148"/>
      <c r="I7" s="48"/>
      <c r="J7" s="148"/>
    </row>
    <row r="8" spans="1:11" x14ac:dyDescent="0.25">
      <c r="A8" s="244" t="s">
        <v>481</v>
      </c>
      <c r="B8" s="245"/>
      <c r="C8" s="233">
        <f>SUM(C5:C7)</f>
        <v>838890357.9853605</v>
      </c>
      <c r="D8" s="377">
        <f>SUM(D5:D7)</f>
        <v>19.619554427615387</v>
      </c>
      <c r="E8" s="48"/>
      <c r="F8" s="48"/>
      <c r="G8" s="48"/>
      <c r="H8" s="148"/>
      <c r="I8" s="48"/>
      <c r="J8" s="148"/>
    </row>
    <row r="10" spans="1:11" ht="60" customHeight="1" x14ac:dyDescent="0.25">
      <c r="A10" s="763" t="s">
        <v>44</v>
      </c>
      <c r="B10" s="763" t="s">
        <v>84</v>
      </c>
      <c r="C10" s="758" t="s">
        <v>409</v>
      </c>
      <c r="D10" s="758" t="s">
        <v>257</v>
      </c>
      <c r="E10" s="47" t="s">
        <v>496</v>
      </c>
      <c r="F10" s="47" t="s">
        <v>497</v>
      </c>
      <c r="G10" s="212" t="s">
        <v>540</v>
      </c>
      <c r="H10" s="212" t="s">
        <v>501</v>
      </c>
      <c r="I10" s="47" t="s">
        <v>505</v>
      </c>
      <c r="J10" s="257" t="s">
        <v>506</v>
      </c>
      <c r="K10" s="758" t="s">
        <v>502</v>
      </c>
    </row>
    <row r="11" spans="1:11" x14ac:dyDescent="0.25">
      <c r="A11" s="764"/>
      <c r="B11" s="764"/>
      <c r="C11" s="758"/>
      <c r="D11" s="758"/>
      <c r="E11" s="275">
        <f>E312/$C$312</f>
        <v>-11.557684700434272</v>
      </c>
      <c r="F11" s="143">
        <f>F312/$C$312</f>
        <v>-3.6250693756906558</v>
      </c>
      <c r="G11" s="275">
        <f>G312/$C$312</f>
        <v>-4.4999999999999982</v>
      </c>
      <c r="H11" s="143">
        <f>H312/C312</f>
        <v>7.3724026824758288E-2</v>
      </c>
      <c r="I11" s="275">
        <f>I312/C312</f>
        <v>-19.60903004930017</v>
      </c>
      <c r="J11" s="143">
        <f>ABS(D8)</f>
        <v>19.619554427615387</v>
      </c>
      <c r="K11" s="758"/>
    </row>
    <row r="12" spans="1:11" x14ac:dyDescent="0.25">
      <c r="A12" s="35">
        <f>Données!A6</f>
        <v>5401</v>
      </c>
      <c r="B12" s="128" t="str">
        <f>Données!B6</f>
        <v>Aigle</v>
      </c>
      <c r="C12" s="611">
        <f>Ecrêtage!C6</f>
        <v>311614.01419191912</v>
      </c>
      <c r="D12" s="604">
        <f>Données!Z6</f>
        <v>11780</v>
      </c>
      <c r="E12" s="603">
        <f>Population!K9</f>
        <v>-7005549.295774648</v>
      </c>
      <c r="F12" s="604">
        <f>Solidarité!I6</f>
        <v>-4823656.2536266726</v>
      </c>
      <c r="G12" s="603">
        <f>+DT!O6</f>
        <v>-4126045.7145752483</v>
      </c>
      <c r="H12" s="604">
        <f>Effort!K6+Aide!I6+Taux!J6</f>
        <v>0</v>
      </c>
      <c r="I12" s="608">
        <f>SUM(E12:H12)</f>
        <v>-15955251.263976568</v>
      </c>
      <c r="J12" s="624">
        <f>C12*$J$11</f>
        <v>6113728.1118460707</v>
      </c>
      <c r="K12" s="625">
        <f>I12+J12</f>
        <v>-9841523.1521304976</v>
      </c>
    </row>
    <row r="13" spans="1:11" s="146" customFormat="1" x14ac:dyDescent="0.25">
      <c r="A13" s="37">
        <f>Données!A7</f>
        <v>5402</v>
      </c>
      <c r="B13" s="26" t="str">
        <f>Données!B7</f>
        <v>Bex</v>
      </c>
      <c r="C13" s="611">
        <f>Ecrêtage!C7</f>
        <v>199600.34901408452</v>
      </c>
      <c r="D13" s="604">
        <f>Données!Z7</f>
        <v>8806</v>
      </c>
      <c r="E13" s="610">
        <f>Population!K10</f>
        <v>-4369004.2253521122</v>
      </c>
      <c r="F13" s="604">
        <f>Solidarité!I7</f>
        <v>-4844897.0892847292</v>
      </c>
      <c r="G13" s="610">
        <f>+DT!O7</f>
        <v>-2993001.5294404975</v>
      </c>
      <c r="H13" s="604">
        <f>Effort!K7+Aide!I7+Taux!J7</f>
        <v>0</v>
      </c>
      <c r="I13" s="605">
        <f t="shared" ref="I13:I76" si="0">SUM(E13:H13)</f>
        <v>-12206902.844077339</v>
      </c>
      <c r="J13" s="624">
        <f t="shared" ref="J13:J76" si="1">C13*$J$11</f>
        <v>3916069.9112528586</v>
      </c>
      <c r="K13" s="626">
        <f t="shared" ref="K13:K76" si="2">I13+J13</f>
        <v>-8290832.9328244813</v>
      </c>
    </row>
    <row r="14" spans="1:11" s="146" customFormat="1" x14ac:dyDescent="0.25">
      <c r="A14" s="37">
        <f>Données!A8</f>
        <v>5403</v>
      </c>
      <c r="B14" s="26" t="str">
        <f>Données!B8</f>
        <v>Chessel</v>
      </c>
      <c r="C14" s="611">
        <f>Ecrêtage!C8</f>
        <v>12200.842307692306</v>
      </c>
      <c r="D14" s="604">
        <f>Données!Z8</f>
        <v>528</v>
      </c>
      <c r="E14" s="610">
        <f>Population!K11</f>
        <v>-70183.098591549293</v>
      </c>
      <c r="F14" s="604">
        <f>Solidarité!I8</f>
        <v>-239537.03596123582</v>
      </c>
      <c r="G14" s="610">
        <f>+DT!O8</f>
        <v>-19866.226649796972</v>
      </c>
      <c r="H14" s="604">
        <f>Effort!K8+Aide!I8+Taux!J8</f>
        <v>0</v>
      </c>
      <c r="I14" s="605">
        <f t="shared" si="0"/>
        <v>-329586.36120258208</v>
      </c>
      <c r="J14" s="624">
        <f t="shared" si="1"/>
        <v>239375.08971852172</v>
      </c>
      <c r="K14" s="626">
        <f t="shared" si="2"/>
        <v>-90211.271484060358</v>
      </c>
    </row>
    <row r="15" spans="1:11" s="146" customFormat="1" x14ac:dyDescent="0.25">
      <c r="A15" s="37">
        <f>Données!A9</f>
        <v>5404</v>
      </c>
      <c r="B15" s="26" t="str">
        <f>Données!B9</f>
        <v>Corbeyrier</v>
      </c>
      <c r="C15" s="611">
        <f>Ecrêtage!C9</f>
        <v>12100.787342342343</v>
      </c>
      <c r="D15" s="604">
        <f>Données!Z9</f>
        <v>452</v>
      </c>
      <c r="E15" s="610">
        <f>Population!K12</f>
        <v>-60080.985915492951</v>
      </c>
      <c r="F15" s="604">
        <f>Solidarité!I9</f>
        <v>-229517.2713540041</v>
      </c>
      <c r="G15" s="610">
        <f>+DT!O9</f>
        <v>-207598.2267430847</v>
      </c>
      <c r="H15" s="604">
        <f>Effort!K9+Aide!I9+Taux!J9</f>
        <v>0</v>
      </c>
      <c r="I15" s="605">
        <f t="shared" si="0"/>
        <v>-497196.48401258176</v>
      </c>
      <c r="J15" s="624">
        <f t="shared" si="1"/>
        <v>237412.05588008495</v>
      </c>
      <c r="K15" s="626">
        <f t="shared" si="2"/>
        <v>-259784.4281324968</v>
      </c>
    </row>
    <row r="16" spans="1:11" x14ac:dyDescent="0.25">
      <c r="A16" s="37">
        <f>Données!A10</f>
        <v>5405</v>
      </c>
      <c r="B16" s="26" t="str">
        <f>Données!B10</f>
        <v>Gryon</v>
      </c>
      <c r="C16" s="611">
        <f>Ecrêtage!C10</f>
        <v>80049.808163265319</v>
      </c>
      <c r="D16" s="604">
        <f>Données!Z10</f>
        <v>1525</v>
      </c>
      <c r="E16" s="610">
        <f>Population!K13</f>
        <v>-328318.66197183094</v>
      </c>
      <c r="F16" s="604">
        <f>Solidarité!I10</f>
        <v>0</v>
      </c>
      <c r="G16" s="610">
        <f>+DT!O10</f>
        <v>-918723.08153580909</v>
      </c>
      <c r="H16" s="604">
        <f>Effort!K10+Aide!I10+Taux!J10</f>
        <v>0</v>
      </c>
      <c r="I16" s="605">
        <f t="shared" si="0"/>
        <v>-1247041.74350764</v>
      </c>
      <c r="J16" s="624">
        <f t="shared" si="1"/>
        <v>1570541.5681793545</v>
      </c>
      <c r="K16" s="626">
        <f t="shared" si="2"/>
        <v>323499.82467171457</v>
      </c>
    </row>
    <row r="17" spans="1:11" x14ac:dyDescent="0.25">
      <c r="A17" s="37">
        <f>Données!A11</f>
        <v>5406</v>
      </c>
      <c r="B17" s="26" t="str">
        <f>Données!B11</f>
        <v>Lavey-Morcles</v>
      </c>
      <c r="C17" s="611">
        <f>Ecrêtage!C11</f>
        <v>23811.433641742868</v>
      </c>
      <c r="D17" s="604">
        <f>Données!Z11</f>
        <v>1014</v>
      </c>
      <c r="E17" s="610">
        <f>Population!K14</f>
        <v>-138133.09859154929</v>
      </c>
      <c r="F17" s="604">
        <f>Solidarité!I11</f>
        <v>-548851.93733662961</v>
      </c>
      <c r="G17" s="610">
        <f>+DT!O11</f>
        <v>-252570.49770862024</v>
      </c>
      <c r="H17" s="604">
        <f>Effort!K11+Aide!I11+Taux!J11</f>
        <v>0</v>
      </c>
      <c r="I17" s="605">
        <f t="shared" si="0"/>
        <v>-939555.5336367992</v>
      </c>
      <c r="J17" s="624">
        <f t="shared" si="1"/>
        <v>467169.71833372628</v>
      </c>
      <c r="K17" s="626">
        <f t="shared" si="2"/>
        <v>-472385.81530307292</v>
      </c>
    </row>
    <row r="18" spans="1:11" x14ac:dyDescent="0.25">
      <c r="A18" s="37">
        <f>Données!A12</f>
        <v>5407</v>
      </c>
      <c r="B18" s="26" t="str">
        <f>Données!B12</f>
        <v>Leysin</v>
      </c>
      <c r="C18" s="611">
        <f>Ecrêtage!C12</f>
        <v>94315.702863247876</v>
      </c>
      <c r="D18" s="604">
        <f>Données!Z12</f>
        <v>3685</v>
      </c>
      <c r="E18" s="610">
        <f>Population!K15</f>
        <v>-1241496.4788732394</v>
      </c>
      <c r="F18" s="604">
        <f>Solidarité!I12</f>
        <v>-2184444.2631581519</v>
      </c>
      <c r="G18" s="610">
        <f>+DT!O12</f>
        <v>-1406871.3026057612</v>
      </c>
      <c r="H18" s="604">
        <f>Effort!K12+Aide!I12+Taux!J12</f>
        <v>0</v>
      </c>
      <c r="I18" s="605">
        <f t="shared" si="0"/>
        <v>-4832812.0446371529</v>
      </c>
      <c r="J18" s="624">
        <f t="shared" si="1"/>
        <v>1850432.0657042922</v>
      </c>
      <c r="K18" s="626">
        <f t="shared" si="2"/>
        <v>-2982379.9789328608</v>
      </c>
    </row>
    <row r="19" spans="1:11" x14ac:dyDescent="0.25">
      <c r="A19" s="37">
        <f>Données!A13</f>
        <v>5408</v>
      </c>
      <c r="B19" s="26" t="str">
        <f>Données!B13</f>
        <v>Noville</v>
      </c>
      <c r="C19" s="611">
        <f>Ecrêtage!C13</f>
        <v>41741.779422222215</v>
      </c>
      <c r="D19" s="604">
        <f>Données!Z13</f>
        <v>1208</v>
      </c>
      <c r="E19" s="610">
        <f>Population!K16</f>
        <v>-210336.61971830984</v>
      </c>
      <c r="F19" s="604">
        <f>Solidarité!I13</f>
        <v>-418660.21585997922</v>
      </c>
      <c r="G19" s="610">
        <f>+DT!O13</f>
        <v>-41101.030986326434</v>
      </c>
      <c r="H19" s="604">
        <f>Effort!K13+Aide!I13+Taux!J13</f>
        <v>0</v>
      </c>
      <c r="I19" s="605">
        <f t="shared" si="0"/>
        <v>-670097.86656461551</v>
      </c>
      <c r="J19" s="624">
        <f t="shared" si="1"/>
        <v>818955.1132798047</v>
      </c>
      <c r="K19" s="626">
        <f t="shared" si="2"/>
        <v>148857.24671518919</v>
      </c>
    </row>
    <row r="20" spans="1:11" x14ac:dyDescent="0.25">
      <c r="A20" s="37">
        <f>Données!A14</f>
        <v>5409</v>
      </c>
      <c r="B20" s="26" t="str">
        <f>Données!B14</f>
        <v>Ollon</v>
      </c>
      <c r="C20" s="611">
        <f>Ecrêtage!C14</f>
        <v>429709.0160746607</v>
      </c>
      <c r="D20" s="604">
        <f>Données!Z14</f>
        <v>8222</v>
      </c>
      <c r="E20" s="610">
        <f>Population!K17</f>
        <v>-3996395.7746478869</v>
      </c>
      <c r="F20" s="604">
        <f>Solidarité!I14</f>
        <v>0</v>
      </c>
      <c r="G20" s="610">
        <f>+DT!O14</f>
        <v>-3514734.2150615319</v>
      </c>
      <c r="H20" s="604">
        <f>Effort!K14+Aide!I14+Taux!J14</f>
        <v>0</v>
      </c>
      <c r="I20" s="605">
        <f t="shared" si="0"/>
        <v>-7511129.9897094183</v>
      </c>
      <c r="J20" s="624">
        <f t="shared" si="1"/>
        <v>8430699.4289138615</v>
      </c>
      <c r="K20" s="626">
        <f t="shared" si="2"/>
        <v>919569.43920444325</v>
      </c>
    </row>
    <row r="21" spans="1:11" x14ac:dyDescent="0.25">
      <c r="A21" s="37">
        <f>Données!A15</f>
        <v>5410</v>
      </c>
      <c r="B21" s="26" t="str">
        <f>Données!B15</f>
        <v>Ormont-Dessous</v>
      </c>
      <c r="C21" s="611">
        <f>Ecrêtage!C15</f>
        <v>39461.333506493509</v>
      </c>
      <c r="D21" s="604">
        <f>Données!Z15</f>
        <v>1244</v>
      </c>
      <c r="E21" s="610">
        <f>Population!K18</f>
        <v>-223735.2112676056</v>
      </c>
      <c r="F21" s="604">
        <f>Solidarité!I15</f>
        <v>-537980.26159882988</v>
      </c>
      <c r="G21" s="610">
        <f>+DT!O15</f>
        <v>-1754004.1741760192</v>
      </c>
      <c r="H21" s="604">
        <f>Effort!K15+Aide!I15+Taux!J15</f>
        <v>0</v>
      </c>
      <c r="I21" s="605">
        <f t="shared" si="0"/>
        <v>-2515719.6470424547</v>
      </c>
      <c r="J21" s="624">
        <f t="shared" si="1"/>
        <v>774213.78051693214</v>
      </c>
      <c r="K21" s="626">
        <f t="shared" si="2"/>
        <v>-1741505.8665255224</v>
      </c>
    </row>
    <row r="22" spans="1:11" x14ac:dyDescent="0.25">
      <c r="A22" s="37">
        <f>Données!A16</f>
        <v>5411</v>
      </c>
      <c r="B22" s="26" t="str">
        <f>Données!B16</f>
        <v>Ormont-Dessus</v>
      </c>
      <c r="C22" s="611">
        <f>Ecrêtage!C16</f>
        <v>82773.582149122798</v>
      </c>
      <c r="D22" s="604">
        <f>Données!Z16</f>
        <v>1435</v>
      </c>
      <c r="E22" s="610">
        <f>Population!K19</f>
        <v>-294822.18309859151</v>
      </c>
      <c r="F22" s="604">
        <f>Solidarité!I16</f>
        <v>0</v>
      </c>
      <c r="G22" s="610">
        <f>+DT!O16</f>
        <v>-528700.813646405</v>
      </c>
      <c r="H22" s="604">
        <f>Effort!K16+Aide!I16+Taux!J16</f>
        <v>0</v>
      </c>
      <c r="I22" s="605">
        <f t="shared" si="0"/>
        <v>-823522.99674499652</v>
      </c>
      <c r="J22" s="624">
        <f t="shared" si="1"/>
        <v>1623980.8001434081</v>
      </c>
      <c r="K22" s="626">
        <f t="shared" si="2"/>
        <v>800457.8033984116</v>
      </c>
    </row>
    <row r="23" spans="1:11" x14ac:dyDescent="0.25">
      <c r="A23" s="37">
        <f>Données!A17</f>
        <v>5412</v>
      </c>
      <c r="B23" s="26" t="str">
        <f>Données!B17</f>
        <v>Rennaz</v>
      </c>
      <c r="C23" s="611">
        <f>Ecrêtage!C17</f>
        <v>31259.838939393936</v>
      </c>
      <c r="D23" s="604">
        <f>Données!Z17</f>
        <v>949</v>
      </c>
      <c r="E23" s="610">
        <f>Population!K20</f>
        <v>-126143.48591549294</v>
      </c>
      <c r="F23" s="604">
        <f>Solidarité!I17</f>
        <v>-281384.49886017147</v>
      </c>
      <c r="G23" s="610">
        <f>+DT!O17</f>
        <v>-111162.92256211722</v>
      </c>
      <c r="H23" s="604">
        <f>Effort!K17+Aide!I17+Taux!J17</f>
        <v>0</v>
      </c>
      <c r="I23" s="605">
        <f t="shared" si="0"/>
        <v>-518690.90733778162</v>
      </c>
      <c r="J23" s="624">
        <f t="shared" si="1"/>
        <v>613304.11146993015</v>
      </c>
      <c r="K23" s="626">
        <f t="shared" si="2"/>
        <v>94613.20413214853</v>
      </c>
    </row>
    <row r="24" spans="1:11" x14ac:dyDescent="0.25">
      <c r="A24" s="37">
        <f>Données!A18</f>
        <v>5413</v>
      </c>
      <c r="B24" s="26" t="str">
        <f>Données!B18</f>
        <v>Roche</v>
      </c>
      <c r="C24" s="611">
        <f>Ecrêtage!C18</f>
        <v>41768.164926470592</v>
      </c>
      <c r="D24" s="604">
        <f>Données!Z18</f>
        <v>1996</v>
      </c>
      <c r="E24" s="610">
        <f>Population!K21</f>
        <v>-503616.90140845062</v>
      </c>
      <c r="F24" s="604">
        <f>Solidarité!I18</f>
        <v>-1071542.6111644269</v>
      </c>
      <c r="G24" s="610">
        <f>+DT!O18</f>
        <v>-129105.02582284012</v>
      </c>
      <c r="H24" s="604">
        <f>Effort!K18+Aide!I18+Taux!J18</f>
        <v>0</v>
      </c>
      <c r="I24" s="605">
        <f t="shared" si="0"/>
        <v>-1704264.5383957177</v>
      </c>
      <c r="J24" s="624">
        <f t="shared" si="1"/>
        <v>819472.78511650581</v>
      </c>
      <c r="K24" s="626">
        <f t="shared" si="2"/>
        <v>-884791.75327921193</v>
      </c>
    </row>
    <row r="25" spans="1:11" x14ac:dyDescent="0.25">
      <c r="A25" s="37">
        <f>Données!A19</f>
        <v>5414</v>
      </c>
      <c r="B25" s="26" t="str">
        <f>Données!B19</f>
        <v>Villeneuve</v>
      </c>
      <c r="C25" s="611">
        <f>Ecrêtage!C19</f>
        <v>175995.0642105263</v>
      </c>
      <c r="D25" s="604">
        <f>Données!Z19</f>
        <v>6039</v>
      </c>
      <c r="E25" s="610">
        <f>Population!K22</f>
        <v>-2603580.2816901407</v>
      </c>
      <c r="F25" s="604">
        <f>Solidarité!I19</f>
        <v>-2223207.9393781587</v>
      </c>
      <c r="G25" s="610">
        <f>+DT!O19</f>
        <v>-2237404.9348201179</v>
      </c>
      <c r="H25" s="604">
        <f>Effort!K19+Aide!I19+Taux!J19</f>
        <v>0</v>
      </c>
      <c r="I25" s="605">
        <f t="shared" si="0"/>
        <v>-7064193.1558884177</v>
      </c>
      <c r="J25" s="624">
        <f t="shared" si="1"/>
        <v>3452944.7412700858</v>
      </c>
      <c r="K25" s="626">
        <f t="shared" si="2"/>
        <v>-3611248.4146183319</v>
      </c>
    </row>
    <row r="26" spans="1:11" x14ac:dyDescent="0.25">
      <c r="A26" s="37">
        <f>Données!A20</f>
        <v>5415</v>
      </c>
      <c r="B26" s="26" t="str">
        <f>Données!B20</f>
        <v>Yvorne</v>
      </c>
      <c r="C26" s="611">
        <f>Ecrêtage!C20</f>
        <v>36884.950722610716</v>
      </c>
      <c r="D26" s="604">
        <f>Données!Z20</f>
        <v>1110</v>
      </c>
      <c r="E26" s="610">
        <f>Population!K23</f>
        <v>-173862.67605633801</v>
      </c>
      <c r="F26" s="604">
        <f>Solidarité!I20</f>
        <v>-379683.88041909866</v>
      </c>
      <c r="G26" s="610">
        <f>+DT!O20</f>
        <v>-286703.7183795179</v>
      </c>
      <c r="H26" s="604">
        <f>Effort!K20+Aide!I20+Taux!J20</f>
        <v>0</v>
      </c>
      <c r="I26" s="605">
        <f t="shared" si="0"/>
        <v>-840250.27485495456</v>
      </c>
      <c r="J26" s="624">
        <f t="shared" si="1"/>
        <v>723666.2982621725</v>
      </c>
      <c r="K26" s="626">
        <f t="shared" si="2"/>
        <v>-116583.97659278207</v>
      </c>
    </row>
    <row r="27" spans="1:11" x14ac:dyDescent="0.25">
      <c r="A27" s="37">
        <f>Données!A21</f>
        <v>5422</v>
      </c>
      <c r="B27" s="26" t="str">
        <f>Données!B21</f>
        <v>Aubonne</v>
      </c>
      <c r="C27" s="611">
        <f>Ecrêtage!C21</f>
        <v>367761.87779411761</v>
      </c>
      <c r="D27" s="604">
        <f>Données!Z21</f>
        <v>3862</v>
      </c>
      <c r="E27" s="610">
        <f>Population!K24</f>
        <v>-1335605.6338028167</v>
      </c>
      <c r="F27" s="604">
        <f>Solidarité!I21</f>
        <v>0</v>
      </c>
      <c r="G27" s="610">
        <f>+DT!O21</f>
        <v>0</v>
      </c>
      <c r="H27" s="604">
        <f>Effort!K21+Aide!I21+Taux!J21</f>
        <v>0</v>
      </c>
      <c r="I27" s="605">
        <f t="shared" si="0"/>
        <v>-1335605.6338028167</v>
      </c>
      <c r="J27" s="624">
        <f t="shared" si="1"/>
        <v>7215324.1777837295</v>
      </c>
      <c r="K27" s="626">
        <f t="shared" si="2"/>
        <v>5879718.5439809132</v>
      </c>
    </row>
    <row r="28" spans="1:11" x14ac:dyDescent="0.25">
      <c r="A28" s="37">
        <f>Données!A22</f>
        <v>5423</v>
      </c>
      <c r="B28" s="26" t="str">
        <f>Données!B22</f>
        <v>Ballens</v>
      </c>
      <c r="C28" s="611">
        <f>Ecrêtage!C22</f>
        <v>16526.279041095891</v>
      </c>
      <c r="D28" s="604">
        <f>Données!Z22</f>
        <v>579</v>
      </c>
      <c r="E28" s="610">
        <f>Population!K25</f>
        <v>-76962.147887323939</v>
      </c>
      <c r="F28" s="604">
        <f>Solidarité!I22</f>
        <v>-264264.71580268658</v>
      </c>
      <c r="G28" s="610">
        <f>+DT!O22</f>
        <v>-171924.34106318367</v>
      </c>
      <c r="H28" s="604">
        <f>Effort!K22+Aide!I22+Taux!J22</f>
        <v>0</v>
      </c>
      <c r="I28" s="605">
        <f t="shared" si="0"/>
        <v>-513151.20475319418</v>
      </c>
      <c r="J28" s="624">
        <f t="shared" si="1"/>
        <v>324238.23113274027</v>
      </c>
      <c r="K28" s="626">
        <f t="shared" si="2"/>
        <v>-188912.97362045391</v>
      </c>
    </row>
    <row r="29" spans="1:11" x14ac:dyDescent="0.25">
      <c r="A29" s="37">
        <f>Données!A23</f>
        <v>5424</v>
      </c>
      <c r="B29" s="26" t="str">
        <f>Données!B23</f>
        <v>Berolle</v>
      </c>
      <c r="C29" s="611">
        <f>Ecrêtage!C23</f>
        <v>9736.045430463575</v>
      </c>
      <c r="D29" s="604">
        <f>Données!Z23</f>
        <v>303</v>
      </c>
      <c r="E29" s="610">
        <f>Population!K26</f>
        <v>-40275.528169014076</v>
      </c>
      <c r="F29" s="604">
        <f>Solidarité!I23</f>
        <v>-123142.93206375597</v>
      </c>
      <c r="G29" s="610">
        <f>+DT!O23</f>
        <v>-91539.413368970243</v>
      </c>
      <c r="H29" s="604">
        <f>Effort!K23+Aide!I23+Taux!J23</f>
        <v>0</v>
      </c>
      <c r="I29" s="605">
        <f t="shared" si="0"/>
        <v>-254957.87360174028</v>
      </c>
      <c r="J29" s="624">
        <f t="shared" si="1"/>
        <v>191016.8732327162</v>
      </c>
      <c r="K29" s="626">
        <f t="shared" si="2"/>
        <v>-63941.000369024085</v>
      </c>
    </row>
    <row r="30" spans="1:11" x14ac:dyDescent="0.25">
      <c r="A30" s="37">
        <f>Données!A24</f>
        <v>5425</v>
      </c>
      <c r="B30" s="26" t="str">
        <f>Données!B24</f>
        <v>Bière</v>
      </c>
      <c r="C30" s="611">
        <f>Ecrêtage!C24</f>
        <v>44858.928245877061</v>
      </c>
      <c r="D30" s="604">
        <f>Données!Z24</f>
        <v>1680</v>
      </c>
      <c r="E30" s="610">
        <f>Population!K27</f>
        <v>-386007.0422535211</v>
      </c>
      <c r="F30" s="604">
        <f>Solidarité!I24</f>
        <v>-743923.08763843798</v>
      </c>
      <c r="G30" s="610">
        <f>+DT!O24</f>
        <v>-738202.8187762266</v>
      </c>
      <c r="H30" s="604">
        <f>Effort!K24+Aide!I24+Taux!J24</f>
        <v>0</v>
      </c>
      <c r="I30" s="605">
        <f t="shared" si="0"/>
        <v>-1868132.9486681856</v>
      </c>
      <c r="J30" s="624">
        <f t="shared" si="1"/>
        <v>880112.18428447831</v>
      </c>
      <c r="K30" s="626">
        <f t="shared" si="2"/>
        <v>-988020.76438370731</v>
      </c>
    </row>
    <row r="31" spans="1:11" x14ac:dyDescent="0.25">
      <c r="A31" s="37">
        <f>Données!A25</f>
        <v>5426</v>
      </c>
      <c r="B31" s="26" t="str">
        <f>Données!B25</f>
        <v>Bougy-Villars</v>
      </c>
      <c r="C31" s="611">
        <f>Ecrêtage!C25</f>
        <v>68704.794547803613</v>
      </c>
      <c r="D31" s="604">
        <f>Données!Z25</f>
        <v>511</v>
      </c>
      <c r="E31" s="610">
        <f>Population!K28</f>
        <v>-67923.415492957734</v>
      </c>
      <c r="F31" s="604">
        <f>Solidarité!I25</f>
        <v>0</v>
      </c>
      <c r="G31" s="610">
        <f>+DT!O25</f>
        <v>0</v>
      </c>
      <c r="H31" s="604">
        <f>Effort!K25+Aide!I25+Taux!J25</f>
        <v>0</v>
      </c>
      <c r="I31" s="605">
        <f t="shared" si="0"/>
        <v>-67923.415492957734</v>
      </c>
      <c r="J31" s="624">
        <f t="shared" si="1"/>
        <v>1347957.4560687658</v>
      </c>
      <c r="K31" s="626">
        <f t="shared" si="2"/>
        <v>1280034.0405758081</v>
      </c>
    </row>
    <row r="32" spans="1:11" x14ac:dyDescent="0.25">
      <c r="A32" s="37">
        <f>Données!A26</f>
        <v>5427</v>
      </c>
      <c r="B32" s="26" t="str">
        <f>Données!B26</f>
        <v>Féchy</v>
      </c>
      <c r="C32" s="611">
        <f>Ecrêtage!C26</f>
        <v>103018.21625</v>
      </c>
      <c r="D32" s="604">
        <f>Données!Z26</f>
        <v>919</v>
      </c>
      <c r="E32" s="610">
        <f>Population!K29</f>
        <v>-122155.80985915491</v>
      </c>
      <c r="F32" s="604">
        <f>Solidarité!I26</f>
        <v>0</v>
      </c>
      <c r="G32" s="610">
        <f>+DT!O26</f>
        <v>0</v>
      </c>
      <c r="H32" s="604">
        <f>Effort!K26+Aide!I26+Taux!J26</f>
        <v>0</v>
      </c>
      <c r="I32" s="605">
        <f t="shared" si="0"/>
        <v>-122155.80985915491</v>
      </c>
      <c r="J32" s="624">
        <f t="shared" si="1"/>
        <v>2021171.5007527268</v>
      </c>
      <c r="K32" s="626">
        <f t="shared" si="2"/>
        <v>1899015.6908935718</v>
      </c>
    </row>
    <row r="33" spans="1:11" x14ac:dyDescent="0.25">
      <c r="A33" s="37">
        <f>Données!A27</f>
        <v>5428</v>
      </c>
      <c r="B33" s="26" t="str">
        <f>Données!B27</f>
        <v>Gimel</v>
      </c>
      <c r="C33" s="611">
        <f>Ecrêtage!C27</f>
        <v>75149.866461187237</v>
      </c>
      <c r="D33" s="604">
        <f>Données!Z27</f>
        <v>2458</v>
      </c>
      <c r="E33" s="610">
        <f>Population!K30</f>
        <v>-675565.49295774638</v>
      </c>
      <c r="F33" s="604">
        <f>Solidarité!I27</f>
        <v>-1015520.7975610727</v>
      </c>
      <c r="G33" s="610">
        <f>+DT!O27</f>
        <v>-629460.38415602036</v>
      </c>
      <c r="H33" s="604">
        <f>Effort!K27+Aide!I27+Taux!J27</f>
        <v>0</v>
      </c>
      <c r="I33" s="605">
        <f t="shared" si="0"/>
        <v>-2320546.6746748397</v>
      </c>
      <c r="J33" s="624">
        <f t="shared" si="1"/>
        <v>1474406.8952632912</v>
      </c>
      <c r="K33" s="626">
        <f t="shared" si="2"/>
        <v>-846139.77941154852</v>
      </c>
    </row>
    <row r="34" spans="1:11" x14ac:dyDescent="0.25">
      <c r="A34" s="37">
        <f>Données!A28</f>
        <v>5429</v>
      </c>
      <c r="B34" s="26" t="str">
        <f>Données!B28</f>
        <v>Longirod</v>
      </c>
      <c r="C34" s="611">
        <f>Ecrêtage!C28</f>
        <v>17947.478064516126</v>
      </c>
      <c r="D34" s="604">
        <f>Données!Z28</f>
        <v>555</v>
      </c>
      <c r="E34" s="610">
        <f>Population!K31</f>
        <v>-73772.007042253506</v>
      </c>
      <c r="F34" s="604">
        <f>Solidarité!I28</f>
        <v>-234926.71538148448</v>
      </c>
      <c r="G34" s="610">
        <f>+DT!O28</f>
        <v>-110277.34841933167</v>
      </c>
      <c r="H34" s="604">
        <f>Effort!K28+Aide!I28+Taux!J28</f>
        <v>0</v>
      </c>
      <c r="I34" s="605">
        <f t="shared" si="0"/>
        <v>-418976.07084306964</v>
      </c>
      <c r="J34" s="624">
        <f t="shared" si="1"/>
        <v>352121.52272520744</v>
      </c>
      <c r="K34" s="626">
        <f t="shared" si="2"/>
        <v>-66854.548117862199</v>
      </c>
    </row>
    <row r="35" spans="1:11" x14ac:dyDescent="0.25">
      <c r="A35" s="37">
        <f>Données!A29</f>
        <v>5430</v>
      </c>
      <c r="B35" s="26" t="str">
        <f>Données!B29</f>
        <v>Marchissy</v>
      </c>
      <c r="C35" s="611">
        <f>Ecrêtage!C29</f>
        <v>16228.828774193547</v>
      </c>
      <c r="D35" s="604">
        <f>Données!Z29</f>
        <v>510</v>
      </c>
      <c r="E35" s="610">
        <f>Population!K32</f>
        <v>-67790.492957746465</v>
      </c>
      <c r="F35" s="604">
        <f>Solidarité!I29</f>
        <v>-222204.77351633259</v>
      </c>
      <c r="G35" s="610">
        <f>+DT!O29</f>
        <v>-74754.75615378005</v>
      </c>
      <c r="H35" s="604">
        <f>Effort!K29+Aide!I29+Taux!J29</f>
        <v>0</v>
      </c>
      <c r="I35" s="605">
        <f t="shared" si="0"/>
        <v>-364750.02262785909</v>
      </c>
      <c r="J35" s="624">
        <f t="shared" si="1"/>
        <v>318402.38943174103</v>
      </c>
      <c r="K35" s="626">
        <f t="shared" si="2"/>
        <v>-46347.633196118055</v>
      </c>
    </row>
    <row r="36" spans="1:11" x14ac:dyDescent="0.25">
      <c r="A36" s="37">
        <f>Données!A30</f>
        <v>5431</v>
      </c>
      <c r="B36" s="26" t="str">
        <f>Données!B30</f>
        <v>Mollens</v>
      </c>
      <c r="C36" s="611">
        <f>Ecrêtage!C30</f>
        <v>10701.336756756757</v>
      </c>
      <c r="D36" s="604">
        <f>Données!Z30</f>
        <v>324</v>
      </c>
      <c r="E36" s="610">
        <f>Population!K33</f>
        <v>-43066.9014084507</v>
      </c>
      <c r="F36" s="604">
        <f>Solidarité!I30</f>
        <v>-120137.07793418913</v>
      </c>
      <c r="G36" s="610">
        <f>+DT!O30</f>
        <v>-85681.353211472568</v>
      </c>
      <c r="H36" s="604">
        <f>Effort!K30+Aide!I30+Taux!J30</f>
        <v>0</v>
      </c>
      <c r="I36" s="605">
        <f t="shared" si="0"/>
        <v>-248885.33255411239</v>
      </c>
      <c r="J36" s="624">
        <f t="shared" si="1"/>
        <v>209955.45894743031</v>
      </c>
      <c r="K36" s="626">
        <f t="shared" si="2"/>
        <v>-38929.873606682086</v>
      </c>
    </row>
    <row r="37" spans="1:11" x14ac:dyDescent="0.25">
      <c r="A37" s="37">
        <f>Données!A31</f>
        <v>5434</v>
      </c>
      <c r="B37" s="26" t="str">
        <f>Données!B31</f>
        <v>Saint-George</v>
      </c>
      <c r="C37" s="611">
        <f>Ecrêtage!C31</f>
        <v>50881.209304556367</v>
      </c>
      <c r="D37" s="604">
        <f>Données!Z31</f>
        <v>1083</v>
      </c>
      <c r="E37" s="610">
        <f>Population!K34</f>
        <v>-163813.73239436618</v>
      </c>
      <c r="F37" s="604">
        <f>Solidarité!I31</f>
        <v>-62401.683631288943</v>
      </c>
      <c r="G37" s="610">
        <f>+DT!O31</f>
        <v>-56749.150888189994</v>
      </c>
      <c r="H37" s="604">
        <f>Effort!K31+Aide!I31+Taux!J31</f>
        <v>0</v>
      </c>
      <c r="I37" s="605">
        <f t="shared" si="0"/>
        <v>-282964.56691384513</v>
      </c>
      <c r="J37" s="624">
        <f t="shared" si="1"/>
        <v>998266.65529363416</v>
      </c>
      <c r="K37" s="626">
        <f t="shared" si="2"/>
        <v>715302.08837978903</v>
      </c>
    </row>
    <row r="38" spans="1:11" x14ac:dyDescent="0.25">
      <c r="A38" s="37">
        <f>Données!A32</f>
        <v>5435</v>
      </c>
      <c r="B38" s="26" t="str">
        <f>Données!B32</f>
        <v>Saint-Livres</v>
      </c>
      <c r="C38" s="611">
        <f>Ecrêtage!C32</f>
        <v>27013.42144927536</v>
      </c>
      <c r="D38" s="604">
        <f>Données!Z32</f>
        <v>715</v>
      </c>
      <c r="E38" s="610">
        <f>Population!K35</f>
        <v>-95039.61267605632</v>
      </c>
      <c r="F38" s="604">
        <f>Solidarité!I32</f>
        <v>-165825.46039967262</v>
      </c>
      <c r="G38" s="610">
        <f>+DT!O32</f>
        <v>-61769.141956973966</v>
      </c>
      <c r="H38" s="604">
        <f>Effort!K32+Aide!I32+Taux!J32</f>
        <v>0</v>
      </c>
      <c r="I38" s="605">
        <f t="shared" si="0"/>
        <v>-322634.21503270289</v>
      </c>
      <c r="J38" s="624">
        <f t="shared" si="1"/>
        <v>529991.29240017082</v>
      </c>
      <c r="K38" s="626">
        <f t="shared" si="2"/>
        <v>207357.07736746792</v>
      </c>
    </row>
    <row r="39" spans="1:11" x14ac:dyDescent="0.25">
      <c r="A39" s="37">
        <f>Données!A33</f>
        <v>5436</v>
      </c>
      <c r="B39" s="26" t="str">
        <f>Données!B33</f>
        <v>Saint-Oyens</v>
      </c>
      <c r="C39" s="611">
        <f>Ecrêtage!C33</f>
        <v>17587.95702531646</v>
      </c>
      <c r="D39" s="604">
        <f>Données!Z33</f>
        <v>457</v>
      </c>
      <c r="E39" s="610">
        <f>Population!K36</f>
        <v>-60745.598591549286</v>
      </c>
      <c r="F39" s="604">
        <f>Solidarité!I33</f>
        <v>-130901.55610017125</v>
      </c>
      <c r="G39" s="610">
        <f>+DT!O33</f>
        <v>0</v>
      </c>
      <c r="H39" s="604">
        <f>Effort!K33+Aide!I33+Taux!J33</f>
        <v>0</v>
      </c>
      <c r="I39" s="605">
        <f t="shared" si="0"/>
        <v>-191647.15469172053</v>
      </c>
      <c r="J39" s="624">
        <f t="shared" si="1"/>
        <v>345067.88012875669</v>
      </c>
      <c r="K39" s="626">
        <f t="shared" si="2"/>
        <v>153420.72543703616</v>
      </c>
    </row>
    <row r="40" spans="1:11" x14ac:dyDescent="0.25">
      <c r="A40" s="37">
        <f>Données!A34</f>
        <v>5437</v>
      </c>
      <c r="B40" s="26" t="str">
        <f>Données!B34</f>
        <v>Saubraz</v>
      </c>
      <c r="C40" s="611">
        <f>Ecrêtage!C34</f>
        <v>13211.02075</v>
      </c>
      <c r="D40" s="604">
        <f>Données!Z34</f>
        <v>446</v>
      </c>
      <c r="E40" s="610">
        <f>Population!K37</f>
        <v>-59283.450704225346</v>
      </c>
      <c r="F40" s="604">
        <f>Solidarité!I34</f>
        <v>-232166.6190447218</v>
      </c>
      <c r="G40" s="610">
        <f>+DT!O34</f>
        <v>-303235.84056920186</v>
      </c>
      <c r="H40" s="604">
        <f>Effort!K34+Aide!I34+Taux!J34</f>
        <v>0</v>
      </c>
      <c r="I40" s="605">
        <f t="shared" si="0"/>
        <v>-594685.91031814902</v>
      </c>
      <c r="J40" s="624">
        <f t="shared" si="1"/>
        <v>259194.34064898125</v>
      </c>
      <c r="K40" s="626">
        <f t="shared" si="2"/>
        <v>-335491.56966916774</v>
      </c>
    </row>
    <row r="41" spans="1:11" x14ac:dyDescent="0.25">
      <c r="A41" s="37">
        <f>Données!A35</f>
        <v>5451</v>
      </c>
      <c r="B41" s="26" t="str">
        <f>Données!B35</f>
        <v>Avenches</v>
      </c>
      <c r="C41" s="611">
        <f>Ecrêtage!C35</f>
        <v>142009.89482051283</v>
      </c>
      <c r="D41" s="604">
        <f>Données!Z35</f>
        <v>4895</v>
      </c>
      <c r="E41" s="610">
        <f>Population!K38</f>
        <v>-1884841.5492957742</v>
      </c>
      <c r="F41" s="604">
        <f>Solidarité!I35</f>
        <v>-1732578.2255195389</v>
      </c>
      <c r="G41" s="610">
        <f>+DT!O35</f>
        <v>-1334158.0173926929</v>
      </c>
      <c r="H41" s="604">
        <f>Effort!K35+Aide!I35+Taux!J35</f>
        <v>0</v>
      </c>
      <c r="I41" s="605">
        <f t="shared" si="0"/>
        <v>-4951577.7922080057</v>
      </c>
      <c r="J41" s="624">
        <f t="shared" si="1"/>
        <v>2786170.8606909877</v>
      </c>
      <c r="K41" s="626">
        <f t="shared" si="2"/>
        <v>-2165406.931517018</v>
      </c>
    </row>
    <row r="42" spans="1:11" x14ac:dyDescent="0.25">
      <c r="A42" s="37">
        <f>Données!A36</f>
        <v>5456</v>
      </c>
      <c r="B42" s="26" t="str">
        <f>Données!B36</f>
        <v>Cudrefin</v>
      </c>
      <c r="C42" s="611">
        <f>Ecrêtage!C36</f>
        <v>69270.195988700565</v>
      </c>
      <c r="D42" s="604">
        <f>Données!Z36</f>
        <v>1885</v>
      </c>
      <c r="E42" s="610">
        <f>Population!K39</f>
        <v>-462304.57746478869</v>
      </c>
      <c r="F42" s="604">
        <f>Solidarité!I36</f>
        <v>-346737.42053222406</v>
      </c>
      <c r="G42" s="610">
        <f>+DT!O36</f>
        <v>-227479.84180865213</v>
      </c>
      <c r="H42" s="604">
        <f>Effort!K36+Aide!I36+Taux!J36</f>
        <v>0</v>
      </c>
      <c r="I42" s="605">
        <f t="shared" si="0"/>
        <v>-1036521.8398056648</v>
      </c>
      <c r="J42" s="624">
        <f t="shared" si="1"/>
        <v>1359050.3804118959</v>
      </c>
      <c r="K42" s="626">
        <f t="shared" si="2"/>
        <v>322528.54060623108</v>
      </c>
    </row>
    <row r="43" spans="1:11" x14ac:dyDescent="0.25">
      <c r="A43" s="37">
        <f>Données!A37</f>
        <v>5458</v>
      </c>
      <c r="B43" s="26" t="str">
        <f>Données!B37</f>
        <v>Faoug</v>
      </c>
      <c r="C43" s="611">
        <f>Ecrêtage!C37</f>
        <v>33300.633333333331</v>
      </c>
      <c r="D43" s="604">
        <f>Données!Z37</f>
        <v>900</v>
      </c>
      <c r="E43" s="610">
        <f>Population!K40</f>
        <v>-119630.28169014082</v>
      </c>
      <c r="F43" s="604">
        <f>Solidarité!I37</f>
        <v>-197094.57016959018</v>
      </c>
      <c r="G43" s="610">
        <f>+DT!O37</f>
        <v>-102124.04676112492</v>
      </c>
      <c r="H43" s="604">
        <f>Effort!K37+Aide!I37+Taux!J37</f>
        <v>0</v>
      </c>
      <c r="I43" s="605">
        <f t="shared" si="0"/>
        <v>-418848.89862085594</v>
      </c>
      <c r="J43" s="624">
        <f t="shared" si="1"/>
        <v>653343.58815739653</v>
      </c>
      <c r="K43" s="626">
        <f t="shared" si="2"/>
        <v>234494.68953654059</v>
      </c>
    </row>
    <row r="44" spans="1:11" x14ac:dyDescent="0.25">
      <c r="A44" s="37">
        <f>Données!A38</f>
        <v>5464</v>
      </c>
      <c r="B44" s="26" t="str">
        <f>Données!B38</f>
        <v>Vully-les-Lacs</v>
      </c>
      <c r="C44" s="611">
        <f>Ecrêtage!C38</f>
        <v>124498.36985074625</v>
      </c>
      <c r="D44" s="604">
        <f>Données!Z38</f>
        <v>3639</v>
      </c>
      <c r="E44" s="610">
        <f>Population!K41</f>
        <v>-1217038.7323943661</v>
      </c>
      <c r="F44" s="604">
        <f>Solidarité!I38</f>
        <v>-1028826.2065697089</v>
      </c>
      <c r="G44" s="610">
        <f>+DT!O38</f>
        <v>-774068.87398019782</v>
      </c>
      <c r="H44" s="604">
        <f>Effort!K38+Aide!I38+Taux!J38</f>
        <v>0</v>
      </c>
      <c r="I44" s="605">
        <f t="shared" si="0"/>
        <v>-3019933.8129442725</v>
      </c>
      <c r="J44" s="624">
        <f t="shared" si="1"/>
        <v>2442602.5434361068</v>
      </c>
      <c r="K44" s="626">
        <f t="shared" si="2"/>
        <v>-577331.26950816577</v>
      </c>
    </row>
    <row r="45" spans="1:11" x14ac:dyDescent="0.25">
      <c r="A45" s="37">
        <f>Données!A39</f>
        <v>5471</v>
      </c>
      <c r="B45" s="26" t="str">
        <f>Données!B39</f>
        <v>Bettens</v>
      </c>
      <c r="C45" s="611">
        <f>Ecrêtage!C39</f>
        <v>23785.854190476188</v>
      </c>
      <c r="D45" s="604">
        <f>Données!Z39</f>
        <v>653</v>
      </c>
      <c r="E45" s="610">
        <f>Population!K42</f>
        <v>-86798.415492957734</v>
      </c>
      <c r="F45" s="604">
        <f>Solidarité!I39</f>
        <v>-173207.87252268303</v>
      </c>
      <c r="G45" s="610">
        <f>+DT!O39</f>
        <v>-4268.6910529760544</v>
      </c>
      <c r="H45" s="604">
        <f>Effort!K39+Aide!I39+Taux!J39</f>
        <v>0</v>
      </c>
      <c r="I45" s="605">
        <f t="shared" si="0"/>
        <v>-264274.97906861681</v>
      </c>
      <c r="J45" s="624">
        <f t="shared" si="1"/>
        <v>466667.86089737108</v>
      </c>
      <c r="K45" s="626">
        <f t="shared" si="2"/>
        <v>202392.88182875427</v>
      </c>
    </row>
    <row r="46" spans="1:11" x14ac:dyDescent="0.25">
      <c r="A46" s="37">
        <f>Données!A40</f>
        <v>5472</v>
      </c>
      <c r="B46" s="26" t="str">
        <f>Données!B40</f>
        <v>Bournens</v>
      </c>
      <c r="C46" s="611">
        <f>Ecrêtage!C40</f>
        <v>19794.03169230769</v>
      </c>
      <c r="D46" s="604">
        <f>Données!Z40</f>
        <v>532</v>
      </c>
      <c r="E46" s="610">
        <f>Population!K43</f>
        <v>-70714.788732394358</v>
      </c>
      <c r="F46" s="604">
        <f>Solidarité!I40</f>
        <v>-114652.51178245134</v>
      </c>
      <c r="G46" s="610">
        <f>+DT!O40</f>
        <v>-68186.981438593357</v>
      </c>
      <c r="H46" s="604">
        <f>Effort!K40+Aide!I40+Taux!J40</f>
        <v>0</v>
      </c>
      <c r="I46" s="605">
        <f t="shared" si="0"/>
        <v>-253554.28195343906</v>
      </c>
      <c r="J46" s="624">
        <f t="shared" si="1"/>
        <v>388350.08212917461</v>
      </c>
      <c r="K46" s="626">
        <f t="shared" si="2"/>
        <v>134795.80017573555</v>
      </c>
    </row>
    <row r="47" spans="1:11" x14ac:dyDescent="0.25">
      <c r="A47" s="37">
        <f>Données!A41</f>
        <v>5473</v>
      </c>
      <c r="B47" s="26" t="str">
        <f>Données!B41</f>
        <v>Boussens</v>
      </c>
      <c r="C47" s="611">
        <f>Ecrêtage!C41</f>
        <v>38638.005156250001</v>
      </c>
      <c r="D47" s="604">
        <f>Données!Z41</f>
        <v>1007</v>
      </c>
      <c r="E47" s="610">
        <f>Population!K44</f>
        <v>-135527.81690140843</v>
      </c>
      <c r="F47" s="604">
        <f>Solidarité!I41</f>
        <v>-191223.00050460402</v>
      </c>
      <c r="G47" s="610">
        <f>+DT!O41</f>
        <v>0</v>
      </c>
      <c r="H47" s="604">
        <f>Effort!K41+Aide!I41+Taux!J41</f>
        <v>0</v>
      </c>
      <c r="I47" s="605">
        <f t="shared" si="0"/>
        <v>-326750.81740601244</v>
      </c>
      <c r="J47" s="624">
        <f t="shared" si="1"/>
        <v>758060.44513753091</v>
      </c>
      <c r="K47" s="626">
        <f t="shared" si="2"/>
        <v>431309.62773151847</v>
      </c>
    </row>
    <row r="48" spans="1:11" x14ac:dyDescent="0.25">
      <c r="A48" s="37">
        <f>Données!A42</f>
        <v>5474</v>
      </c>
      <c r="B48" s="26" t="str">
        <f>Données!B42</f>
        <v>La Chaux (Cossonay)</v>
      </c>
      <c r="C48" s="611">
        <f>Ecrêtage!C42</f>
        <v>13264.060789473682</v>
      </c>
      <c r="D48" s="604">
        <f>Données!Z42</f>
        <v>436</v>
      </c>
      <c r="E48" s="610">
        <f>Population!K45</f>
        <v>-57954.225352112669</v>
      </c>
      <c r="F48" s="604">
        <f>Solidarité!I42</f>
        <v>-196767.33198854441</v>
      </c>
      <c r="G48" s="610">
        <f>+DT!O42</f>
        <v>-108176.31498787391</v>
      </c>
      <c r="H48" s="604">
        <f>Effort!K42+Aide!I42+Taux!J42</f>
        <v>0</v>
      </c>
      <c r="I48" s="605">
        <f t="shared" si="0"/>
        <v>-362897.872328531</v>
      </c>
      <c r="J48" s="624">
        <f t="shared" si="1"/>
        <v>260234.96259027804</v>
      </c>
      <c r="K48" s="626">
        <f t="shared" si="2"/>
        <v>-102662.90973825296</v>
      </c>
    </row>
    <row r="49" spans="1:11" x14ac:dyDescent="0.25">
      <c r="A49" s="37">
        <f>Données!A43</f>
        <v>5475</v>
      </c>
      <c r="B49" s="26" t="str">
        <f>Données!B43</f>
        <v>Chavannes-le-Veyron</v>
      </c>
      <c r="C49" s="611">
        <f>Ecrêtage!C43</f>
        <v>4088.5965333333334</v>
      </c>
      <c r="D49" s="604">
        <f>Données!Z43</f>
        <v>160</v>
      </c>
      <c r="E49" s="610">
        <f>Population!K46</f>
        <v>-21267.605633802814</v>
      </c>
      <c r="F49" s="604">
        <f>Solidarité!I43</f>
        <v>-87838.030202207796</v>
      </c>
      <c r="G49" s="610">
        <f>+DT!O43</f>
        <v>-108719.58573987351</v>
      </c>
      <c r="H49" s="604">
        <f>Effort!K43+Aide!I43+Taux!J43</f>
        <v>0</v>
      </c>
      <c r="I49" s="605">
        <f t="shared" si="0"/>
        <v>-217825.22157588412</v>
      </c>
      <c r="J49" s="624">
        <f t="shared" si="1"/>
        <v>80216.442218292927</v>
      </c>
      <c r="K49" s="626">
        <f t="shared" si="2"/>
        <v>-137608.77935759118</v>
      </c>
    </row>
    <row r="50" spans="1:11" x14ac:dyDescent="0.25">
      <c r="A50" s="37">
        <f>Données!A44</f>
        <v>5476</v>
      </c>
      <c r="B50" s="26" t="str">
        <f>Données!B44</f>
        <v>Chevilly</v>
      </c>
      <c r="C50" s="611">
        <f>Ecrêtage!C44</f>
        <v>11956.878714285715</v>
      </c>
      <c r="D50" s="604">
        <f>Données!Z44</f>
        <v>346</v>
      </c>
      <c r="E50" s="610">
        <f>Population!K47</f>
        <v>-45991.197183098586</v>
      </c>
      <c r="F50" s="604">
        <f>Solidarité!I44</f>
        <v>-104438.31746193464</v>
      </c>
      <c r="G50" s="610">
        <f>+DT!O44</f>
        <v>-113746.01684777453</v>
      </c>
      <c r="H50" s="604">
        <f>Effort!K44+Aide!I44+Taux!J44</f>
        <v>0</v>
      </c>
      <c r="I50" s="605">
        <f t="shared" si="0"/>
        <v>-264175.53149280779</v>
      </c>
      <c r="J50" s="624">
        <f t="shared" si="1"/>
        <v>234588.63271932447</v>
      </c>
      <c r="K50" s="626">
        <f t="shared" si="2"/>
        <v>-29586.898773483321</v>
      </c>
    </row>
    <row r="51" spans="1:11" x14ac:dyDescent="0.25">
      <c r="A51" s="37">
        <f>Données!A45</f>
        <v>5477</v>
      </c>
      <c r="B51" s="26" t="str">
        <f>Données!B45</f>
        <v>Cossonay</v>
      </c>
      <c r="C51" s="611">
        <f>Ecrêtage!C45</f>
        <v>181500.7204411765</v>
      </c>
      <c r="D51" s="604">
        <f>Données!Z45</f>
        <v>4902</v>
      </c>
      <c r="E51" s="610">
        <f>Population!K48</f>
        <v>-1888563.3802816898</v>
      </c>
      <c r="F51" s="604">
        <f>Solidarité!I45</f>
        <v>-1172609.4005452972</v>
      </c>
      <c r="G51" s="610">
        <f>+DT!O45</f>
        <v>-838841.32991320093</v>
      </c>
      <c r="H51" s="604">
        <f>Effort!K45+Aide!I45+Taux!J45</f>
        <v>0</v>
      </c>
      <c r="I51" s="605">
        <f t="shared" si="0"/>
        <v>-3900014.1107401876</v>
      </c>
      <c r="J51" s="624">
        <f t="shared" si="1"/>
        <v>3560963.2633470669</v>
      </c>
      <c r="K51" s="626">
        <f t="shared" si="2"/>
        <v>-339050.84739312064</v>
      </c>
    </row>
    <row r="52" spans="1:11" x14ac:dyDescent="0.25">
      <c r="A52" s="37">
        <f>Données!A46</f>
        <v>5479</v>
      </c>
      <c r="B52" s="26" t="str">
        <f>Données!B46</f>
        <v>Cuarnens</v>
      </c>
      <c r="C52" s="611">
        <f>Ecrêtage!C46</f>
        <v>19152.633421052633</v>
      </c>
      <c r="D52" s="604">
        <f>Données!Z46</f>
        <v>561</v>
      </c>
      <c r="E52" s="610">
        <f>Population!K49</f>
        <v>-74569.542253521111</v>
      </c>
      <c r="F52" s="604">
        <f>Solidarité!I46</f>
        <v>-205013.78163775115</v>
      </c>
      <c r="G52" s="610">
        <f>+DT!O46</f>
        <v>-201508.28980523979</v>
      </c>
      <c r="H52" s="604">
        <f>Effort!K46+Aide!I46+Taux!J46</f>
        <v>0</v>
      </c>
      <c r="I52" s="605">
        <f t="shared" si="0"/>
        <v>-481091.61369651207</v>
      </c>
      <c r="J52" s="624">
        <f t="shared" si="1"/>
        <v>375766.13383650762</v>
      </c>
      <c r="K52" s="626">
        <f t="shared" si="2"/>
        <v>-105325.47986000445</v>
      </c>
    </row>
    <row r="53" spans="1:11" x14ac:dyDescent="0.25">
      <c r="A53" s="37">
        <f>Données!A47</f>
        <v>5480</v>
      </c>
      <c r="B53" s="26" t="str">
        <f>Données!B47</f>
        <v>Daillens</v>
      </c>
      <c r="C53" s="611">
        <f>Ecrêtage!C47</f>
        <v>49509.108484848482</v>
      </c>
      <c r="D53" s="604">
        <f>Données!Z47</f>
        <v>1099</v>
      </c>
      <c r="E53" s="610">
        <f>Population!K50</f>
        <v>-169768.66197183097</v>
      </c>
      <c r="F53" s="604">
        <f>Solidarité!I47</f>
        <v>-94092.936056662496</v>
      </c>
      <c r="G53" s="610">
        <f>+DT!O47</f>
        <v>-96967.07794191163</v>
      </c>
      <c r="H53" s="604">
        <f>Effort!K47+Aide!I47+Taux!J47</f>
        <v>0</v>
      </c>
      <c r="I53" s="605">
        <f t="shared" si="0"/>
        <v>-360828.67597040511</v>
      </c>
      <c r="J53" s="624">
        <f t="shared" si="1"/>
        <v>971346.64858119958</v>
      </c>
      <c r="K53" s="626">
        <f t="shared" si="2"/>
        <v>610517.97261079447</v>
      </c>
    </row>
    <row r="54" spans="1:11" x14ac:dyDescent="0.25">
      <c r="A54" s="37">
        <f>Données!A48</f>
        <v>5481</v>
      </c>
      <c r="B54" s="26" t="str">
        <f>Données!B48</f>
        <v>Dizy</v>
      </c>
      <c r="C54" s="611">
        <f>Ecrêtage!C48</f>
        <v>12384.965733333334</v>
      </c>
      <c r="D54" s="604">
        <f>Données!Z48</f>
        <v>238</v>
      </c>
      <c r="E54" s="610">
        <f>Population!K51</f>
        <v>-31635.563380281685</v>
      </c>
      <c r="F54" s="604">
        <f>Solidarité!I48</f>
        <v>0</v>
      </c>
      <c r="G54" s="610">
        <f>+DT!O48</f>
        <v>-7195.4905323093444</v>
      </c>
      <c r="H54" s="604">
        <f>Effort!K48+Aide!I48+Taux!J48</f>
        <v>0</v>
      </c>
      <c r="I54" s="605">
        <f t="shared" si="0"/>
        <v>-38831.053912591029</v>
      </c>
      <c r="J54" s="624">
        <f t="shared" si="1"/>
        <v>242987.50928928488</v>
      </c>
      <c r="K54" s="626">
        <f t="shared" si="2"/>
        <v>204156.45537669386</v>
      </c>
    </row>
    <row r="55" spans="1:11" x14ac:dyDescent="0.25">
      <c r="A55" s="37">
        <f>Données!A49</f>
        <v>5482</v>
      </c>
      <c r="B55" s="26" t="str">
        <f>Données!B49</f>
        <v>Eclépens</v>
      </c>
      <c r="C55" s="611">
        <f>Ecrêtage!C49</f>
        <v>54393.337391304347</v>
      </c>
      <c r="D55" s="604">
        <f>Données!Z49</f>
        <v>1211</v>
      </c>
      <c r="E55" s="610">
        <f>Population!K52</f>
        <v>-211453.1690140845</v>
      </c>
      <c r="F55" s="604">
        <f>Solidarité!I49</f>
        <v>-51729.715129302254</v>
      </c>
      <c r="G55" s="610">
        <f>+DT!O49</f>
        <v>-157642.70175426122</v>
      </c>
      <c r="H55" s="604">
        <f>Effort!K49+Aide!I49+Taux!J49</f>
        <v>0</v>
      </c>
      <c r="I55" s="605">
        <f t="shared" si="0"/>
        <v>-420825.58589764795</v>
      </c>
      <c r="J55" s="624">
        <f t="shared" si="1"/>
        <v>1067173.0434483427</v>
      </c>
      <c r="K55" s="626">
        <f t="shared" si="2"/>
        <v>646347.4575506947</v>
      </c>
    </row>
    <row r="56" spans="1:11" x14ac:dyDescent="0.25">
      <c r="A56" s="37">
        <f>Données!A50</f>
        <v>5483</v>
      </c>
      <c r="B56" s="26" t="str">
        <f>Données!B50</f>
        <v>Ferreyres</v>
      </c>
      <c r="C56" s="611">
        <f>Ecrêtage!C50</f>
        <v>11195.615526315791</v>
      </c>
      <c r="D56" s="604">
        <f>Données!Z50</f>
        <v>309</v>
      </c>
      <c r="E56" s="610">
        <f>Population!K53</f>
        <v>-41073.063380281681</v>
      </c>
      <c r="F56" s="604">
        <f>Solidarité!I50</f>
        <v>-97997.314953641195</v>
      </c>
      <c r="G56" s="610">
        <f>+DT!O50</f>
        <v>-2865.4992116561202</v>
      </c>
      <c r="H56" s="604">
        <f>Effort!K50+Aide!I50+Taux!J50</f>
        <v>0</v>
      </c>
      <c r="I56" s="605">
        <f t="shared" si="0"/>
        <v>-141935.87754557902</v>
      </c>
      <c r="J56" s="624">
        <f t="shared" si="1"/>
        <v>219652.98816920855</v>
      </c>
      <c r="K56" s="626">
        <f t="shared" si="2"/>
        <v>77717.110623629531</v>
      </c>
    </row>
    <row r="57" spans="1:11" x14ac:dyDescent="0.25">
      <c r="A57" s="37">
        <f>Données!A51</f>
        <v>5484</v>
      </c>
      <c r="B57" s="26" t="str">
        <f>Données!B51</f>
        <v>Gollion</v>
      </c>
      <c r="C57" s="611">
        <f>Ecrêtage!C51</f>
        <v>33718.962837837833</v>
      </c>
      <c r="D57" s="604">
        <f>Données!Z51</f>
        <v>1064</v>
      </c>
      <c r="E57" s="610">
        <f>Population!K54</f>
        <v>-156742.25352112675</v>
      </c>
      <c r="F57" s="604">
        <f>Solidarité!I51</f>
        <v>-425693.27348359482</v>
      </c>
      <c r="G57" s="610">
        <f>+DT!O51</f>
        <v>-420398.47938559193</v>
      </c>
      <c r="H57" s="604">
        <f>Effort!K51+Aide!I51+Taux!J51</f>
        <v>0</v>
      </c>
      <c r="I57" s="605">
        <f t="shared" si="0"/>
        <v>-1002834.0063903135</v>
      </c>
      <c r="J57" s="624">
        <f t="shared" si="1"/>
        <v>661551.02663969994</v>
      </c>
      <c r="K57" s="626">
        <f t="shared" si="2"/>
        <v>-341282.97975061357</v>
      </c>
    </row>
    <row r="58" spans="1:11" x14ac:dyDescent="0.25">
      <c r="A58" s="37">
        <f>Données!A52</f>
        <v>5485</v>
      </c>
      <c r="B58" s="26" t="str">
        <f>Données!B52</f>
        <v>Grancy</v>
      </c>
      <c r="C58" s="611">
        <f>Ecrêtage!C52</f>
        <v>26449.499428571431</v>
      </c>
      <c r="D58" s="604">
        <f>Données!Z52</f>
        <v>540</v>
      </c>
      <c r="E58" s="610">
        <f>Population!K55</f>
        <v>-71778.169014084502</v>
      </c>
      <c r="F58" s="604">
        <f>Solidarité!I52</f>
        <v>-10418.730665112653</v>
      </c>
      <c r="G58" s="610">
        <f>+DT!O52</f>
        <v>-92092.248870989308</v>
      </c>
      <c r="H58" s="604">
        <f>Effort!K52+Aide!I52+Taux!J52</f>
        <v>0</v>
      </c>
      <c r="I58" s="605">
        <f t="shared" si="0"/>
        <v>-174289.14855018648</v>
      </c>
      <c r="J58" s="624">
        <f t="shared" si="1"/>
        <v>518927.39362203929</v>
      </c>
      <c r="K58" s="626">
        <f t="shared" si="2"/>
        <v>344638.24507185281</v>
      </c>
    </row>
    <row r="59" spans="1:11" x14ac:dyDescent="0.25">
      <c r="A59" s="37">
        <f>Données!A53</f>
        <v>5486</v>
      </c>
      <c r="B59" s="26" t="str">
        <f>Données!B53</f>
        <v>L'Isle</v>
      </c>
      <c r="C59" s="611">
        <f>Ecrêtage!C53</f>
        <v>36962.66320000001</v>
      </c>
      <c r="D59" s="604">
        <f>Données!Z53</f>
        <v>1096</v>
      </c>
      <c r="E59" s="610">
        <f>Population!K56</f>
        <v>-168652.11267605633</v>
      </c>
      <c r="F59" s="604">
        <f>Solidarité!I53</f>
        <v>-400286.66428549949</v>
      </c>
      <c r="G59" s="610">
        <f>+DT!O53</f>
        <v>-270626.29219862982</v>
      </c>
      <c r="H59" s="604">
        <f>Effort!K53+Aide!I53+Taux!J53</f>
        <v>0</v>
      </c>
      <c r="I59" s="605">
        <f t="shared" si="0"/>
        <v>-839565.06916018564</v>
      </c>
      <c r="J59" s="624">
        <f t="shared" si="1"/>
        <v>725190.9824420166</v>
      </c>
      <c r="K59" s="626">
        <f t="shared" si="2"/>
        <v>-114374.08671816904</v>
      </c>
    </row>
    <row r="60" spans="1:11" x14ac:dyDescent="0.25">
      <c r="A60" s="37">
        <f>Données!A54</f>
        <v>5487</v>
      </c>
      <c r="B60" s="26" t="str">
        <f>Données!B54</f>
        <v>Lussery-Villars</v>
      </c>
      <c r="C60" s="611">
        <f>Ecrêtage!C54</f>
        <v>15075.076666666666</v>
      </c>
      <c r="D60" s="604">
        <f>Données!Z54</f>
        <v>468</v>
      </c>
      <c r="E60" s="610">
        <f>Population!K57</f>
        <v>-62207.746478873232</v>
      </c>
      <c r="F60" s="604">
        <f>Solidarité!I54</f>
        <v>-186852.96129600485</v>
      </c>
      <c r="G60" s="610">
        <f>+DT!O54</f>
        <v>0</v>
      </c>
      <c r="H60" s="604">
        <f>Effort!K54+Aide!I54+Taux!J54</f>
        <v>0</v>
      </c>
      <c r="I60" s="605">
        <f t="shared" si="0"/>
        <v>-249060.70777487807</v>
      </c>
      <c r="J60" s="624">
        <f t="shared" si="1"/>
        <v>295766.28716214141</v>
      </c>
      <c r="K60" s="626">
        <f t="shared" si="2"/>
        <v>46705.579387263337</v>
      </c>
    </row>
    <row r="61" spans="1:11" x14ac:dyDescent="0.25">
      <c r="A61" s="37">
        <f>Données!A55</f>
        <v>5488</v>
      </c>
      <c r="B61" s="26" t="str">
        <f>Données!B55</f>
        <v>Mauraz</v>
      </c>
      <c r="C61" s="611">
        <f>Ecrêtage!C55</f>
        <v>1889.5633766233766</v>
      </c>
      <c r="D61" s="604">
        <f>Données!Z55</f>
        <v>67</v>
      </c>
      <c r="E61" s="610">
        <f>Population!K58</f>
        <v>-8905.8098591549278</v>
      </c>
      <c r="F61" s="604">
        <f>Solidarité!I55</f>
        <v>-34563.433575401454</v>
      </c>
      <c r="G61" s="610">
        <f>+DT!O55</f>
        <v>-41037.157232240053</v>
      </c>
      <c r="H61" s="604">
        <f>Effort!K55+Aide!I55+Taux!J55</f>
        <v>0</v>
      </c>
      <c r="I61" s="605">
        <f t="shared" si="0"/>
        <v>-84506.400666796428</v>
      </c>
      <c r="J61" s="624">
        <f t="shared" si="1"/>
        <v>37072.391512091053</v>
      </c>
      <c r="K61" s="626">
        <f t="shared" si="2"/>
        <v>-47434.009154705374</v>
      </c>
    </row>
    <row r="62" spans="1:11" x14ac:dyDescent="0.25">
      <c r="A62" s="37">
        <f>Données!A56</f>
        <v>5489</v>
      </c>
      <c r="B62" s="26" t="str">
        <f>Données!B56</f>
        <v>Mex</v>
      </c>
      <c r="C62" s="611">
        <f>Ecrêtage!C56</f>
        <v>77108.405546218492</v>
      </c>
      <c r="D62" s="604">
        <f>Données!Z56</f>
        <v>809</v>
      </c>
      <c r="E62" s="610">
        <f>Population!K59</f>
        <v>-107534.33098591548</v>
      </c>
      <c r="F62" s="604">
        <f>Solidarité!I56</f>
        <v>0</v>
      </c>
      <c r="G62" s="610">
        <f>+DT!O56</f>
        <v>-1189866.191458652</v>
      </c>
      <c r="H62" s="604">
        <f>Effort!K56+Aide!I56+Taux!J56</f>
        <v>0</v>
      </c>
      <c r="I62" s="605">
        <f t="shared" si="0"/>
        <v>-1297400.5224445674</v>
      </c>
      <c r="J62" s="624">
        <f t="shared" si="1"/>
        <v>1512832.5594406738</v>
      </c>
      <c r="K62" s="626">
        <f t="shared" si="2"/>
        <v>215432.03699610638</v>
      </c>
    </row>
    <row r="63" spans="1:11" x14ac:dyDescent="0.25">
      <c r="A63" s="37">
        <f>Données!A57</f>
        <v>5490</v>
      </c>
      <c r="B63" s="26" t="str">
        <f>Données!B57</f>
        <v>Moiry</v>
      </c>
      <c r="C63" s="611">
        <f>Ecrêtage!C57</f>
        <v>8086.7260526315777</v>
      </c>
      <c r="D63" s="604">
        <f>Données!Z57</f>
        <v>299</v>
      </c>
      <c r="E63" s="610">
        <f>Population!K60</f>
        <v>-39743.838028169012</v>
      </c>
      <c r="F63" s="604">
        <f>Solidarité!I57</f>
        <v>-158250.82610087379</v>
      </c>
      <c r="G63" s="610">
        <f>+DT!O57</f>
        <v>-47636.178424936952</v>
      </c>
      <c r="H63" s="604">
        <f>Effort!K57+Aide!I57+Taux!J57</f>
        <v>0</v>
      </c>
      <c r="I63" s="605">
        <f t="shared" si="0"/>
        <v>-245630.84255397975</v>
      </c>
      <c r="J63" s="624">
        <f t="shared" si="1"/>
        <v>158657.96193082057</v>
      </c>
      <c r="K63" s="626">
        <f t="shared" si="2"/>
        <v>-86972.880623159173</v>
      </c>
    </row>
    <row r="64" spans="1:11" x14ac:dyDescent="0.25">
      <c r="A64" s="37">
        <f>Données!A58</f>
        <v>5491</v>
      </c>
      <c r="B64" s="26" t="str">
        <f>Données!B58</f>
        <v>Mont-la-Ville</v>
      </c>
      <c r="C64" s="611">
        <f>Ecrêtage!C58</f>
        <v>14059.996578947368</v>
      </c>
      <c r="D64" s="604">
        <f>Données!Z58</f>
        <v>495</v>
      </c>
      <c r="E64" s="610">
        <f>Population!K61</f>
        <v>-65796.65492957746</v>
      </c>
      <c r="F64" s="604">
        <f>Solidarité!I58</f>
        <v>-246462.75760209089</v>
      </c>
      <c r="G64" s="610">
        <f>+DT!O58</f>
        <v>-763275.56671923411</v>
      </c>
      <c r="H64" s="604">
        <f>Effort!K58+Aide!I58+Taux!J58</f>
        <v>0</v>
      </c>
      <c r="I64" s="605">
        <f t="shared" si="0"/>
        <v>-1075534.9792509023</v>
      </c>
      <c r="J64" s="624">
        <f t="shared" si="1"/>
        <v>275850.86813274404</v>
      </c>
      <c r="K64" s="626">
        <f t="shared" si="2"/>
        <v>-799684.11111815833</v>
      </c>
    </row>
    <row r="65" spans="1:11" x14ac:dyDescent="0.25">
      <c r="A65" s="37">
        <f>Données!A59</f>
        <v>5492</v>
      </c>
      <c r="B65" s="26" t="str">
        <f>Données!B59</f>
        <v>Montricher</v>
      </c>
      <c r="C65" s="611">
        <f>Ecrêtage!C59</f>
        <v>198155.03156250002</v>
      </c>
      <c r="D65" s="604">
        <f>Données!Z59</f>
        <v>943</v>
      </c>
      <c r="E65" s="610">
        <f>Population!K62</f>
        <v>-125345.95070422534</v>
      </c>
      <c r="F65" s="604">
        <f>Solidarité!I59</f>
        <v>0</v>
      </c>
      <c r="G65" s="610">
        <f>+DT!O59</f>
        <v>-46503.771303368361</v>
      </c>
      <c r="H65" s="604">
        <f>Effort!K59+Aide!I59+Taux!J59</f>
        <v>-1076679.7905835477</v>
      </c>
      <c r="I65" s="605">
        <f t="shared" si="0"/>
        <v>-1248529.5125911413</v>
      </c>
      <c r="J65" s="624">
        <f t="shared" si="1"/>
        <v>3887713.4268463142</v>
      </c>
      <c r="K65" s="626">
        <f t="shared" si="2"/>
        <v>2639183.9142551729</v>
      </c>
    </row>
    <row r="66" spans="1:11" x14ac:dyDescent="0.25">
      <c r="A66" s="37">
        <f>Données!A60</f>
        <v>5493</v>
      </c>
      <c r="B66" s="26" t="str">
        <f>Données!B60</f>
        <v>Orny</v>
      </c>
      <c r="C66" s="611">
        <f>Ecrêtage!C60</f>
        <v>16121.406280295052</v>
      </c>
      <c r="D66" s="604">
        <f>Données!Z60</f>
        <v>497</v>
      </c>
      <c r="E66" s="610">
        <f>Population!K63</f>
        <v>-66062.499999999985</v>
      </c>
      <c r="F66" s="604">
        <f>Solidarité!I60</f>
        <v>-185599.3055381623</v>
      </c>
      <c r="G66" s="610">
        <f>+DT!O60</f>
        <v>-81042.171455010393</v>
      </c>
      <c r="H66" s="604">
        <f>Effort!K60+Aide!I60+Taux!J60</f>
        <v>0</v>
      </c>
      <c r="I66" s="605">
        <f t="shared" si="0"/>
        <v>-332703.97699317266</v>
      </c>
      <c r="J66" s="624">
        <f t="shared" si="1"/>
        <v>316294.80796594929</v>
      </c>
      <c r="K66" s="626">
        <f t="shared" si="2"/>
        <v>-16409.169027223368</v>
      </c>
    </row>
    <row r="67" spans="1:11" x14ac:dyDescent="0.25">
      <c r="A67" s="37">
        <f>Données!A61</f>
        <v>5495</v>
      </c>
      <c r="B67" s="26" t="str">
        <f>Données!B61</f>
        <v>Penthalaz</v>
      </c>
      <c r="C67" s="611">
        <f>Ecrêtage!C61</f>
        <v>96624.252827586228</v>
      </c>
      <c r="D67" s="604">
        <f>Données!Z61</f>
        <v>3177</v>
      </c>
      <c r="E67" s="610">
        <f>Population!K64</f>
        <v>-971397.88732394355</v>
      </c>
      <c r="F67" s="604">
        <f>Solidarité!I61</f>
        <v>-1305331.9394494633</v>
      </c>
      <c r="G67" s="610">
        <f>+DT!O61</f>
        <v>-665545.87566274311</v>
      </c>
      <c r="H67" s="604">
        <f>Effort!K61+Aide!I61+Taux!J61</f>
        <v>0</v>
      </c>
      <c r="I67" s="605">
        <f t="shared" si="0"/>
        <v>-2942275.7024361501</v>
      </c>
      <c r="J67" s="624">
        <f t="shared" si="1"/>
        <v>1895724.7873784979</v>
      </c>
      <c r="K67" s="626">
        <f t="shared" si="2"/>
        <v>-1046550.9150576522</v>
      </c>
    </row>
    <row r="68" spans="1:11" x14ac:dyDescent="0.25">
      <c r="A68" s="37">
        <f>Données!A62</f>
        <v>5496</v>
      </c>
      <c r="B68" s="26" t="str">
        <f>Données!B62</f>
        <v>Penthaz</v>
      </c>
      <c r="C68" s="611">
        <f>Ecrêtage!C62</f>
        <v>63424.403453237413</v>
      </c>
      <c r="D68" s="604">
        <f>Données!Z62</f>
        <v>1946</v>
      </c>
      <c r="E68" s="610">
        <f>Population!K65</f>
        <v>-485007.74647887319</v>
      </c>
      <c r="F68" s="604">
        <f>Solidarité!I62</f>
        <v>-652882.90083710756</v>
      </c>
      <c r="G68" s="610">
        <f>+DT!O62</f>
        <v>-259530.60199998616</v>
      </c>
      <c r="H68" s="604">
        <f>Effort!K62+Aide!I62+Taux!J62</f>
        <v>0</v>
      </c>
      <c r="I68" s="605">
        <f t="shared" si="0"/>
        <v>-1397421.2493159671</v>
      </c>
      <c r="J68" s="624">
        <f t="shared" si="1"/>
        <v>1244358.5355898289</v>
      </c>
      <c r="K68" s="626">
        <f t="shared" si="2"/>
        <v>-153062.71372613823</v>
      </c>
    </row>
    <row r="69" spans="1:11" x14ac:dyDescent="0.25">
      <c r="A69" s="37">
        <f>Données!A63</f>
        <v>5497</v>
      </c>
      <c r="B69" s="26" t="str">
        <f>Données!B63</f>
        <v>Pompaples</v>
      </c>
      <c r="C69" s="611">
        <f>Ecrêtage!C63</f>
        <v>29282.771666666667</v>
      </c>
      <c r="D69" s="604">
        <f>Données!Z63</f>
        <v>930</v>
      </c>
      <c r="E69" s="610">
        <f>Population!K66</f>
        <v>-123617.95774647886</v>
      </c>
      <c r="F69" s="604">
        <f>Solidarité!I63</f>
        <v>-299282.57451248681</v>
      </c>
      <c r="G69" s="610">
        <f>+DT!O63</f>
        <v>-202132.5793323901</v>
      </c>
      <c r="H69" s="604">
        <f>Effort!K63+Aide!I63+Taux!J63</f>
        <v>0</v>
      </c>
      <c r="I69" s="605">
        <f t="shared" si="0"/>
        <v>-625033.11159135576</v>
      </c>
      <c r="J69" s="624">
        <f t="shared" si="1"/>
        <v>574514.93250560039</v>
      </c>
      <c r="K69" s="626">
        <f t="shared" si="2"/>
        <v>-50518.179085755371</v>
      </c>
    </row>
    <row r="70" spans="1:11" x14ac:dyDescent="0.25">
      <c r="A70" s="37">
        <f>Données!A64</f>
        <v>5498</v>
      </c>
      <c r="B70" s="26" t="str">
        <f>Données!B64</f>
        <v>La Sarraz</v>
      </c>
      <c r="C70" s="611">
        <f>Ecrêtage!C64</f>
        <v>76599.208428571437</v>
      </c>
      <c r="D70" s="604">
        <f>Données!Z64</f>
        <v>2618</v>
      </c>
      <c r="E70" s="610">
        <f>Population!K67</f>
        <v>-735114.78873239434</v>
      </c>
      <c r="F70" s="604">
        <f>Solidarité!I64</f>
        <v>-1061988.5293393708</v>
      </c>
      <c r="G70" s="610">
        <f>+DT!O64</f>
        <v>-394989.66275778331</v>
      </c>
      <c r="H70" s="604">
        <f>Effort!K64+Aide!I64+Taux!J64</f>
        <v>0</v>
      </c>
      <c r="I70" s="605">
        <f t="shared" si="0"/>
        <v>-2192092.9808295486</v>
      </c>
      <c r="J70" s="624">
        <f t="shared" si="1"/>
        <v>1502842.3388766127</v>
      </c>
      <c r="K70" s="626">
        <f t="shared" si="2"/>
        <v>-689250.64195293584</v>
      </c>
    </row>
    <row r="71" spans="1:11" x14ac:dyDescent="0.25">
      <c r="A71" s="37">
        <f>Données!A65</f>
        <v>5499</v>
      </c>
      <c r="B71" s="26" t="str">
        <f>Données!B65</f>
        <v>Senarclens</v>
      </c>
      <c r="C71" s="611">
        <f>Ecrêtage!C65</f>
        <v>21136.176934306572</v>
      </c>
      <c r="D71" s="604">
        <f>Données!Z65</f>
        <v>480</v>
      </c>
      <c r="E71" s="610">
        <f>Population!K68</f>
        <v>-63802.816901408441</v>
      </c>
      <c r="F71" s="604">
        <f>Solidarité!I65</f>
        <v>-53412.861883541358</v>
      </c>
      <c r="G71" s="610">
        <f>+DT!O65</f>
        <v>-204536.87889546761</v>
      </c>
      <c r="H71" s="604">
        <f>Effort!K65+Aide!I65+Taux!J65</f>
        <v>0</v>
      </c>
      <c r="I71" s="605">
        <f t="shared" si="0"/>
        <v>-321752.55768041743</v>
      </c>
      <c r="J71" s="624">
        <f t="shared" si="1"/>
        <v>414682.37375433673</v>
      </c>
      <c r="K71" s="626">
        <f t="shared" si="2"/>
        <v>92929.816073919297</v>
      </c>
    </row>
    <row r="72" spans="1:11" x14ac:dyDescent="0.25">
      <c r="A72" s="37">
        <f>Données!A66</f>
        <v>5501</v>
      </c>
      <c r="B72" s="26" t="str">
        <f>Données!B66</f>
        <v>Sullens</v>
      </c>
      <c r="C72" s="611">
        <f>Ecrêtage!C66</f>
        <v>57751.835468749996</v>
      </c>
      <c r="D72" s="604">
        <f>Données!Z66</f>
        <v>1225</v>
      </c>
      <c r="E72" s="610">
        <f>Population!K69</f>
        <v>-216663.73239436618</v>
      </c>
      <c r="F72" s="604">
        <f>Solidarité!I66</f>
        <v>-56591.751777831858</v>
      </c>
      <c r="G72" s="610">
        <f>+DT!O66</f>
        <v>0</v>
      </c>
      <c r="H72" s="604">
        <f>Effort!K66+Aide!I66+Taux!J66</f>
        <v>0</v>
      </c>
      <c r="I72" s="605">
        <f t="shared" si="0"/>
        <v>-273255.48417219805</v>
      </c>
      <c r="J72" s="624">
        <f t="shared" si="1"/>
        <v>1133065.2792738294</v>
      </c>
      <c r="K72" s="626">
        <f t="shared" si="2"/>
        <v>859809.79510163143</v>
      </c>
    </row>
    <row r="73" spans="1:11" x14ac:dyDescent="0.25">
      <c r="A73" s="37">
        <f>Données!A67</f>
        <v>5503</v>
      </c>
      <c r="B73" s="26" t="str">
        <f>Données!B67</f>
        <v>Vufflens-la-Ville</v>
      </c>
      <c r="C73" s="611">
        <f>Ecrêtage!C67</f>
        <v>68821.666815920398</v>
      </c>
      <c r="D73" s="604">
        <f>Données!Z67</f>
        <v>1342</v>
      </c>
      <c r="E73" s="610">
        <f>Population!K70</f>
        <v>-260209.15492957743</v>
      </c>
      <c r="F73" s="604">
        <f>Solidarité!I67</f>
        <v>0</v>
      </c>
      <c r="G73" s="610">
        <f>+DT!O67</f>
        <v>-373938.08979277656</v>
      </c>
      <c r="H73" s="604">
        <f>Effort!K67+Aide!I67+Taux!J67</f>
        <v>0</v>
      </c>
      <c r="I73" s="605">
        <f t="shared" si="0"/>
        <v>-634147.24472235399</v>
      </c>
      <c r="J73" s="624">
        <f t="shared" si="1"/>
        <v>1350250.437894162</v>
      </c>
      <c r="K73" s="626">
        <f t="shared" si="2"/>
        <v>716103.19317180803</v>
      </c>
    </row>
    <row r="74" spans="1:11" x14ac:dyDescent="0.25">
      <c r="A74" s="37">
        <f>Données!A68</f>
        <v>5511</v>
      </c>
      <c r="B74" s="26" t="str">
        <f>Données!B68</f>
        <v>Assens</v>
      </c>
      <c r="C74" s="611">
        <f>Ecrêtage!C68</f>
        <v>69828.319999999992</v>
      </c>
      <c r="D74" s="604">
        <f>Données!Z68</f>
        <v>1711</v>
      </c>
      <c r="E74" s="610">
        <f>Population!K71</f>
        <v>-397544.7183098591</v>
      </c>
      <c r="F74" s="604">
        <f>Solidarité!I68</f>
        <v>-306831.64877407835</v>
      </c>
      <c r="G74" s="610">
        <f>+DT!O68</f>
        <v>-201357.97801774513</v>
      </c>
      <c r="H74" s="604">
        <f>Effort!K68+Aide!I68+Taux!J68</f>
        <v>0</v>
      </c>
      <c r="I74" s="605">
        <f t="shared" si="0"/>
        <v>-905734.34510168247</v>
      </c>
      <c r="J74" s="624">
        <f t="shared" si="1"/>
        <v>1370000.5248289439</v>
      </c>
      <c r="K74" s="626">
        <f t="shared" si="2"/>
        <v>464266.17972726142</v>
      </c>
    </row>
    <row r="75" spans="1:11" x14ac:dyDescent="0.25">
      <c r="A75" s="37">
        <f>Données!A69</f>
        <v>5512</v>
      </c>
      <c r="B75" s="26" t="str">
        <f>Données!B69</f>
        <v>Bercher</v>
      </c>
      <c r="C75" s="611">
        <f>Ecrêtage!C69</f>
        <v>41189.844430379737</v>
      </c>
      <c r="D75" s="604">
        <f>Données!Z69</f>
        <v>1344</v>
      </c>
      <c r="E75" s="610">
        <f>Population!K72</f>
        <v>-260953.52112676052</v>
      </c>
      <c r="F75" s="604">
        <f>Solidarité!I69</f>
        <v>-647832.45088166115</v>
      </c>
      <c r="G75" s="610">
        <f>+DT!O69</f>
        <v>-266394.77175383759</v>
      </c>
      <c r="H75" s="604">
        <f>Effort!K69+Aide!I69+Taux!J69</f>
        <v>0</v>
      </c>
      <c r="I75" s="605">
        <f t="shared" si="0"/>
        <v>-1175180.7437622594</v>
      </c>
      <c r="J75" s="624">
        <f t="shared" si="1"/>
        <v>808126.39466684579</v>
      </c>
      <c r="K75" s="626">
        <f t="shared" si="2"/>
        <v>-367054.34909541358</v>
      </c>
    </row>
    <row r="76" spans="1:11" x14ac:dyDescent="0.25">
      <c r="A76" s="37">
        <f>Données!A70</f>
        <v>5514</v>
      </c>
      <c r="B76" s="26" t="str">
        <f>Données!B70</f>
        <v>Bottens</v>
      </c>
      <c r="C76" s="611">
        <f>Ecrêtage!C70</f>
        <v>45955.362896551727</v>
      </c>
      <c r="D76" s="604">
        <f>Données!Z70</f>
        <v>1358</v>
      </c>
      <c r="E76" s="610">
        <f>Population!K73</f>
        <v>-266164.08450704219</v>
      </c>
      <c r="F76" s="604">
        <f>Solidarité!I70</f>
        <v>-460167.98097371851</v>
      </c>
      <c r="G76" s="610">
        <f>+DT!O70</f>
        <v>-46673.768101756454</v>
      </c>
      <c r="H76" s="604">
        <f>Effort!K70+Aide!I70+Taux!J70</f>
        <v>0</v>
      </c>
      <c r="I76" s="605">
        <f t="shared" si="0"/>
        <v>-773005.83358251723</v>
      </c>
      <c r="J76" s="624">
        <f t="shared" si="1"/>
        <v>901623.74358971335</v>
      </c>
      <c r="K76" s="626">
        <f t="shared" si="2"/>
        <v>128617.91000719613</v>
      </c>
    </row>
    <row r="77" spans="1:11" x14ac:dyDescent="0.25">
      <c r="A77" s="37">
        <f>Données!A71</f>
        <v>5515</v>
      </c>
      <c r="B77" s="26" t="str">
        <f>Données!B71</f>
        <v>Bretigny-sur-Morrens</v>
      </c>
      <c r="C77" s="611">
        <f>Ecrêtage!C71</f>
        <v>32116.031538461531</v>
      </c>
      <c r="D77" s="604">
        <f>Données!Z71</f>
        <v>898</v>
      </c>
      <c r="E77" s="610">
        <f>Population!K74</f>
        <v>-119364.4366197183</v>
      </c>
      <c r="F77" s="604">
        <f>Solidarité!I71</f>
        <v>-310199.48386173503</v>
      </c>
      <c r="G77" s="610">
        <f>+DT!O71</f>
        <v>-749.78440770225291</v>
      </c>
      <c r="H77" s="604">
        <f>Effort!K71+Aide!I71+Taux!J71</f>
        <v>0</v>
      </c>
      <c r="I77" s="605">
        <f t="shared" ref="I77:I140" si="3">SUM(E77:H77)</f>
        <v>-430313.70488915558</v>
      </c>
      <c r="J77" s="624">
        <f t="shared" ref="J77:J140" si="4">C77*$J$11</f>
        <v>630102.22876785835</v>
      </c>
      <c r="K77" s="626">
        <f t="shared" ref="K77:K140" si="5">I77+J77</f>
        <v>199788.52387870278</v>
      </c>
    </row>
    <row r="78" spans="1:11" x14ac:dyDescent="0.25">
      <c r="A78" s="37">
        <f>Données!A72</f>
        <v>5516</v>
      </c>
      <c r="B78" s="26" t="str">
        <f>Données!B72</f>
        <v>Cugy</v>
      </c>
      <c r="C78" s="611">
        <f>Ecrêtage!C72</f>
        <v>112038.1875</v>
      </c>
      <c r="D78" s="604">
        <f>Données!Z72</f>
        <v>2790</v>
      </c>
      <c r="E78" s="610">
        <f>Population!K75</f>
        <v>-799130.28169014072</v>
      </c>
      <c r="F78" s="604">
        <f>Solidarité!I72</f>
        <v>-631932.23716860591</v>
      </c>
      <c r="G78" s="610">
        <f>+DT!O72</f>
        <v>-380426.48729952489</v>
      </c>
      <c r="H78" s="604">
        <f>Effort!K72+Aide!I72+Taux!J72</f>
        <v>0</v>
      </c>
      <c r="I78" s="605">
        <f t="shared" si="3"/>
        <v>-1811489.0061582716</v>
      </c>
      <c r="J78" s="624">
        <f t="shared" si="4"/>
        <v>2198139.3176276279</v>
      </c>
      <c r="K78" s="626">
        <f t="shared" si="5"/>
        <v>386650.3114693563</v>
      </c>
    </row>
    <row r="79" spans="1:11" x14ac:dyDescent="0.25">
      <c r="A79" s="37">
        <f>Données!A73</f>
        <v>5518</v>
      </c>
      <c r="B79" s="26" t="str">
        <f>Données!B73</f>
        <v>Echallens</v>
      </c>
      <c r="C79" s="611">
        <f>Ecrêtage!C73</f>
        <v>216867.084137931</v>
      </c>
      <c r="D79" s="604">
        <f>Données!Z73</f>
        <v>6722</v>
      </c>
      <c r="E79" s="610">
        <f>Population!K76</f>
        <v>-3039353.5211267602</v>
      </c>
      <c r="F79" s="604">
        <f>Solidarité!I73</f>
        <v>-2500731.0255942675</v>
      </c>
      <c r="G79" s="610">
        <f>+DT!O73</f>
        <v>-1488310.3212678591</v>
      </c>
      <c r="H79" s="604">
        <f>Effort!K73+Aide!I73+Taux!J73</f>
        <v>0</v>
      </c>
      <c r="I79" s="605">
        <f t="shared" si="3"/>
        <v>-7028394.8679888872</v>
      </c>
      <c r="J79" s="624">
        <f t="shared" si="4"/>
        <v>4254835.5608023833</v>
      </c>
      <c r="K79" s="626">
        <f t="shared" si="5"/>
        <v>-2773559.3071865039</v>
      </c>
    </row>
    <row r="80" spans="1:11" x14ac:dyDescent="0.25">
      <c r="A80" s="37">
        <f>Données!A74</f>
        <v>5520</v>
      </c>
      <c r="B80" s="26" t="str">
        <f>Données!B74</f>
        <v>Essertines-sur-Yverdon</v>
      </c>
      <c r="C80" s="611">
        <f>Ecrêtage!C74</f>
        <v>35335.874054054053</v>
      </c>
      <c r="D80" s="604">
        <f>Données!Z74</f>
        <v>1148</v>
      </c>
      <c r="E80" s="610">
        <f>Population!K77</f>
        <v>-188005.63380281688</v>
      </c>
      <c r="F80" s="604">
        <f>Solidarité!I74</f>
        <v>-482181.28411345452</v>
      </c>
      <c r="G80" s="610">
        <f>+DT!O74</f>
        <v>-875693.75439174427</v>
      </c>
      <c r="H80" s="604">
        <f>Effort!K74+Aide!I74+Taux!J74</f>
        <v>0</v>
      </c>
      <c r="I80" s="605">
        <f t="shared" si="3"/>
        <v>-1545880.6723080156</v>
      </c>
      <c r="J80" s="624">
        <f t="shared" si="4"/>
        <v>693274.10425087588</v>
      </c>
      <c r="K80" s="626">
        <f t="shared" si="5"/>
        <v>-852606.56805713975</v>
      </c>
    </row>
    <row r="81" spans="1:11" x14ac:dyDescent="0.25">
      <c r="A81" s="37">
        <f>Données!A75</f>
        <v>5521</v>
      </c>
      <c r="B81" s="26" t="str">
        <f>Données!B75</f>
        <v>Etagnières</v>
      </c>
      <c r="C81" s="611">
        <f>Ecrêtage!C75</f>
        <v>46868.677397260268</v>
      </c>
      <c r="D81" s="604">
        <f>Données!Z75</f>
        <v>1189</v>
      </c>
      <c r="E81" s="610">
        <f>Population!K78</f>
        <v>-203265.14084507042</v>
      </c>
      <c r="F81" s="604">
        <f>Solidarité!I75</f>
        <v>-267173.2359779916</v>
      </c>
      <c r="G81" s="610">
        <f>+DT!O75</f>
        <v>-153766.59693151934</v>
      </c>
      <c r="H81" s="604">
        <f>Effort!K75+Aide!I75+Taux!J75</f>
        <v>0</v>
      </c>
      <c r="I81" s="605">
        <f t="shared" si="3"/>
        <v>-624204.9737545813</v>
      </c>
      <c r="J81" s="624">
        <f t="shared" si="4"/>
        <v>919542.56714589486</v>
      </c>
      <c r="K81" s="626">
        <f t="shared" si="5"/>
        <v>295337.59339131357</v>
      </c>
    </row>
    <row r="82" spans="1:11" x14ac:dyDescent="0.25">
      <c r="A82" s="37">
        <f>Données!A76</f>
        <v>5522</v>
      </c>
      <c r="B82" s="26" t="str">
        <f>Données!B76</f>
        <v>Fey</v>
      </c>
      <c r="C82" s="611">
        <f>Ecrêtage!C76</f>
        <v>25183.4012</v>
      </c>
      <c r="D82" s="604">
        <f>Données!Z76</f>
        <v>789</v>
      </c>
      <c r="E82" s="610">
        <f>Population!K79</f>
        <v>-104875.88028169013</v>
      </c>
      <c r="F82" s="604">
        <f>Solidarité!I76</f>
        <v>-320224.03020254534</v>
      </c>
      <c r="G82" s="610">
        <f>+DT!O76</f>
        <v>-205954.49475193661</v>
      </c>
      <c r="H82" s="604">
        <f>Effort!K76+Aide!I76+Taux!J76</f>
        <v>0</v>
      </c>
      <c r="I82" s="605">
        <f t="shared" si="3"/>
        <v>-631054.40523617214</v>
      </c>
      <c r="J82" s="624">
        <f t="shared" si="4"/>
        <v>494087.11051587469</v>
      </c>
      <c r="K82" s="626">
        <f t="shared" si="5"/>
        <v>-136967.29472029745</v>
      </c>
    </row>
    <row r="83" spans="1:11" x14ac:dyDescent="0.25">
      <c r="A83" s="37">
        <f>Données!A77</f>
        <v>5523</v>
      </c>
      <c r="B83" s="26" t="str">
        <f>Données!B77</f>
        <v>Froideville</v>
      </c>
      <c r="C83" s="611">
        <f>Ecrêtage!C77</f>
        <v>89218.615555555531</v>
      </c>
      <c r="D83" s="604">
        <f>Données!Z77</f>
        <v>2731</v>
      </c>
      <c r="E83" s="610">
        <f>Population!K80</f>
        <v>-777171.47887323936</v>
      </c>
      <c r="F83" s="604">
        <f>Solidarité!I77</f>
        <v>-979014.47344245377</v>
      </c>
      <c r="G83" s="610">
        <f>+DT!O77</f>
        <v>-253414.84323944725</v>
      </c>
      <c r="H83" s="604">
        <f>Effort!K77+Aide!I77+Taux!J77</f>
        <v>0</v>
      </c>
      <c r="I83" s="605">
        <f t="shared" si="3"/>
        <v>-2009600.7955551406</v>
      </c>
      <c r="J83" s="624">
        <f t="shared" si="4"/>
        <v>1750429.4838487145</v>
      </c>
      <c r="K83" s="626">
        <f t="shared" si="5"/>
        <v>-259171.31170642609</v>
      </c>
    </row>
    <row r="84" spans="1:11" x14ac:dyDescent="0.25">
      <c r="A84" s="37">
        <f>Données!A78</f>
        <v>5527</v>
      </c>
      <c r="B84" s="26" t="str">
        <f>Données!B78</f>
        <v>Morrens</v>
      </c>
      <c r="C84" s="611">
        <f>Ecrêtage!C78</f>
        <v>42618.641486486493</v>
      </c>
      <c r="D84" s="604">
        <f>Données!Z78</f>
        <v>1153</v>
      </c>
      <c r="E84" s="610">
        <f>Population!K81</f>
        <v>-189866.54929577463</v>
      </c>
      <c r="F84" s="604">
        <f>Solidarité!I78</f>
        <v>-328209.08060123847</v>
      </c>
      <c r="G84" s="610">
        <f>+DT!O78</f>
        <v>-34173.827139475427</v>
      </c>
      <c r="H84" s="604">
        <f>Effort!K78+Aide!I78+Taux!J78</f>
        <v>0</v>
      </c>
      <c r="I84" s="605">
        <f t="shared" si="3"/>
        <v>-552249.45703648846</v>
      </c>
      <c r="J84" s="624">
        <f t="shared" si="4"/>
        <v>836158.75627514895</v>
      </c>
      <c r="K84" s="626">
        <f t="shared" si="5"/>
        <v>283909.29923866049</v>
      </c>
    </row>
    <row r="85" spans="1:11" x14ac:dyDescent="0.25">
      <c r="A85" s="37">
        <f>Données!A79</f>
        <v>5529</v>
      </c>
      <c r="B85" s="26" t="str">
        <f>Données!B79</f>
        <v>Oulens-sous-Echallens</v>
      </c>
      <c r="C85" s="611">
        <f>Ecrêtage!C79</f>
        <v>21320.008028169017</v>
      </c>
      <c r="D85" s="604">
        <f>Données!Z79</f>
        <v>607</v>
      </c>
      <c r="E85" s="610">
        <f>Population!K82</f>
        <v>-80683.978873239423</v>
      </c>
      <c r="F85" s="604">
        <f>Solidarité!I79</f>
        <v>-181566.50654379645</v>
      </c>
      <c r="G85" s="610">
        <f>+DT!O79</f>
        <v>-115504.95215966475</v>
      </c>
      <c r="H85" s="604">
        <f>Effort!K79+Aide!I79+Taux!J79</f>
        <v>0</v>
      </c>
      <c r="I85" s="605">
        <f t="shared" si="3"/>
        <v>-377755.43757670064</v>
      </c>
      <c r="J85" s="624">
        <f t="shared" si="4"/>
        <v>418289.05790585902</v>
      </c>
      <c r="K85" s="626">
        <f t="shared" si="5"/>
        <v>40533.620329158381</v>
      </c>
    </row>
    <row r="86" spans="1:11" x14ac:dyDescent="0.25">
      <c r="A86" s="37">
        <f>Données!A80</f>
        <v>5530</v>
      </c>
      <c r="B86" s="26" t="str">
        <f>Données!B80</f>
        <v>Pailly</v>
      </c>
      <c r="C86" s="611">
        <f>Ecrêtage!C80</f>
        <v>18985.526425438595</v>
      </c>
      <c r="D86" s="604">
        <f>Données!Z80</f>
        <v>576</v>
      </c>
      <c r="E86" s="610">
        <f>Population!K83</f>
        <v>-76563.38028169013</v>
      </c>
      <c r="F86" s="604">
        <f>Solidarité!I80</f>
        <v>-226180.01338645417</v>
      </c>
      <c r="G86" s="610">
        <f>+DT!O80</f>
        <v>-287303.14239003282</v>
      </c>
      <c r="H86" s="604">
        <f>Effort!K80+Aide!I80+Taux!J80</f>
        <v>0</v>
      </c>
      <c r="I86" s="605">
        <f t="shared" si="3"/>
        <v>-590046.53605817712</v>
      </c>
      <c r="J86" s="624">
        <f t="shared" si="4"/>
        <v>372487.56904082274</v>
      </c>
      <c r="K86" s="626">
        <f t="shared" si="5"/>
        <v>-217558.96701735439</v>
      </c>
    </row>
    <row r="87" spans="1:11" x14ac:dyDescent="0.25">
      <c r="A87" s="37">
        <f>Données!A81</f>
        <v>5531</v>
      </c>
      <c r="B87" s="26" t="str">
        <f>Données!B81</f>
        <v>Penthéréaz</v>
      </c>
      <c r="C87" s="611">
        <f>Ecrêtage!C81</f>
        <v>16979.020135135139</v>
      </c>
      <c r="D87" s="604">
        <f>Données!Z81</f>
        <v>430</v>
      </c>
      <c r="E87" s="610">
        <f>Population!K84</f>
        <v>-57156.690140845065</v>
      </c>
      <c r="F87" s="604">
        <f>Solidarité!I81</f>
        <v>-98652.433515698154</v>
      </c>
      <c r="G87" s="610">
        <f>+DT!O81</f>
        <v>-44939.683449032942</v>
      </c>
      <c r="H87" s="604">
        <f>Effort!K81+Aide!I81+Taux!J81</f>
        <v>0</v>
      </c>
      <c r="I87" s="605">
        <f t="shared" si="3"/>
        <v>-200748.80710557615</v>
      </c>
      <c r="J87" s="624">
        <f t="shared" si="4"/>
        <v>333120.80966886145</v>
      </c>
      <c r="K87" s="626">
        <f t="shared" si="5"/>
        <v>132372.00256328529</v>
      </c>
    </row>
    <row r="88" spans="1:11" x14ac:dyDescent="0.25">
      <c r="A88" s="37">
        <f>Données!A82</f>
        <v>5533</v>
      </c>
      <c r="B88" s="26" t="str">
        <f>Données!B82</f>
        <v>Poliez-Pittet</v>
      </c>
      <c r="C88" s="611">
        <f>Ecrêtage!C82</f>
        <v>27367.358493150681</v>
      </c>
      <c r="D88" s="604">
        <f>Données!Z82</f>
        <v>850</v>
      </c>
      <c r="E88" s="610">
        <f>Population!K85</f>
        <v>-112984.15492957745</v>
      </c>
      <c r="F88" s="604">
        <f>Solidarité!I82</f>
        <v>-321779.5077675978</v>
      </c>
      <c r="G88" s="610">
        <f>+DT!O82</f>
        <v>-77437.922962888799</v>
      </c>
      <c r="H88" s="604">
        <f>Effort!K82+Aide!I82+Taux!J82</f>
        <v>0</v>
      </c>
      <c r="I88" s="605">
        <f t="shared" si="3"/>
        <v>-512201.58566006401</v>
      </c>
      <c r="J88" s="624">
        <f t="shared" si="4"/>
        <v>536935.37949643203</v>
      </c>
      <c r="K88" s="626">
        <f t="shared" si="5"/>
        <v>24733.793836368015</v>
      </c>
    </row>
    <row r="89" spans="1:11" x14ac:dyDescent="0.25">
      <c r="A89" s="37">
        <f>Données!A83</f>
        <v>5534</v>
      </c>
      <c r="B89" s="26" t="str">
        <f>Données!B83</f>
        <v>Rueyres</v>
      </c>
      <c r="C89" s="611">
        <f>Ecrêtage!C83</f>
        <v>17982.384452054797</v>
      </c>
      <c r="D89" s="604">
        <f>Données!Z83</f>
        <v>304</v>
      </c>
      <c r="E89" s="610">
        <f>Population!K86</f>
        <v>-40408.450704225346</v>
      </c>
      <c r="F89" s="604">
        <f>Solidarité!I83</f>
        <v>0</v>
      </c>
      <c r="G89" s="610">
        <f>+DT!O83</f>
        <v>0</v>
      </c>
      <c r="H89" s="604">
        <f>Effort!K83+Aide!I83+Taux!J83</f>
        <v>0</v>
      </c>
      <c r="I89" s="605">
        <f t="shared" si="3"/>
        <v>-40408.450704225346</v>
      </c>
      <c r="J89" s="624">
        <f t="shared" si="4"/>
        <v>352806.37049539381</v>
      </c>
      <c r="K89" s="626">
        <f t="shared" si="5"/>
        <v>312397.91979116848</v>
      </c>
    </row>
    <row r="90" spans="1:11" x14ac:dyDescent="0.25">
      <c r="A90" s="37">
        <f>Données!A84</f>
        <v>5535</v>
      </c>
      <c r="B90" s="26" t="str">
        <f>Données!B84</f>
        <v>Saint-Barthélemy</v>
      </c>
      <c r="C90" s="611">
        <f>Ecrêtage!C84</f>
        <v>26523.088000000003</v>
      </c>
      <c r="D90" s="604">
        <f>Données!Z84</f>
        <v>837</v>
      </c>
      <c r="E90" s="610">
        <f>Population!K87</f>
        <v>-111256.16197183097</v>
      </c>
      <c r="F90" s="604">
        <f>Solidarité!I84</f>
        <v>-344031.79020408023</v>
      </c>
      <c r="G90" s="610">
        <f>+DT!O84</f>
        <v>-16825.04218806971</v>
      </c>
      <c r="H90" s="604">
        <f>Effort!K84+Aide!I84+Taux!J84</f>
        <v>0</v>
      </c>
      <c r="I90" s="605">
        <f t="shared" si="3"/>
        <v>-472112.99436398089</v>
      </c>
      <c r="J90" s="624">
        <f t="shared" si="4"/>
        <v>520371.16860443261</v>
      </c>
      <c r="K90" s="626">
        <f t="shared" si="5"/>
        <v>48258.174240451714</v>
      </c>
    </row>
    <row r="91" spans="1:11" x14ac:dyDescent="0.25">
      <c r="A91" s="37">
        <f>Données!A85</f>
        <v>5537</v>
      </c>
      <c r="B91" s="26" t="str">
        <f>Données!B85</f>
        <v>Villars-le-Terroir</v>
      </c>
      <c r="C91" s="611">
        <f>Ecrêtage!C85</f>
        <v>36821.563947368428</v>
      </c>
      <c r="D91" s="604">
        <f>Données!Z85</f>
        <v>1307</v>
      </c>
      <c r="E91" s="610">
        <f>Population!K88</f>
        <v>-247182.74647887322</v>
      </c>
      <c r="F91" s="604">
        <f>Solidarité!I85</f>
        <v>-657746.89386804914</v>
      </c>
      <c r="G91" s="610">
        <f>+DT!O85</f>
        <v>-121899.14724024404</v>
      </c>
      <c r="H91" s="604">
        <f>Effort!K85+Aide!I85+Taux!J85</f>
        <v>0</v>
      </c>
      <c r="I91" s="605">
        <f t="shared" si="3"/>
        <v>-1026828.7875871664</v>
      </c>
      <c r="J91" s="624">
        <f t="shared" si="4"/>
        <v>722422.67797531537</v>
      </c>
      <c r="K91" s="626">
        <f t="shared" si="5"/>
        <v>-304406.10961185105</v>
      </c>
    </row>
    <row r="92" spans="1:11" x14ac:dyDescent="0.25">
      <c r="A92" s="37">
        <f>Données!A86</f>
        <v>5539</v>
      </c>
      <c r="B92" s="26" t="str">
        <f>Données!B86</f>
        <v>Vuarrens</v>
      </c>
      <c r="C92" s="611">
        <f>Ecrêtage!C86</f>
        <v>34903.7481632653</v>
      </c>
      <c r="D92" s="604">
        <f>Données!Z86</f>
        <v>1120</v>
      </c>
      <c r="E92" s="610">
        <f>Population!K89</f>
        <v>-177584.50704225351</v>
      </c>
      <c r="F92" s="604">
        <f>Solidarité!I86</f>
        <v>-454803.94390611741</v>
      </c>
      <c r="G92" s="610">
        <f>+DT!O86</f>
        <v>-31953.917326162697</v>
      </c>
      <c r="H92" s="604">
        <f>Effort!K86+Aide!I86+Taux!J86</f>
        <v>0</v>
      </c>
      <c r="I92" s="605">
        <f t="shared" si="3"/>
        <v>-664342.36827453354</v>
      </c>
      <c r="J92" s="624">
        <f t="shared" si="4"/>
        <v>684795.98681696411</v>
      </c>
      <c r="K92" s="626">
        <f t="shared" si="5"/>
        <v>20453.618542430573</v>
      </c>
    </row>
    <row r="93" spans="1:11" x14ac:dyDescent="0.25">
      <c r="A93" s="37">
        <f>Données!A87</f>
        <v>5540</v>
      </c>
      <c r="B93" s="26" t="str">
        <f>Données!B87</f>
        <v>Montilliez</v>
      </c>
      <c r="C93" s="611">
        <f>Ecrêtage!C87</f>
        <v>65033.644896551712</v>
      </c>
      <c r="D93" s="604">
        <f>Données!Z87</f>
        <v>1874</v>
      </c>
      <c r="E93" s="610">
        <f>Population!K90</f>
        <v>-458210.56338028162</v>
      </c>
      <c r="F93" s="604">
        <f>Solidarité!I87</f>
        <v>-601046.35206009448</v>
      </c>
      <c r="G93" s="610">
        <f>+DT!O87</f>
        <v>-121190.51670073354</v>
      </c>
      <c r="H93" s="604">
        <f>Effort!K87+Aide!I87+Taux!J87</f>
        <v>0</v>
      </c>
      <c r="I93" s="605">
        <f t="shared" si="3"/>
        <v>-1180447.4321411096</v>
      </c>
      <c r="J93" s="624">
        <f t="shared" si="4"/>
        <v>1275931.1356741081</v>
      </c>
      <c r="K93" s="626">
        <f t="shared" si="5"/>
        <v>95483.70353299845</v>
      </c>
    </row>
    <row r="94" spans="1:11" x14ac:dyDescent="0.25">
      <c r="A94" s="37">
        <f>Données!A88</f>
        <v>5541</v>
      </c>
      <c r="B94" s="26" t="str">
        <f>Données!B88</f>
        <v>Goumoëns</v>
      </c>
      <c r="C94" s="611">
        <f>Ecrêtage!C88</f>
        <v>41006.934834437088</v>
      </c>
      <c r="D94" s="604">
        <f>Données!Z88</f>
        <v>1211</v>
      </c>
      <c r="E94" s="610">
        <f>Population!K91</f>
        <v>-211453.1690140845</v>
      </c>
      <c r="F94" s="604">
        <f>Solidarité!I88</f>
        <v>-444423.81105445296</v>
      </c>
      <c r="G94" s="610">
        <f>+DT!O88</f>
        <v>-53596.397359648785</v>
      </c>
      <c r="H94" s="604">
        <f>Effort!K88+Aide!I88+Taux!J88</f>
        <v>0</v>
      </c>
      <c r="I94" s="605">
        <f t="shared" si="3"/>
        <v>-709473.37742818624</v>
      </c>
      <c r="J94" s="624">
        <f t="shared" si="4"/>
        <v>804537.78989391588</v>
      </c>
      <c r="K94" s="626">
        <f t="shared" si="5"/>
        <v>95064.412465729634</v>
      </c>
    </row>
    <row r="95" spans="1:11" x14ac:dyDescent="0.25">
      <c r="A95" s="37">
        <f>Données!A89</f>
        <v>5551</v>
      </c>
      <c r="B95" s="26" t="str">
        <f>Données!B89</f>
        <v>Bonvillars</v>
      </c>
      <c r="C95" s="611">
        <f>Ecrêtage!C89</f>
        <v>19467.158771929826</v>
      </c>
      <c r="D95" s="604">
        <f>Données!Z89</f>
        <v>518</v>
      </c>
      <c r="E95" s="610">
        <f>Population!K92</f>
        <v>-68853.873239436609</v>
      </c>
      <c r="F95" s="604">
        <f>Solidarité!I89</f>
        <v>-83326.663445099708</v>
      </c>
      <c r="G95" s="610">
        <f>+DT!O89</f>
        <v>-61646.839338532955</v>
      </c>
      <c r="H95" s="604">
        <f>Effort!K89+Aide!I89+Taux!J89</f>
        <v>0</v>
      </c>
      <c r="I95" s="605">
        <f t="shared" si="3"/>
        <v>-213827.37602306926</v>
      </c>
      <c r="J95" s="624">
        <f t="shared" si="4"/>
        <v>381936.98107690754</v>
      </c>
      <c r="K95" s="626">
        <f t="shared" si="5"/>
        <v>168109.60505383828</v>
      </c>
    </row>
    <row r="96" spans="1:11" x14ac:dyDescent="0.25">
      <c r="A96" s="37">
        <f>Données!A90</f>
        <v>5552</v>
      </c>
      <c r="B96" s="26" t="str">
        <f>Données!B90</f>
        <v>Bullet</v>
      </c>
      <c r="C96" s="611">
        <f>Ecrêtage!C90</f>
        <v>20081.650000000001</v>
      </c>
      <c r="D96" s="604">
        <f>Données!Z90</f>
        <v>682</v>
      </c>
      <c r="E96" s="610">
        <f>Population!K93</f>
        <v>-90653.169014084488</v>
      </c>
      <c r="F96" s="604">
        <f>Solidarité!I90</f>
        <v>-290050.01814105944</v>
      </c>
      <c r="G96" s="610">
        <f>+DT!O90</f>
        <v>-239774.95223646698</v>
      </c>
      <c r="H96" s="604">
        <f>Effort!K90+Aide!I90+Taux!J90</f>
        <v>0</v>
      </c>
      <c r="I96" s="605">
        <f t="shared" si="3"/>
        <v>-620478.13939161086</v>
      </c>
      <c r="J96" s="624">
        <f t="shared" si="4"/>
        <v>393993.02517132257</v>
      </c>
      <c r="K96" s="626">
        <f t="shared" si="5"/>
        <v>-226485.11422028829</v>
      </c>
    </row>
    <row r="97" spans="1:11" x14ac:dyDescent="0.25">
      <c r="A97" s="37">
        <f>Données!A91</f>
        <v>5553</v>
      </c>
      <c r="B97" s="26" t="str">
        <f>Données!B91</f>
        <v>Champagne</v>
      </c>
      <c r="C97" s="611">
        <f>Ecrêtage!C91</f>
        <v>38368.423846153841</v>
      </c>
      <c r="D97" s="604">
        <f>Données!Z91</f>
        <v>1071</v>
      </c>
      <c r="E97" s="610">
        <f>Population!K94</f>
        <v>-159347.53521126759</v>
      </c>
      <c r="F97" s="604">
        <f>Solidarité!I91</f>
        <v>-255814.53034056514</v>
      </c>
      <c r="G97" s="610">
        <f>+DT!O91</f>
        <v>-425704.7951053771</v>
      </c>
      <c r="H97" s="604">
        <f>Effort!K91+Aide!I91+Taux!J91</f>
        <v>0</v>
      </c>
      <c r="I97" s="605">
        <f t="shared" si="3"/>
        <v>-840866.86065720976</v>
      </c>
      <c r="J97" s="624">
        <f t="shared" si="4"/>
        <v>752771.37995143142</v>
      </c>
      <c r="K97" s="626">
        <f t="shared" si="5"/>
        <v>-88095.480705778347</v>
      </c>
    </row>
    <row r="98" spans="1:11" x14ac:dyDescent="0.25">
      <c r="A98" s="37">
        <f>Données!A92</f>
        <v>5554</v>
      </c>
      <c r="B98" s="26" t="str">
        <f>Données!B92</f>
        <v>Concise</v>
      </c>
      <c r="C98" s="611">
        <f>Ecrêtage!C92</f>
        <v>33009.838309859158</v>
      </c>
      <c r="D98" s="604">
        <f>Données!Z92</f>
        <v>1025</v>
      </c>
      <c r="E98" s="610">
        <f>Population!K95</f>
        <v>-142227.11267605633</v>
      </c>
      <c r="F98" s="604">
        <f>Solidarité!I92</f>
        <v>-366895.95915290643</v>
      </c>
      <c r="G98" s="610">
        <f>+DT!O92</f>
        <v>-245314.45105850825</v>
      </c>
      <c r="H98" s="604">
        <f>Effort!K92+Aide!I92+Taux!J92</f>
        <v>0</v>
      </c>
      <c r="I98" s="605">
        <f t="shared" si="3"/>
        <v>-754437.52288747102</v>
      </c>
      <c r="J98" s="624">
        <f t="shared" si="4"/>
        <v>647638.31936706533</v>
      </c>
      <c r="K98" s="626">
        <f t="shared" si="5"/>
        <v>-106799.20352040569</v>
      </c>
    </row>
    <row r="99" spans="1:11" x14ac:dyDescent="0.25">
      <c r="A99" s="37">
        <f>Données!A93</f>
        <v>5555</v>
      </c>
      <c r="B99" s="26" t="str">
        <f>Données!B93</f>
        <v>Corcelles-près-Concise</v>
      </c>
      <c r="C99" s="611">
        <f>Ecrêtage!C93</f>
        <v>14189.979565217391</v>
      </c>
      <c r="D99" s="604">
        <f>Données!Z93</f>
        <v>438</v>
      </c>
      <c r="E99" s="610">
        <f>Population!K96</f>
        <v>-58220.070422535202</v>
      </c>
      <c r="F99" s="604">
        <f>Solidarité!I93</f>
        <v>-146467.75163514499</v>
      </c>
      <c r="G99" s="610">
        <f>+DT!O93</f>
        <v>-207191.75115011149</v>
      </c>
      <c r="H99" s="604">
        <f>Effort!K93+Aide!I93+Taux!J93</f>
        <v>0</v>
      </c>
      <c r="I99" s="605">
        <f t="shared" si="3"/>
        <v>-411879.57320779166</v>
      </c>
      <c r="J99" s="624">
        <f t="shared" si="4"/>
        <v>278401.07640653272</v>
      </c>
      <c r="K99" s="626">
        <f t="shared" si="5"/>
        <v>-133478.49680125894</v>
      </c>
    </row>
    <row r="100" spans="1:11" x14ac:dyDescent="0.25">
      <c r="A100" s="37">
        <f>Données!A94</f>
        <v>5556</v>
      </c>
      <c r="B100" s="26" t="str">
        <f>Données!B94</f>
        <v>Fiez</v>
      </c>
      <c r="C100" s="611">
        <f>Ecrêtage!C94</f>
        <v>12811.352608695654</v>
      </c>
      <c r="D100" s="604">
        <f>Données!Z94</f>
        <v>431</v>
      </c>
      <c r="E100" s="610">
        <f>Population!K97</f>
        <v>-57289.612676056327</v>
      </c>
      <c r="F100" s="604">
        <f>Solidarité!I94</f>
        <v>-166051.69690124405</v>
      </c>
      <c r="G100" s="610">
        <f>+DT!O94</f>
        <v>-42275.485176248869</v>
      </c>
      <c r="H100" s="604">
        <f>Effort!K94+Aide!I94+Taux!J94</f>
        <v>0</v>
      </c>
      <c r="I100" s="605">
        <f t="shared" si="3"/>
        <v>-265616.79475354927</v>
      </c>
      <c r="J100" s="624">
        <f t="shared" si="4"/>
        <v>251353.02979767675</v>
      </c>
      <c r="K100" s="626">
        <f t="shared" si="5"/>
        <v>-14263.764955872524</v>
      </c>
    </row>
    <row r="101" spans="1:11" x14ac:dyDescent="0.25">
      <c r="A101" s="37">
        <f>Données!A95</f>
        <v>5557</v>
      </c>
      <c r="B101" s="26" t="str">
        <f>Données!B95</f>
        <v>Fontaines-sur-Grandson</v>
      </c>
      <c r="C101" s="611">
        <f>Ecrêtage!C95</f>
        <v>5164.2157971014494</v>
      </c>
      <c r="D101" s="604">
        <f>Données!Z95</f>
        <v>220</v>
      </c>
      <c r="E101" s="610">
        <f>Population!K98</f>
        <v>-29242.957746478867</v>
      </c>
      <c r="F101" s="604">
        <f>Solidarité!I95</f>
        <v>-110936.14442082074</v>
      </c>
      <c r="G101" s="610">
        <f>+DT!O95</f>
        <v>-64841.298056995736</v>
      </c>
      <c r="H101" s="604">
        <f>Effort!K95+Aide!I95+Taux!J95</f>
        <v>0</v>
      </c>
      <c r="I101" s="605">
        <f t="shared" si="3"/>
        <v>-205020.40022429533</v>
      </c>
      <c r="J101" s="624">
        <f t="shared" si="4"/>
        <v>101319.61290718307</v>
      </c>
      <c r="K101" s="626">
        <f t="shared" si="5"/>
        <v>-103700.78731711226</v>
      </c>
    </row>
    <row r="102" spans="1:11" x14ac:dyDescent="0.25">
      <c r="A102" s="37">
        <f>Données!A96</f>
        <v>5559</v>
      </c>
      <c r="B102" s="26" t="str">
        <f>Données!B96</f>
        <v>Giez</v>
      </c>
      <c r="C102" s="611">
        <f>Ecrêtage!C96</f>
        <v>23273.261029411766</v>
      </c>
      <c r="D102" s="604">
        <f>Données!Z96</f>
        <v>464</v>
      </c>
      <c r="E102" s="610">
        <f>Population!K99</f>
        <v>-61676.05633802816</v>
      </c>
      <c r="F102" s="604">
        <f>Solidarité!I96</f>
        <v>0</v>
      </c>
      <c r="G102" s="610">
        <f>+DT!O96</f>
        <v>-43349.999905370045</v>
      </c>
      <c r="H102" s="604">
        <f>Effort!K96+Aide!I96+Taux!J96</f>
        <v>0</v>
      </c>
      <c r="I102" s="605">
        <f t="shared" si="3"/>
        <v>-105026.0562433982</v>
      </c>
      <c r="J102" s="624">
        <f t="shared" si="4"/>
        <v>456611.01147464424</v>
      </c>
      <c r="K102" s="626">
        <f t="shared" si="5"/>
        <v>351584.95523124607</v>
      </c>
    </row>
    <row r="103" spans="1:11" x14ac:dyDescent="0.25">
      <c r="A103" s="37">
        <f>Données!A97</f>
        <v>5560</v>
      </c>
      <c r="B103" s="26" t="str">
        <f>Données!B97</f>
        <v>Grandevent</v>
      </c>
      <c r="C103" s="611">
        <f>Ecrêtage!C97</f>
        <v>8016.4264285714298</v>
      </c>
      <c r="D103" s="604">
        <f>Données!Z97</f>
        <v>241</v>
      </c>
      <c r="E103" s="610">
        <f>Population!K100</f>
        <v>-32034.330985915487</v>
      </c>
      <c r="F103" s="604">
        <f>Solidarité!I97</f>
        <v>-78855.166541748622</v>
      </c>
      <c r="G103" s="610">
        <f>+DT!O97</f>
        <v>-172796.23056856374</v>
      </c>
      <c r="H103" s="604">
        <f>Effort!K97+Aide!I97+Taux!J97</f>
        <v>0</v>
      </c>
      <c r="I103" s="605">
        <f t="shared" si="3"/>
        <v>-283685.72809622786</v>
      </c>
      <c r="J103" s="624">
        <f t="shared" si="4"/>
        <v>157278.71463033161</v>
      </c>
      <c r="K103" s="626">
        <f t="shared" si="5"/>
        <v>-126407.01346589625</v>
      </c>
    </row>
    <row r="104" spans="1:11" x14ac:dyDescent="0.25">
      <c r="A104" s="37">
        <f>Données!A98</f>
        <v>5561</v>
      </c>
      <c r="B104" s="26" t="str">
        <f>Données!B98</f>
        <v>Grandson</v>
      </c>
      <c r="C104" s="611">
        <f>Ecrêtage!C98</f>
        <v>125721.38057971014</v>
      </c>
      <c r="D104" s="604">
        <f>Données!Z98</f>
        <v>3396</v>
      </c>
      <c r="E104" s="610">
        <f>Population!K101</f>
        <v>-1087838.028169014</v>
      </c>
      <c r="F104" s="604">
        <f>Solidarité!I98</f>
        <v>-836777.51080502977</v>
      </c>
      <c r="G104" s="610">
        <f>+DT!O98</f>
        <v>-1118558.1466131685</v>
      </c>
      <c r="H104" s="604">
        <f>Effort!K98+Aide!I98+Taux!J98</f>
        <v>0</v>
      </c>
      <c r="I104" s="605">
        <f t="shared" si="3"/>
        <v>-3043173.6855872124</v>
      </c>
      <c r="J104" s="624">
        <f t="shared" si="4"/>
        <v>2466597.4689985714</v>
      </c>
      <c r="K104" s="626">
        <f t="shared" si="5"/>
        <v>-576576.21658864105</v>
      </c>
    </row>
    <row r="105" spans="1:11" x14ac:dyDescent="0.25">
      <c r="A105" s="37">
        <f>Données!A99</f>
        <v>5562</v>
      </c>
      <c r="B105" s="26" t="str">
        <f>Données!B99</f>
        <v>Mauborget</v>
      </c>
      <c r="C105" s="611">
        <f>Ecrêtage!C99</f>
        <v>4554.1072619047618</v>
      </c>
      <c r="D105" s="604">
        <f>Données!Z99</f>
        <v>145</v>
      </c>
      <c r="E105" s="610">
        <f>Population!K102</f>
        <v>-19273.767605633799</v>
      </c>
      <c r="F105" s="604">
        <f>Solidarité!I99</f>
        <v>-52714.788833820305</v>
      </c>
      <c r="G105" s="610">
        <f>+DT!O99</f>
        <v>-44735.10927657767</v>
      </c>
      <c r="H105" s="604">
        <f>Effort!K99+Aide!I99+Taux!J99</f>
        <v>0</v>
      </c>
      <c r="I105" s="605">
        <f t="shared" si="3"/>
        <v>-116723.66571603177</v>
      </c>
      <c r="J105" s="624">
        <f t="shared" si="4"/>
        <v>89349.555294138961</v>
      </c>
      <c r="K105" s="626">
        <f t="shared" si="5"/>
        <v>-27374.110421892809</v>
      </c>
    </row>
    <row r="106" spans="1:11" x14ac:dyDescent="0.25">
      <c r="A106" s="37">
        <f>Données!A100</f>
        <v>5563</v>
      </c>
      <c r="B106" s="26" t="str">
        <f>Données!B100</f>
        <v>Mutrux</v>
      </c>
      <c r="C106" s="611">
        <f>Ecrêtage!C100</f>
        <v>4029.343875</v>
      </c>
      <c r="D106" s="604">
        <f>Données!Z100</f>
        <v>144</v>
      </c>
      <c r="E106" s="610">
        <f>Population!K103</f>
        <v>-19140.845070422532</v>
      </c>
      <c r="F106" s="604">
        <f>Solidarité!I100</f>
        <v>-81000.695978284479</v>
      </c>
      <c r="G106" s="610">
        <f>+DT!O100</f>
        <v>-59818.47844541246</v>
      </c>
      <c r="H106" s="604">
        <f>Effort!K100+Aide!I100+Taux!J100</f>
        <v>0</v>
      </c>
      <c r="I106" s="605">
        <f t="shared" si="3"/>
        <v>-159960.01949411945</v>
      </c>
      <c r="J106" s="624">
        <f t="shared" si="4"/>
        <v>79053.931463141198</v>
      </c>
      <c r="K106" s="626">
        <f t="shared" si="5"/>
        <v>-80906.088030978251</v>
      </c>
    </row>
    <row r="107" spans="1:11" x14ac:dyDescent="0.25">
      <c r="A107" s="37">
        <f>Données!A101</f>
        <v>5564</v>
      </c>
      <c r="B107" s="26" t="str">
        <f>Données!B101</f>
        <v>Novalles</v>
      </c>
      <c r="C107" s="611">
        <f>Ecrêtage!C101</f>
        <v>2464.3180592105264</v>
      </c>
      <c r="D107" s="604">
        <f>Données!Z101</f>
        <v>106</v>
      </c>
      <c r="E107" s="610">
        <f>Population!K104</f>
        <v>-14089.788732394365</v>
      </c>
      <c r="F107" s="604">
        <f>Solidarité!I101</f>
        <v>-65398.101248804545</v>
      </c>
      <c r="G107" s="610">
        <f>+DT!O101</f>
        <v>-11324.702137990447</v>
      </c>
      <c r="H107" s="604">
        <f>Effort!K101+Aide!I101+Taux!J101</f>
        <v>0</v>
      </c>
      <c r="I107" s="605">
        <f t="shared" si="3"/>
        <v>-90812.592119189358</v>
      </c>
      <c r="J107" s="624">
        <f t="shared" si="4"/>
        <v>48348.822289636439</v>
      </c>
      <c r="K107" s="626">
        <f t="shared" si="5"/>
        <v>-42463.769829552919</v>
      </c>
    </row>
    <row r="108" spans="1:11" x14ac:dyDescent="0.25">
      <c r="A108" s="37">
        <f>Données!A102</f>
        <v>5565</v>
      </c>
      <c r="B108" s="26" t="str">
        <f>Données!B102</f>
        <v>Onnens</v>
      </c>
      <c r="C108" s="611">
        <f>Ecrêtage!C102</f>
        <v>20188.105039370083</v>
      </c>
      <c r="D108" s="604">
        <f>Données!Z102</f>
        <v>520</v>
      </c>
      <c r="E108" s="610">
        <f>Population!K105</f>
        <v>-69119.718309859149</v>
      </c>
      <c r="F108" s="604">
        <f>Solidarité!I102</f>
        <v>-93403.240222307708</v>
      </c>
      <c r="G108" s="610">
        <f>+DT!O102</f>
        <v>-68729.668357570423</v>
      </c>
      <c r="H108" s="604">
        <f>Effort!K102+Aide!I102+Taux!J102</f>
        <v>0</v>
      </c>
      <c r="I108" s="605">
        <f t="shared" si="3"/>
        <v>-231252.62688973726</v>
      </c>
      <c r="J108" s="624">
        <f t="shared" si="4"/>
        <v>396081.62561033783</v>
      </c>
      <c r="K108" s="626">
        <f t="shared" si="5"/>
        <v>164828.99872060056</v>
      </c>
    </row>
    <row r="109" spans="1:11" x14ac:dyDescent="0.25">
      <c r="A109" s="37">
        <f>Données!A103</f>
        <v>5566</v>
      </c>
      <c r="B109" s="26" t="str">
        <f>Données!B103</f>
        <v>Provence</v>
      </c>
      <c r="C109" s="611">
        <f>Ecrêtage!C103</f>
        <v>11354.81353909465</v>
      </c>
      <c r="D109" s="604">
        <f>Données!Z103</f>
        <v>411</v>
      </c>
      <c r="E109" s="610">
        <f>Population!K106</f>
        <v>-54631.161971830981</v>
      </c>
      <c r="F109" s="604">
        <f>Solidarité!I103</f>
        <v>-240824.69809863804</v>
      </c>
      <c r="G109" s="610">
        <f>+DT!O103</f>
        <v>-414069.66824639129</v>
      </c>
      <c r="H109" s="604">
        <f>Effort!K103+Aide!I103+Taux!J103</f>
        <v>0</v>
      </c>
      <c r="I109" s="605">
        <f t="shared" si="3"/>
        <v>-709525.52831686032</v>
      </c>
      <c r="J109" s="624">
        <f t="shared" si="4"/>
        <v>222776.38224569158</v>
      </c>
      <c r="K109" s="626">
        <f t="shared" si="5"/>
        <v>-486749.14607116871</v>
      </c>
    </row>
    <row r="110" spans="1:11" x14ac:dyDescent="0.25">
      <c r="A110" s="37">
        <f>Données!A104</f>
        <v>5568</v>
      </c>
      <c r="B110" s="26" t="str">
        <f>Données!B104</f>
        <v>Sainte-Croix</v>
      </c>
      <c r="C110" s="611">
        <f>Ecrêtage!C104</f>
        <v>114571.34028571429</v>
      </c>
      <c r="D110" s="604">
        <f>Données!Z104</f>
        <v>5130</v>
      </c>
      <c r="E110" s="610">
        <f>Population!K107</f>
        <v>-2023612.6760563378</v>
      </c>
      <c r="F110" s="604">
        <f>Solidarité!I104</f>
        <v>-2776931.680842822</v>
      </c>
      <c r="G110" s="610">
        <f>+DT!O104</f>
        <v>-1751633.7842614285</v>
      </c>
      <c r="H110" s="604">
        <f>Effort!K104+Aide!I104+Taux!J104</f>
        <v>0</v>
      </c>
      <c r="I110" s="605">
        <f t="shared" si="3"/>
        <v>-6552178.1411605887</v>
      </c>
      <c r="J110" s="624">
        <f t="shared" si="4"/>
        <v>2247838.6465804153</v>
      </c>
      <c r="K110" s="626">
        <f t="shared" si="5"/>
        <v>-4304339.4945801739</v>
      </c>
    </row>
    <row r="111" spans="1:11" x14ac:dyDescent="0.25">
      <c r="A111" s="37">
        <f>Données!A105</f>
        <v>5571</v>
      </c>
      <c r="B111" s="26" t="str">
        <f>Données!B105</f>
        <v>Tévenon</v>
      </c>
      <c r="C111" s="611">
        <f>Ecrêtage!C105</f>
        <v>26145.544382284381</v>
      </c>
      <c r="D111" s="604">
        <f>Données!Z105</f>
        <v>861</v>
      </c>
      <c r="E111" s="610">
        <f>Population!K108</f>
        <v>-114446.30281690139</v>
      </c>
      <c r="F111" s="604">
        <f>Solidarité!I105</f>
        <v>-344897.42351165722</v>
      </c>
      <c r="G111" s="610">
        <f>+DT!O105</f>
        <v>-140633.95282260369</v>
      </c>
      <c r="H111" s="604">
        <f>Effort!K105+Aide!I105+Taux!J105</f>
        <v>0</v>
      </c>
      <c r="I111" s="605">
        <f t="shared" si="3"/>
        <v>-599977.67915116227</v>
      </c>
      <c r="J111" s="624">
        <f t="shared" si="4"/>
        <v>512963.93104786216</v>
      </c>
      <c r="K111" s="626">
        <f t="shared" si="5"/>
        <v>-87013.74810330011</v>
      </c>
    </row>
    <row r="112" spans="1:11" x14ac:dyDescent="0.25">
      <c r="A112" s="37">
        <f>Données!A106</f>
        <v>5581</v>
      </c>
      <c r="B112" s="26" t="str">
        <f>Données!B106</f>
        <v>Belmont-sur-Lausanne</v>
      </c>
      <c r="C112" s="611">
        <f>Ecrêtage!C106</f>
        <v>246930.40333333338</v>
      </c>
      <c r="D112" s="604">
        <f>Données!Z106</f>
        <v>3922</v>
      </c>
      <c r="E112" s="610">
        <f>Population!K109</f>
        <v>-1367507.0422535208</v>
      </c>
      <c r="F112" s="604">
        <f>Solidarité!I106</f>
        <v>0</v>
      </c>
      <c r="G112" s="610">
        <f>+DT!O106</f>
        <v>-1126710.0931101814</v>
      </c>
      <c r="H112" s="604">
        <f>Effort!K106+Aide!I106+Taux!J106</f>
        <v>0</v>
      </c>
      <c r="I112" s="605">
        <f t="shared" si="3"/>
        <v>-2494217.1353637022</v>
      </c>
      <c r="J112" s="624">
        <f t="shared" si="4"/>
        <v>4844664.4880313547</v>
      </c>
      <c r="K112" s="626">
        <f t="shared" si="5"/>
        <v>2350447.3526676525</v>
      </c>
    </row>
    <row r="113" spans="1:11" x14ac:dyDescent="0.25">
      <c r="A113" s="37">
        <f>Données!A107</f>
        <v>5582</v>
      </c>
      <c r="B113" s="26" t="str">
        <f>Données!B107</f>
        <v>Cheseaux-sur-Lausanne</v>
      </c>
      <c r="C113" s="611">
        <f>Ecrêtage!C107</f>
        <v>179580.92342465755</v>
      </c>
      <c r="D113" s="604">
        <f>Données!Z107</f>
        <v>4855</v>
      </c>
      <c r="E113" s="610">
        <f>Population!K110</f>
        <v>-1863573.9436619715</v>
      </c>
      <c r="F113" s="604">
        <f>Solidarité!I107</f>
        <v>-1342260.7681190656</v>
      </c>
      <c r="G113" s="610">
        <f>+DT!O107</f>
        <v>-565649.99822908163</v>
      </c>
      <c r="H113" s="604">
        <f>Effort!K107+Aide!I107+Taux!J107</f>
        <v>0</v>
      </c>
      <c r="I113" s="605">
        <f t="shared" si="3"/>
        <v>-3771484.7100101188</v>
      </c>
      <c r="J113" s="624">
        <f t="shared" si="4"/>
        <v>3523297.7012915001</v>
      </c>
      <c r="K113" s="626">
        <f t="shared" si="5"/>
        <v>-248187.00871861866</v>
      </c>
    </row>
    <row r="114" spans="1:11" x14ac:dyDescent="0.25">
      <c r="A114" s="37">
        <f>Données!A108</f>
        <v>5583</v>
      </c>
      <c r="B114" s="26" t="str">
        <f>Données!B108</f>
        <v>Crissier</v>
      </c>
      <c r="C114" s="611">
        <f>Ecrêtage!C108</f>
        <v>456346.42330708652</v>
      </c>
      <c r="D114" s="604">
        <f>Données!Z108</f>
        <v>10680</v>
      </c>
      <c r="E114" s="610">
        <f>Population!K111</f>
        <v>-6011288.7323943665</v>
      </c>
      <c r="F114" s="604">
        <f>Solidarité!I108</f>
        <v>-1245894.595843774</v>
      </c>
      <c r="G114" s="610">
        <f>+DT!O108</f>
        <v>-3619031.4225847828</v>
      </c>
      <c r="H114" s="604">
        <f>Effort!K108+Aide!I108+Taux!J108</f>
        <v>0</v>
      </c>
      <c r="I114" s="605">
        <f t="shared" si="3"/>
        <v>-10876214.750822924</v>
      </c>
      <c r="J114" s="624">
        <f t="shared" si="4"/>
        <v>8953313.4899209943</v>
      </c>
      <c r="K114" s="626">
        <f t="shared" si="5"/>
        <v>-1922901.2609019298</v>
      </c>
    </row>
    <row r="115" spans="1:11" x14ac:dyDescent="0.25">
      <c r="A115" s="37">
        <f>Données!A109</f>
        <v>5584</v>
      </c>
      <c r="B115" s="26" t="str">
        <f>Données!B109</f>
        <v>Epalinges</v>
      </c>
      <c r="C115" s="611">
        <f>Ecrêtage!C109</f>
        <v>527681.12604651169</v>
      </c>
      <c r="D115" s="604">
        <f>Données!Z109</f>
        <v>9905</v>
      </c>
      <c r="E115" s="610">
        <f>Population!K112</f>
        <v>-5310786.9718309864</v>
      </c>
      <c r="F115" s="604">
        <f>Solidarité!I109</f>
        <v>0</v>
      </c>
      <c r="G115" s="610">
        <f>+DT!O109</f>
        <v>-4291773.7493133713</v>
      </c>
      <c r="H115" s="604">
        <f>Effort!K109+Aide!I109+Taux!J109</f>
        <v>0</v>
      </c>
      <c r="I115" s="605">
        <f t="shared" si="3"/>
        <v>-9602560.7211443577</v>
      </c>
      <c r="J115" s="624">
        <f t="shared" si="4"/>
        <v>10352868.572894912</v>
      </c>
      <c r="K115" s="626">
        <f t="shared" si="5"/>
        <v>750307.85175055452</v>
      </c>
    </row>
    <row r="116" spans="1:11" x14ac:dyDescent="0.25">
      <c r="A116" s="37">
        <f>Données!A110</f>
        <v>5585</v>
      </c>
      <c r="B116" s="26" t="str">
        <f>Données!B110</f>
        <v>Jouxtens-Mézery</v>
      </c>
      <c r="C116" s="611">
        <f>Ecrêtage!C110</f>
        <v>207839.61429378533</v>
      </c>
      <c r="D116" s="604">
        <f>Données!Z110</f>
        <v>1482</v>
      </c>
      <c r="E116" s="610">
        <f>Population!K113</f>
        <v>-312314.78873239434</v>
      </c>
      <c r="F116" s="604">
        <f>Solidarité!I110</f>
        <v>0</v>
      </c>
      <c r="G116" s="610">
        <f>+DT!O110</f>
        <v>0</v>
      </c>
      <c r="H116" s="604">
        <f>Effort!K110+Aide!I110+Taux!J110</f>
        <v>0</v>
      </c>
      <c r="I116" s="605">
        <f t="shared" si="3"/>
        <v>-312314.78873239434</v>
      </c>
      <c r="J116" s="624">
        <f t="shared" si="4"/>
        <v>4077720.6248515104</v>
      </c>
      <c r="K116" s="626">
        <f t="shared" si="5"/>
        <v>3765405.8361191163</v>
      </c>
    </row>
    <row r="117" spans="1:11" x14ac:dyDescent="0.25">
      <c r="A117" s="37">
        <f>Données!A111</f>
        <v>5586</v>
      </c>
      <c r="B117" s="26" t="str">
        <f>Données!B111</f>
        <v>Lausanne</v>
      </c>
      <c r="C117" s="611">
        <f>Ecrêtage!C111</f>
        <v>7026947.2679830147</v>
      </c>
      <c r="D117" s="604">
        <f>Données!Z111</f>
        <v>145037</v>
      </c>
      <c r="E117" s="610">
        <f>Population!K114</f>
        <v>-155587263.02816901</v>
      </c>
      <c r="F117" s="604">
        <f>Solidarité!I111</f>
        <v>-5417332.3029088499</v>
      </c>
      <c r="G117" s="610">
        <f>+DT!O111</f>
        <v>-51657960.469989464</v>
      </c>
      <c r="H117" s="604">
        <f>Effort!K111+Aide!I111+Taux!J111</f>
        <v>0</v>
      </c>
      <c r="I117" s="605">
        <f t="shared" si="3"/>
        <v>-212662555.80106729</v>
      </c>
      <c r="J117" s="624">
        <f t="shared" si="4"/>
        <v>137865574.38417602</v>
      </c>
      <c r="K117" s="626">
        <f t="shared" si="5"/>
        <v>-74796981.416891277</v>
      </c>
    </row>
    <row r="118" spans="1:11" x14ac:dyDescent="0.25">
      <c r="A118" s="37">
        <f>Données!A112</f>
        <v>5587</v>
      </c>
      <c r="B118" s="26" t="str">
        <f>Données!B112</f>
        <v>Le Mont-sur-Lausanne</v>
      </c>
      <c r="C118" s="611">
        <f>Ecrêtage!C112</f>
        <v>515123.14148148138</v>
      </c>
      <c r="D118" s="604">
        <f>Données!Z112</f>
        <v>9543</v>
      </c>
      <c r="E118" s="610">
        <f>Population!K115</f>
        <v>-4983584.8591549294</v>
      </c>
      <c r="F118" s="604">
        <f>Solidarité!I112</f>
        <v>0</v>
      </c>
      <c r="G118" s="610">
        <f>+DT!O112</f>
        <v>-2437928.0032481835</v>
      </c>
      <c r="H118" s="604">
        <f>Effort!K112+Aide!I112+Taux!J112</f>
        <v>0</v>
      </c>
      <c r="I118" s="605">
        <f t="shared" si="3"/>
        <v>-7421512.8624031134</v>
      </c>
      <c r="J118" s="624">
        <f t="shared" si="4"/>
        <v>10106486.511220146</v>
      </c>
      <c r="K118" s="626">
        <f t="shared" si="5"/>
        <v>2684973.6488170326</v>
      </c>
    </row>
    <row r="119" spans="1:11" x14ac:dyDescent="0.25">
      <c r="A119" s="37">
        <f>Données!A113</f>
        <v>5588</v>
      </c>
      <c r="B119" s="26" t="str">
        <f>Données!B113</f>
        <v>Paudex</v>
      </c>
      <c r="C119" s="611">
        <f>Ecrêtage!C113</f>
        <v>151788.7450912997</v>
      </c>
      <c r="D119" s="604">
        <f>Données!Z113</f>
        <v>1512</v>
      </c>
      <c r="E119" s="610">
        <f>Population!K116</f>
        <v>-323480.28169014084</v>
      </c>
      <c r="F119" s="604">
        <f>Solidarité!I113</f>
        <v>0</v>
      </c>
      <c r="G119" s="610">
        <f>+DT!O113</f>
        <v>0</v>
      </c>
      <c r="H119" s="604">
        <f>Effort!K113+Aide!I113+Taux!J113</f>
        <v>0</v>
      </c>
      <c r="I119" s="605">
        <f t="shared" si="3"/>
        <v>-323480.28169014084</v>
      </c>
      <c r="J119" s="624">
        <f t="shared" si="4"/>
        <v>2978027.5458181924</v>
      </c>
      <c r="K119" s="626">
        <f t="shared" si="5"/>
        <v>2654547.2641280517</v>
      </c>
    </row>
    <row r="120" spans="1:11" x14ac:dyDescent="0.25">
      <c r="A120" s="37">
        <f>Données!A114</f>
        <v>5589</v>
      </c>
      <c r="B120" s="26" t="str">
        <f>Données!B114</f>
        <v>Prilly</v>
      </c>
      <c r="C120" s="611">
        <f>Ecrêtage!C114</f>
        <v>442584.39482228115</v>
      </c>
      <c r="D120" s="604">
        <f>Données!Z114</f>
        <v>12766</v>
      </c>
      <c r="E120" s="610">
        <f>Population!K117</f>
        <v>-8018950.704225352</v>
      </c>
      <c r="F120" s="604">
        <f>Solidarité!I114</f>
        <v>-4103582.1645380445</v>
      </c>
      <c r="G120" s="610">
        <f>+DT!O114</f>
        <v>-3728886.4609227744</v>
      </c>
      <c r="H120" s="604">
        <f>Effort!K114+Aide!I114+Taux!J114</f>
        <v>0</v>
      </c>
      <c r="I120" s="605">
        <f t="shared" si="3"/>
        <v>-15851419.32968617</v>
      </c>
      <c r="J120" s="624">
        <f t="shared" si="4"/>
        <v>8683308.6230289619</v>
      </c>
      <c r="K120" s="626">
        <f t="shared" si="5"/>
        <v>-7168110.7066572085</v>
      </c>
    </row>
    <row r="121" spans="1:11" x14ac:dyDescent="0.25">
      <c r="A121" s="37">
        <f>Données!A115</f>
        <v>5590</v>
      </c>
      <c r="B121" s="26" t="str">
        <f>Données!B115</f>
        <v>Pully</v>
      </c>
      <c r="C121" s="611">
        <f>Ecrêtage!C115</f>
        <v>1670113.1662763469</v>
      </c>
      <c r="D121" s="604">
        <f>Données!Z115</f>
        <v>19545</v>
      </c>
      <c r="E121" s="610">
        <f>Population!K118</f>
        <v>-15469258.802816901</v>
      </c>
      <c r="F121" s="604">
        <f>Solidarité!I115</f>
        <v>0</v>
      </c>
      <c r="G121" s="610">
        <f>+DT!O115</f>
        <v>-2700193.1598090972</v>
      </c>
      <c r="H121" s="604">
        <f>Effort!K115+Aide!I115+Taux!J115</f>
        <v>0</v>
      </c>
      <c r="I121" s="605">
        <f t="shared" si="3"/>
        <v>-18169451.962625999</v>
      </c>
      <c r="J121" s="624">
        <f t="shared" si="4"/>
        <v>32766876.166035857</v>
      </c>
      <c r="K121" s="626">
        <f t="shared" si="5"/>
        <v>14597424.203409858</v>
      </c>
    </row>
    <row r="122" spans="1:11" x14ac:dyDescent="0.25">
      <c r="A122" s="37">
        <f>Données!A116</f>
        <v>5591</v>
      </c>
      <c r="B122" s="26" t="str">
        <f>Données!B116</f>
        <v>Renens</v>
      </c>
      <c r="C122" s="611">
        <f>Ecrêtage!C116</f>
        <v>627232.40092764387</v>
      </c>
      <c r="D122" s="604">
        <f>Données!Z116</f>
        <v>21568</v>
      </c>
      <c r="E122" s="610">
        <f>Population!K119</f>
        <v>-17728038.028169014</v>
      </c>
      <c r="F122" s="604">
        <f>Solidarité!I116</f>
        <v>-10676848.362506555</v>
      </c>
      <c r="G122" s="610">
        <f>+DT!O116</f>
        <v>-7395386.345253</v>
      </c>
      <c r="H122" s="604">
        <f>Effort!K116+Aide!I116+Taux!J116</f>
        <v>163698.04863032466</v>
      </c>
      <c r="I122" s="605">
        <f t="shared" si="3"/>
        <v>-35636574.687298238</v>
      </c>
      <c r="J122" s="624">
        <f t="shared" si="4"/>
        <v>12306020.228763785</v>
      </c>
      <c r="K122" s="626">
        <f t="shared" si="5"/>
        <v>-23330554.458534453</v>
      </c>
    </row>
    <row r="123" spans="1:11" x14ac:dyDescent="0.25">
      <c r="A123" s="37">
        <f>Données!A117</f>
        <v>5592</v>
      </c>
      <c r="B123" s="26" t="str">
        <f>Données!B117</f>
        <v>Romanel-sur-Lausanne</v>
      </c>
      <c r="C123" s="611">
        <f>Ecrêtage!C117</f>
        <v>146863.22056737586</v>
      </c>
      <c r="D123" s="604">
        <f>Données!Z117</f>
        <v>4325</v>
      </c>
      <c r="E123" s="610">
        <f>Population!K120</f>
        <v>-1581778.1690140842</v>
      </c>
      <c r="F123" s="604">
        <f>Solidarité!I117</f>
        <v>-1375815.4852216721</v>
      </c>
      <c r="G123" s="610">
        <f>+DT!O117</f>
        <v>-177344.48920835354</v>
      </c>
      <c r="H123" s="604">
        <f>Effort!K117+Aide!I117+Taux!J117</f>
        <v>0</v>
      </c>
      <c r="I123" s="605">
        <f t="shared" si="3"/>
        <v>-3134938.1434441097</v>
      </c>
      <c r="J123" s="624">
        <f t="shared" si="4"/>
        <v>2881390.9493365143</v>
      </c>
      <c r="K123" s="626">
        <f t="shared" si="5"/>
        <v>-253547.19410759537</v>
      </c>
    </row>
    <row r="124" spans="1:11" x14ac:dyDescent="0.25">
      <c r="A124" s="37">
        <f>Données!A118</f>
        <v>5601</v>
      </c>
      <c r="B124" s="26" t="str">
        <f>Données!B118</f>
        <v>Chexbres</v>
      </c>
      <c r="C124" s="611">
        <f>Ecrêtage!C118</f>
        <v>111006.30192592592</v>
      </c>
      <c r="D124" s="604">
        <f>Données!Z118</f>
        <v>2263</v>
      </c>
      <c r="E124" s="610">
        <f>Population!K121</f>
        <v>-602989.78873239434</v>
      </c>
      <c r="F124" s="604">
        <f>Solidarité!I118</f>
        <v>-37624.384112646978</v>
      </c>
      <c r="G124" s="610">
        <f>+DT!O118</f>
        <v>-296271.5527264821</v>
      </c>
      <c r="H124" s="604">
        <f>Effort!K118+Aide!I118+Taux!J118</f>
        <v>0</v>
      </c>
      <c r="I124" s="605">
        <f t="shared" si="3"/>
        <v>-936885.72557152342</v>
      </c>
      <c r="J124" s="624">
        <f t="shared" si="4"/>
        <v>2177894.1824440104</v>
      </c>
      <c r="K124" s="626">
        <f t="shared" si="5"/>
        <v>1241008.456872487</v>
      </c>
    </row>
    <row r="125" spans="1:11" x14ac:dyDescent="0.25">
      <c r="A125" s="37">
        <f>Données!A119</f>
        <v>5604</v>
      </c>
      <c r="B125" s="26" t="str">
        <f>Données!B119</f>
        <v>Forel (Lavaux)</v>
      </c>
      <c r="C125" s="611">
        <f>Ecrêtage!C119</f>
        <v>74097.487681159415</v>
      </c>
      <c r="D125" s="604">
        <f>Données!Z119</f>
        <v>2088</v>
      </c>
      <c r="E125" s="610">
        <f>Population!K122</f>
        <v>-537857.74647887319</v>
      </c>
      <c r="F125" s="604">
        <f>Solidarité!I119</f>
        <v>-575417.60227725911</v>
      </c>
      <c r="G125" s="610">
        <f>+DT!O119</f>
        <v>-362116.25732354604</v>
      </c>
      <c r="H125" s="604">
        <f>Effort!K119+Aide!I119+Taux!J119</f>
        <v>0</v>
      </c>
      <c r="I125" s="605">
        <f t="shared" si="3"/>
        <v>-1475391.6060796783</v>
      </c>
      <c r="J125" s="624">
        <f t="shared" si="4"/>
        <v>1453759.6925100677</v>
      </c>
      <c r="K125" s="626">
        <f t="shared" si="5"/>
        <v>-21631.913569610566</v>
      </c>
    </row>
    <row r="126" spans="1:11" x14ac:dyDescent="0.25">
      <c r="A126" s="37">
        <f>Données!A120</f>
        <v>5606</v>
      </c>
      <c r="B126" s="26" t="str">
        <f>Données!B120</f>
        <v>Lutry</v>
      </c>
      <c r="C126" s="611">
        <f>Ecrêtage!C120</f>
        <v>967121.48857142858</v>
      </c>
      <c r="D126" s="604">
        <f>Données!Z120</f>
        <v>10750</v>
      </c>
      <c r="E126" s="610">
        <f>Population!K123</f>
        <v>-6074559.8591549294</v>
      </c>
      <c r="F126" s="604">
        <f>Solidarité!I120</f>
        <v>0</v>
      </c>
      <c r="G126" s="610">
        <f>+DT!O120</f>
        <v>-1939288.2531814305</v>
      </c>
      <c r="H126" s="604">
        <f>Effort!K120+Aide!I120+Taux!J120</f>
        <v>0</v>
      </c>
      <c r="I126" s="605">
        <f t="shared" si="3"/>
        <v>-8013848.1123363599</v>
      </c>
      <c r="J126" s="624">
        <f t="shared" si="4"/>
        <v>18974492.683143556</v>
      </c>
      <c r="K126" s="626">
        <f t="shared" si="5"/>
        <v>10960644.570807196</v>
      </c>
    </row>
    <row r="127" spans="1:11" x14ac:dyDescent="0.25">
      <c r="A127" s="37">
        <f>Données!A121</f>
        <v>5607</v>
      </c>
      <c r="B127" s="26" t="str">
        <f>Données!B121</f>
        <v>Puidoux</v>
      </c>
      <c r="C127" s="611">
        <f>Ecrêtage!C121</f>
        <v>136783.21297365916</v>
      </c>
      <c r="D127" s="604">
        <f>Données!Z121</f>
        <v>2976</v>
      </c>
      <c r="E127" s="610">
        <f>Population!K124</f>
        <v>-868356.338028169</v>
      </c>
      <c r="F127" s="604">
        <f>Solidarité!I121</f>
        <v>-223500.09293529755</v>
      </c>
      <c r="G127" s="610">
        <f>+DT!O121</f>
        <v>-889435.47642665997</v>
      </c>
      <c r="H127" s="604">
        <f>Effort!K121+Aide!I121+Taux!J121</f>
        <v>0</v>
      </c>
      <c r="I127" s="605">
        <f t="shared" si="3"/>
        <v>-1981291.9073901265</v>
      </c>
      <c r="J127" s="624">
        <f t="shared" si="4"/>
        <v>2683625.691720813</v>
      </c>
      <c r="K127" s="626">
        <f t="shared" si="5"/>
        <v>702333.78433068655</v>
      </c>
    </row>
    <row r="128" spans="1:11" x14ac:dyDescent="0.25">
      <c r="A128" s="37">
        <f>Données!A122</f>
        <v>5609</v>
      </c>
      <c r="B128" s="26" t="str">
        <f>Données!B122</f>
        <v>Rivaz</v>
      </c>
      <c r="C128" s="611">
        <f>Ecrêtage!C122</f>
        <v>15606.865161290323</v>
      </c>
      <c r="D128" s="604">
        <f>Données!Z122</f>
        <v>329</v>
      </c>
      <c r="E128" s="610">
        <f>Population!K125</f>
        <v>-43731.514084507035</v>
      </c>
      <c r="F128" s="604">
        <f>Solidarité!I122</f>
        <v>-12782.762044277591</v>
      </c>
      <c r="G128" s="610">
        <f>+DT!O122</f>
        <v>-60801.927810836816</v>
      </c>
      <c r="H128" s="604">
        <f>Effort!K122+Aide!I122+Taux!J122</f>
        <v>0</v>
      </c>
      <c r="I128" s="605">
        <f t="shared" si="3"/>
        <v>-117316.20393962144</v>
      </c>
      <c r="J128" s="624">
        <f t="shared" si="4"/>
        <v>306199.74047638988</v>
      </c>
      <c r="K128" s="626">
        <f t="shared" si="5"/>
        <v>188883.53653676843</v>
      </c>
    </row>
    <row r="129" spans="1:11" x14ac:dyDescent="0.25">
      <c r="A129" s="37">
        <f>Données!A123</f>
        <v>5610</v>
      </c>
      <c r="B129" s="26" t="str">
        <f>Données!B123</f>
        <v>St-Saphorin (Lavaux)</v>
      </c>
      <c r="C129" s="611">
        <f>Ecrêtage!C123</f>
        <v>17690.752229729729</v>
      </c>
      <c r="D129" s="604">
        <f>Données!Z123</f>
        <v>389</v>
      </c>
      <c r="E129" s="610">
        <f>Population!K126</f>
        <v>-51706.866197183088</v>
      </c>
      <c r="F129" s="604">
        <f>Solidarité!I123</f>
        <v>-38220.843219738861</v>
      </c>
      <c r="G129" s="610">
        <f>+DT!O123</f>
        <v>-193282.35608362863</v>
      </c>
      <c r="H129" s="604">
        <f>Effort!K123+Aide!I123+Taux!J123</f>
        <v>0</v>
      </c>
      <c r="I129" s="605">
        <f t="shared" si="3"/>
        <v>-283210.06550055055</v>
      </c>
      <c r="J129" s="624">
        <f t="shared" si="4"/>
        <v>347084.67623664072</v>
      </c>
      <c r="K129" s="626">
        <f t="shared" si="5"/>
        <v>63874.610736090166</v>
      </c>
    </row>
    <row r="130" spans="1:11" x14ac:dyDescent="0.25">
      <c r="A130" s="37">
        <f>Données!A124</f>
        <v>5611</v>
      </c>
      <c r="B130" s="26" t="str">
        <f>Données!B124</f>
        <v>Savigny</v>
      </c>
      <c r="C130" s="611">
        <f>Ecrêtage!C124</f>
        <v>157298.88888888891</v>
      </c>
      <c r="D130" s="604">
        <f>Données!Z124</f>
        <v>3506</v>
      </c>
      <c r="E130" s="610">
        <f>Population!K127</f>
        <v>-1146323.9436619717</v>
      </c>
      <c r="F130" s="604">
        <f>Solidarité!I124</f>
        <v>-340334.33013691474</v>
      </c>
      <c r="G130" s="610">
        <f>+DT!O124</f>
        <v>-544289.90643085714</v>
      </c>
      <c r="H130" s="604">
        <f>Effort!K124+Aide!I124+Taux!J124</f>
        <v>0</v>
      </c>
      <c r="I130" s="605">
        <f t="shared" si="3"/>
        <v>-2030948.1802297435</v>
      </c>
      <c r="J130" s="624">
        <f t="shared" si="4"/>
        <v>3086134.111958981</v>
      </c>
      <c r="K130" s="626">
        <f t="shared" si="5"/>
        <v>1055185.9317292375</v>
      </c>
    </row>
    <row r="131" spans="1:11" x14ac:dyDescent="0.25">
      <c r="A131" s="37">
        <f>Données!A125</f>
        <v>5613</v>
      </c>
      <c r="B131" s="26" t="str">
        <f>Données!B125</f>
        <v>Bourg-en-Lavaux</v>
      </c>
      <c r="C131" s="611">
        <f>Ecrêtage!C125</f>
        <v>362275.1242133333</v>
      </c>
      <c r="D131" s="604">
        <f>Données!Z125</f>
        <v>5465</v>
      </c>
      <c r="E131" s="610">
        <f>Population!K128</f>
        <v>-2237352.1126760561</v>
      </c>
      <c r="F131" s="604">
        <f>Solidarité!I125</f>
        <v>0</v>
      </c>
      <c r="G131" s="610">
        <f>+DT!O125</f>
        <v>0</v>
      </c>
      <c r="H131" s="604">
        <f>Effort!K125+Aide!I125+Taux!J125</f>
        <v>0</v>
      </c>
      <c r="I131" s="605">
        <f t="shared" si="3"/>
        <v>-2237352.1126760561</v>
      </c>
      <c r="J131" s="624">
        <f t="shared" si="4"/>
        <v>7107676.5172746181</v>
      </c>
      <c r="K131" s="626">
        <f t="shared" si="5"/>
        <v>4870324.404598562</v>
      </c>
    </row>
    <row r="132" spans="1:11" x14ac:dyDescent="0.25">
      <c r="A132" s="37">
        <f>Données!A126</f>
        <v>5621</v>
      </c>
      <c r="B132" s="26" t="str">
        <f>Données!B126</f>
        <v>Aclens</v>
      </c>
      <c r="C132" s="611">
        <f>Ecrêtage!C126</f>
        <v>31275.873303030305</v>
      </c>
      <c r="D132" s="604">
        <f>Données!Z126</f>
        <v>587</v>
      </c>
      <c r="E132" s="610">
        <f>Population!K129</f>
        <v>-78025.528169014069</v>
      </c>
      <c r="F132" s="604">
        <f>Solidarité!I126</f>
        <v>0</v>
      </c>
      <c r="G132" s="610">
        <f>+DT!O126</f>
        <v>-91013.273150700217</v>
      </c>
      <c r="H132" s="604">
        <f>Effort!K126+Aide!I126+Taux!J126</f>
        <v>0</v>
      </c>
      <c r="I132" s="605">
        <f t="shared" si="3"/>
        <v>-169038.80131971429</v>
      </c>
      <c r="J132" s="624">
        <f t="shared" si="4"/>
        <v>613618.69854000607</v>
      </c>
      <c r="K132" s="626">
        <f t="shared" si="5"/>
        <v>444579.89722029178</v>
      </c>
    </row>
    <row r="133" spans="1:11" x14ac:dyDescent="0.25">
      <c r="A133" s="37">
        <f>Données!A127</f>
        <v>5622</v>
      </c>
      <c r="B133" s="26" t="str">
        <f>Données!B127</f>
        <v>Bremblens</v>
      </c>
      <c r="C133" s="611">
        <f>Ecrêtage!C127</f>
        <v>29645.912352941177</v>
      </c>
      <c r="D133" s="604">
        <f>Données!Z127</f>
        <v>615</v>
      </c>
      <c r="E133" s="610">
        <f>Population!K130</f>
        <v>-81747.359154929567</v>
      </c>
      <c r="F133" s="604">
        <f>Solidarité!I127</f>
        <v>-20017.960911982191</v>
      </c>
      <c r="G133" s="610">
        <f>+DT!O127</f>
        <v>0</v>
      </c>
      <c r="H133" s="604">
        <f>Effort!K127+Aide!I127+Taux!J127</f>
        <v>0</v>
      </c>
      <c r="I133" s="605">
        <f t="shared" si="3"/>
        <v>-101765.32006691175</v>
      </c>
      <c r="J133" s="624">
        <f t="shared" si="4"/>
        <v>581639.5909648448</v>
      </c>
      <c r="K133" s="626">
        <f t="shared" si="5"/>
        <v>479874.27089793305</v>
      </c>
    </row>
    <row r="134" spans="1:11" x14ac:dyDescent="0.25">
      <c r="A134" s="37">
        <f>Données!A128</f>
        <v>5623</v>
      </c>
      <c r="B134" s="26" t="str">
        <f>Données!B128</f>
        <v>Buchillon</v>
      </c>
      <c r="C134" s="611">
        <f>Ecrêtage!C128</f>
        <v>102629.43480769232</v>
      </c>
      <c r="D134" s="604">
        <f>Données!Z128</f>
        <v>686</v>
      </c>
      <c r="E134" s="610">
        <f>Population!K131</f>
        <v>-91184.859154929567</v>
      </c>
      <c r="F134" s="604">
        <f>Solidarité!I128</f>
        <v>0</v>
      </c>
      <c r="G134" s="610">
        <f>+DT!O128</f>
        <v>0</v>
      </c>
      <c r="H134" s="604">
        <f>Effort!K128+Aide!I128+Taux!J128</f>
        <v>0</v>
      </c>
      <c r="I134" s="605">
        <f t="shared" si="3"/>
        <v>-91184.859154929567</v>
      </c>
      <c r="J134" s="624">
        <f t="shared" si="4"/>
        <v>2013543.7820849246</v>
      </c>
      <c r="K134" s="626">
        <f t="shared" si="5"/>
        <v>1922358.922929995</v>
      </c>
    </row>
    <row r="135" spans="1:11" x14ac:dyDescent="0.25">
      <c r="A135" s="37">
        <f>Données!A129</f>
        <v>5624</v>
      </c>
      <c r="B135" s="26" t="str">
        <f>Données!B129</f>
        <v>Bussigny</v>
      </c>
      <c r="C135" s="611">
        <f>Ecrêtage!C129</f>
        <v>450667.46672000003</v>
      </c>
      <c r="D135" s="604">
        <f>Données!Z129</f>
        <v>11667</v>
      </c>
      <c r="E135" s="610">
        <f>Population!K132</f>
        <v>-6903411.6197183095</v>
      </c>
      <c r="F135" s="604">
        <f>Solidarité!I129</f>
        <v>-2065825.8807005731</v>
      </c>
      <c r="G135" s="610">
        <f>+DT!O129</f>
        <v>-2535826.9717019685</v>
      </c>
      <c r="H135" s="604">
        <f>Effort!K129+Aide!I129+Taux!J129</f>
        <v>0</v>
      </c>
      <c r="I135" s="605">
        <f t="shared" si="3"/>
        <v>-11505064.472120851</v>
      </c>
      <c r="J135" s="624">
        <f t="shared" si="4"/>
        <v>8841894.8920685872</v>
      </c>
      <c r="K135" s="626">
        <f t="shared" si="5"/>
        <v>-2663169.580052264</v>
      </c>
    </row>
    <row r="136" spans="1:11" x14ac:dyDescent="0.25">
      <c r="A136" s="37">
        <f>Données!A130</f>
        <v>5627</v>
      </c>
      <c r="B136" s="26" t="str">
        <f>Données!B130</f>
        <v>Chavannes-près-Renens</v>
      </c>
      <c r="C136" s="611">
        <f>Ecrêtage!C130</f>
        <v>202046.51840860216</v>
      </c>
      <c r="D136" s="604">
        <f>Données!Z130</f>
        <v>9771</v>
      </c>
      <c r="E136" s="610">
        <f>Population!K133</f>
        <v>-5189667.9577464787</v>
      </c>
      <c r="F136" s="604">
        <f>Solidarité!I130</f>
        <v>-6871681.0483655371</v>
      </c>
      <c r="G136" s="610">
        <f>+DT!O130</f>
        <v>-2790189.1955518681</v>
      </c>
      <c r="H136" s="604">
        <f>Effort!K130+Aide!I130+Taux!J130</f>
        <v>2792579.3010008736</v>
      </c>
      <c r="I136" s="605">
        <f t="shared" si="3"/>
        <v>-12058958.900663011</v>
      </c>
      <c r="J136" s="624">
        <f t="shared" si="4"/>
        <v>3964062.6648277645</v>
      </c>
      <c r="K136" s="626">
        <f t="shared" si="5"/>
        <v>-8094896.2358352467</v>
      </c>
    </row>
    <row r="137" spans="1:11" x14ac:dyDescent="0.25">
      <c r="A137" s="37">
        <f>Données!A131</f>
        <v>5628</v>
      </c>
      <c r="B137" s="26" t="str">
        <f>Données!B131</f>
        <v>Chigny</v>
      </c>
      <c r="C137" s="611">
        <f>Ecrêtage!C131</f>
        <v>31766.144193548385</v>
      </c>
      <c r="D137" s="604">
        <f>Données!Z131</f>
        <v>420</v>
      </c>
      <c r="E137" s="610">
        <f>Population!K134</f>
        <v>-55827.464788732388</v>
      </c>
      <c r="F137" s="604">
        <f>Solidarité!I131</f>
        <v>0</v>
      </c>
      <c r="G137" s="610">
        <f>+DT!O131</f>
        <v>0</v>
      </c>
      <c r="H137" s="604">
        <f>Effort!K131+Aide!I131+Taux!J131</f>
        <v>0</v>
      </c>
      <c r="I137" s="605">
        <f t="shared" si="3"/>
        <v>-55827.464788732388</v>
      </c>
      <c r="J137" s="624">
        <f t="shared" si="4"/>
        <v>623237.59496080107</v>
      </c>
      <c r="K137" s="626">
        <f t="shared" si="5"/>
        <v>567410.13017206872</v>
      </c>
    </row>
    <row r="138" spans="1:11" x14ac:dyDescent="0.25">
      <c r="A138" s="37">
        <f>Données!A132</f>
        <v>5629</v>
      </c>
      <c r="B138" s="26" t="str">
        <f>Données!B132</f>
        <v>Clarmont</v>
      </c>
      <c r="C138" s="611">
        <f>Ecrêtage!C132</f>
        <v>8028.6466666666693</v>
      </c>
      <c r="D138" s="604">
        <f>Données!Z132</f>
        <v>228</v>
      </c>
      <c r="E138" s="610">
        <f>Population!K135</f>
        <v>-30306.338028169012</v>
      </c>
      <c r="F138" s="604">
        <f>Solidarité!I132</f>
        <v>-69709.954246335968</v>
      </c>
      <c r="G138" s="610">
        <f>+DT!O132</f>
        <v>-65260.334844286808</v>
      </c>
      <c r="H138" s="604">
        <f>Effort!K132+Aide!I132+Taux!J132</f>
        <v>0</v>
      </c>
      <c r="I138" s="605">
        <f t="shared" si="3"/>
        <v>-165276.6271187918</v>
      </c>
      <c r="J138" s="624">
        <f t="shared" si="4"/>
        <v>157518.47025675958</v>
      </c>
      <c r="K138" s="626">
        <f t="shared" si="5"/>
        <v>-7758.1568620322214</v>
      </c>
    </row>
    <row r="139" spans="1:11" x14ac:dyDescent="0.25">
      <c r="A139" s="37">
        <f>Données!A133</f>
        <v>5631</v>
      </c>
      <c r="B139" s="26" t="str">
        <f>Données!B133</f>
        <v>Denens</v>
      </c>
      <c r="C139" s="611">
        <f>Ecrêtage!C133</f>
        <v>46857.544615384613</v>
      </c>
      <c r="D139" s="604">
        <f>Données!Z133</f>
        <v>742</v>
      </c>
      <c r="E139" s="610">
        <f>Population!K136</f>
        <v>-98628.521126760548</v>
      </c>
      <c r="F139" s="604">
        <f>Solidarité!I133</f>
        <v>0</v>
      </c>
      <c r="G139" s="610">
        <f>+DT!O133</f>
        <v>0</v>
      </c>
      <c r="H139" s="604">
        <f>Effort!K133+Aide!I133+Taux!J133</f>
        <v>0</v>
      </c>
      <c r="I139" s="605">
        <f t="shared" si="3"/>
        <v>-98628.521126760548</v>
      </c>
      <c r="J139" s="624">
        <f t="shared" si="4"/>
        <v>919324.14692595473</v>
      </c>
      <c r="K139" s="626">
        <f t="shared" si="5"/>
        <v>820695.62579919421</v>
      </c>
    </row>
    <row r="140" spans="1:11" x14ac:dyDescent="0.25">
      <c r="A140" s="37">
        <f>Données!A134</f>
        <v>5632</v>
      </c>
      <c r="B140" s="26" t="str">
        <f>Données!B134</f>
        <v>Denges</v>
      </c>
      <c r="C140" s="611">
        <f>Ecrêtage!C134</f>
        <v>84931.199193548397</v>
      </c>
      <c r="D140" s="604">
        <f>Données!Z134</f>
        <v>1837</v>
      </c>
      <c r="E140" s="610">
        <f>Population!K137</f>
        <v>-444439.78873239434</v>
      </c>
      <c r="F140" s="604">
        <f>Solidarité!I134</f>
        <v>-105354.22890622393</v>
      </c>
      <c r="G140" s="610">
        <f>+DT!O134</f>
        <v>-92223.092403321309</v>
      </c>
      <c r="H140" s="604">
        <f>Effort!K134+Aide!I134+Taux!J134</f>
        <v>0</v>
      </c>
      <c r="I140" s="605">
        <f t="shared" si="3"/>
        <v>-642017.11004193954</v>
      </c>
      <c r="J140" s="624">
        <f t="shared" si="4"/>
        <v>1666312.2851804669</v>
      </c>
      <c r="K140" s="626">
        <f t="shared" si="5"/>
        <v>1024295.1751385274</v>
      </c>
    </row>
    <row r="141" spans="1:11" x14ac:dyDescent="0.25">
      <c r="A141" s="37">
        <f>Données!A135</f>
        <v>5633</v>
      </c>
      <c r="B141" s="26" t="str">
        <f>Données!B135</f>
        <v>Echandens</v>
      </c>
      <c r="C141" s="611">
        <f>Ecrêtage!C135</f>
        <v>152816.5752066116</v>
      </c>
      <c r="D141" s="604">
        <f>Données!Z135</f>
        <v>3004</v>
      </c>
      <c r="E141" s="610">
        <f>Population!K138</f>
        <v>-879415.49295774638</v>
      </c>
      <c r="F141" s="604">
        <f>Solidarité!I135</f>
        <v>0</v>
      </c>
      <c r="G141" s="610">
        <f>+DT!O135</f>
        <v>-807059.70732517901</v>
      </c>
      <c r="H141" s="604">
        <f>Effort!K135+Aide!I135+Taux!J135</f>
        <v>0</v>
      </c>
      <c r="I141" s="605">
        <f t="shared" ref="I141:I204" si="6">SUM(E141:H141)</f>
        <v>-1686475.2002829253</v>
      </c>
      <c r="J141" s="624">
        <f t="shared" ref="J141:J204" si="7">C141*$J$11</f>
        <v>2998193.1147078965</v>
      </c>
      <c r="K141" s="626">
        <f t="shared" ref="K141:K204" si="8">I141+J141</f>
        <v>1311717.9144249712</v>
      </c>
    </row>
    <row r="142" spans="1:11" x14ac:dyDescent="0.25">
      <c r="A142" s="37">
        <f>Données!A136</f>
        <v>5634</v>
      </c>
      <c r="B142" s="26" t="str">
        <f>Données!B136</f>
        <v>Echichens</v>
      </c>
      <c r="C142" s="611">
        <f>Ecrêtage!C136</f>
        <v>172315.76318181818</v>
      </c>
      <c r="D142" s="604">
        <f>Données!Z136</f>
        <v>3218</v>
      </c>
      <c r="E142" s="610">
        <f>Population!K139</f>
        <v>-993197.1830985914</v>
      </c>
      <c r="F142" s="604">
        <f>Solidarité!I136</f>
        <v>0</v>
      </c>
      <c r="G142" s="610">
        <f>+DT!O136</f>
        <v>-172677.36918620131</v>
      </c>
      <c r="H142" s="604">
        <f>Effort!K136+Aide!I136+Taux!J136</f>
        <v>0</v>
      </c>
      <c r="I142" s="605">
        <f t="shared" si="6"/>
        <v>-1165874.5522847928</v>
      </c>
      <c r="J142" s="624">
        <f t="shared" si="7"/>
        <v>3380758.4944817657</v>
      </c>
      <c r="K142" s="626">
        <f t="shared" si="8"/>
        <v>2214883.9421969727</v>
      </c>
    </row>
    <row r="143" spans="1:11" x14ac:dyDescent="0.25">
      <c r="A143" s="37">
        <f>Données!A137</f>
        <v>5635</v>
      </c>
      <c r="B143" s="26" t="str">
        <f>Données!B137</f>
        <v>Ecublens</v>
      </c>
      <c r="C143" s="611">
        <f>Ecrêtage!C137</f>
        <v>544882.47829333332</v>
      </c>
      <c r="D143" s="604">
        <f>Données!Z137</f>
        <v>13391</v>
      </c>
      <c r="E143" s="610">
        <f>Population!K140</f>
        <v>-8683563.3802816905</v>
      </c>
      <c r="F143" s="604">
        <f>Solidarité!I137</f>
        <v>-1939723.5227275533</v>
      </c>
      <c r="G143" s="610">
        <f>+DT!O137</f>
        <v>-3996979.6713363961</v>
      </c>
      <c r="H143" s="604">
        <f>Effort!K137+Aide!I137+Taux!J137</f>
        <v>0</v>
      </c>
      <c r="I143" s="605">
        <f t="shared" si="6"/>
        <v>-14620266.574345639</v>
      </c>
      <c r="J143" s="624">
        <f t="shared" si="7"/>
        <v>10690351.439530013</v>
      </c>
      <c r="K143" s="626">
        <f t="shared" si="8"/>
        <v>-3929915.1348156258</v>
      </c>
    </row>
    <row r="144" spans="1:11" x14ac:dyDescent="0.25">
      <c r="A144" s="37">
        <f>Données!A138</f>
        <v>5636</v>
      </c>
      <c r="B144" s="26" t="str">
        <f>Données!B138</f>
        <v>Etoy</v>
      </c>
      <c r="C144" s="611">
        <f>Ecrêtage!C138</f>
        <v>214499.46883333332</v>
      </c>
      <c r="D144" s="604">
        <f>Données!Z138</f>
        <v>2966</v>
      </c>
      <c r="E144" s="610">
        <f>Population!K141</f>
        <v>-864634.50704225339</v>
      </c>
      <c r="F144" s="604">
        <f>Solidarité!I138</f>
        <v>0</v>
      </c>
      <c r="G144" s="610">
        <f>+DT!O138</f>
        <v>0</v>
      </c>
      <c r="H144" s="604">
        <f>Effort!K138+Aide!I138+Taux!J138</f>
        <v>0</v>
      </c>
      <c r="I144" s="605">
        <f t="shared" si="6"/>
        <v>-864634.50704225339</v>
      </c>
      <c r="J144" s="624">
        <f t="shared" si="7"/>
        <v>4208384.0034701731</v>
      </c>
      <c r="K144" s="626">
        <f t="shared" si="8"/>
        <v>3343749.4964279197</v>
      </c>
    </row>
    <row r="145" spans="1:11" x14ac:dyDescent="0.25">
      <c r="A145" s="37">
        <f>Données!A139</f>
        <v>5637</v>
      </c>
      <c r="B145" s="26" t="str">
        <f>Données!B139</f>
        <v>Lavigny</v>
      </c>
      <c r="C145" s="611">
        <f>Ecrêtage!C139</f>
        <v>37437.327945205478</v>
      </c>
      <c r="D145" s="604">
        <f>Données!Z139</f>
        <v>1100</v>
      </c>
      <c r="E145" s="610">
        <f>Population!K142</f>
        <v>-170140.84507042251</v>
      </c>
      <c r="F145" s="604">
        <f>Solidarité!I139</f>
        <v>-373367.92960179638</v>
      </c>
      <c r="G145" s="610">
        <f>+DT!O139</f>
        <v>-1713424.4236557244</v>
      </c>
      <c r="H145" s="604">
        <f>Effort!K139+Aide!I139+Taux!J139</f>
        <v>0</v>
      </c>
      <c r="I145" s="605">
        <f t="shared" si="6"/>
        <v>-2256933.1983279432</v>
      </c>
      <c r="J145" s="624">
        <f t="shared" si="7"/>
        <v>734503.69324544538</v>
      </c>
      <c r="K145" s="626">
        <f t="shared" si="8"/>
        <v>-1522429.5050824978</v>
      </c>
    </row>
    <row r="146" spans="1:11" x14ac:dyDescent="0.25">
      <c r="A146" s="37">
        <f>Données!A140</f>
        <v>5638</v>
      </c>
      <c r="B146" s="26" t="str">
        <f>Données!B140</f>
        <v>Lonay</v>
      </c>
      <c r="C146" s="611">
        <f>Ecrêtage!C140</f>
        <v>156370.75327272728</v>
      </c>
      <c r="D146" s="604">
        <f>Données!Z140</f>
        <v>2733</v>
      </c>
      <c r="E146" s="610">
        <f>Population!K143</f>
        <v>-777915.84507042239</v>
      </c>
      <c r="F146" s="604">
        <f>Solidarité!I140</f>
        <v>0</v>
      </c>
      <c r="G146" s="610">
        <f>+DT!O140</f>
        <v>-458262.50903828646</v>
      </c>
      <c r="H146" s="604">
        <f>Effort!K140+Aide!I140+Taux!J140</f>
        <v>0</v>
      </c>
      <c r="I146" s="605">
        <f t="shared" si="6"/>
        <v>-1236178.3541087089</v>
      </c>
      <c r="J146" s="624">
        <f t="shared" si="7"/>
        <v>3067924.5047214897</v>
      </c>
      <c r="K146" s="626">
        <f t="shared" si="8"/>
        <v>1831746.1506127808</v>
      </c>
    </row>
    <row r="147" spans="1:11" x14ac:dyDescent="0.25">
      <c r="A147" s="37">
        <f>Données!A141</f>
        <v>5639</v>
      </c>
      <c r="B147" s="26" t="str">
        <f>Données!B141</f>
        <v>Lully</v>
      </c>
      <c r="C147" s="611">
        <f>Ecrêtage!C141</f>
        <v>55829.926885245906</v>
      </c>
      <c r="D147" s="604">
        <f>Données!Z141</f>
        <v>838</v>
      </c>
      <c r="E147" s="610">
        <f>Population!K144</f>
        <v>-111389.08450704224</v>
      </c>
      <c r="F147" s="604">
        <f>Solidarité!I141</f>
        <v>0</v>
      </c>
      <c r="G147" s="610">
        <f>+DT!O141</f>
        <v>0</v>
      </c>
      <c r="H147" s="604">
        <f>Effort!K141+Aide!I141+Taux!J141</f>
        <v>0</v>
      </c>
      <c r="I147" s="605">
        <f t="shared" si="6"/>
        <v>-111389.08450704224</v>
      </c>
      <c r="J147" s="624">
        <f t="shared" si="7"/>
        <v>1095358.2892148697</v>
      </c>
      <c r="K147" s="626">
        <f t="shared" si="8"/>
        <v>983969.20470782754</v>
      </c>
    </row>
    <row r="148" spans="1:11" x14ac:dyDescent="0.25">
      <c r="A148" s="37">
        <f>Données!A142</f>
        <v>5640</v>
      </c>
      <c r="B148" s="26" t="str">
        <f>Données!B142</f>
        <v>Lussy-sur-Morges</v>
      </c>
      <c r="C148" s="611">
        <f>Ecrêtage!C142</f>
        <v>63303.13934959349</v>
      </c>
      <c r="D148" s="604">
        <f>Données!Z142</f>
        <v>719</v>
      </c>
      <c r="E148" s="610">
        <f>Population!K145</f>
        <v>-95571.3028169014</v>
      </c>
      <c r="F148" s="604">
        <f>Solidarité!I142</f>
        <v>0</v>
      </c>
      <c r="G148" s="610">
        <f>+DT!O142</f>
        <v>0</v>
      </c>
      <c r="H148" s="604">
        <f>Effort!K142+Aide!I142+Taux!J142</f>
        <v>0</v>
      </c>
      <c r="I148" s="605">
        <f t="shared" si="6"/>
        <v>-95571.3028169014</v>
      </c>
      <c r="J148" s="624">
        <f t="shared" si="7"/>
        <v>1241979.3879082708</v>
      </c>
      <c r="K148" s="626">
        <f t="shared" si="8"/>
        <v>1146408.0850913695</v>
      </c>
    </row>
    <row r="149" spans="1:11" x14ac:dyDescent="0.25">
      <c r="A149" s="37">
        <f>Données!A143</f>
        <v>5642</v>
      </c>
      <c r="B149" s="26" t="str">
        <f>Données!B143</f>
        <v>Morges</v>
      </c>
      <c r="C149" s="611">
        <f>Ecrêtage!C143</f>
        <v>1061989.5101492535</v>
      </c>
      <c r="D149" s="604">
        <f>Données!Z143</f>
        <v>17715</v>
      </c>
      <c r="E149" s="610">
        <f>Population!K146</f>
        <v>-13425973.591549294</v>
      </c>
      <c r="F149" s="604">
        <f>Solidarité!I143</f>
        <v>0</v>
      </c>
      <c r="G149" s="610">
        <f>+DT!O143</f>
        <v>-1874449.6605539578</v>
      </c>
      <c r="H149" s="604">
        <f>Effort!K143+Aide!I143+Taux!J143</f>
        <v>0</v>
      </c>
      <c r="I149" s="605">
        <f t="shared" si="6"/>
        <v>-15300423.252103252</v>
      </c>
      <c r="J149" s="624">
        <f t="shared" si="7"/>
        <v>20835760.995929882</v>
      </c>
      <c r="K149" s="626">
        <f t="shared" si="8"/>
        <v>5535337.7438266296</v>
      </c>
    </row>
    <row r="150" spans="1:11" x14ac:dyDescent="0.25">
      <c r="A150" s="37">
        <f>Données!A144</f>
        <v>5643</v>
      </c>
      <c r="B150" s="26" t="str">
        <f>Données!B144</f>
        <v>Préverenges</v>
      </c>
      <c r="C150" s="611">
        <f>Ecrêtage!C144</f>
        <v>254683.39384615389</v>
      </c>
      <c r="D150" s="604">
        <f>Données!Z144</f>
        <v>5273</v>
      </c>
      <c r="E150" s="610">
        <f>Population!K147</f>
        <v>-2114850.704225352</v>
      </c>
      <c r="F150" s="604">
        <f>Solidarité!I144</f>
        <v>-148380.81055296463</v>
      </c>
      <c r="G150" s="610">
        <f>+DT!O144</f>
        <v>0</v>
      </c>
      <c r="H150" s="604">
        <f>Effort!K144+Aide!I144+Taux!J144</f>
        <v>0</v>
      </c>
      <c r="I150" s="605">
        <f t="shared" si="6"/>
        <v>-2263231.5147783165</v>
      </c>
      <c r="J150" s="624">
        <f t="shared" si="7"/>
        <v>4996774.7073744219</v>
      </c>
      <c r="K150" s="626">
        <f t="shared" si="8"/>
        <v>2733543.1925961054</v>
      </c>
    </row>
    <row r="151" spans="1:11" x14ac:dyDescent="0.25">
      <c r="A151" s="37">
        <f>Données!A145</f>
        <v>5645</v>
      </c>
      <c r="B151" s="26" t="str">
        <f>Données!B145</f>
        <v>Romanel-sur-Morges</v>
      </c>
      <c r="C151" s="611">
        <f>Ecrêtage!C145</f>
        <v>28308.714642857147</v>
      </c>
      <c r="D151" s="604">
        <f>Données!Z145</f>
        <v>454</v>
      </c>
      <c r="E151" s="610">
        <f>Population!K148</f>
        <v>-60346.830985915483</v>
      </c>
      <c r="F151" s="604">
        <f>Solidarité!I145</f>
        <v>0</v>
      </c>
      <c r="G151" s="610">
        <f>+DT!O145</f>
        <v>0</v>
      </c>
      <c r="H151" s="604">
        <f>Effort!K145+Aide!I145+Taux!J145</f>
        <v>0</v>
      </c>
      <c r="I151" s="605">
        <f t="shared" si="6"/>
        <v>-60346.830985915483</v>
      </c>
      <c r="J151" s="624">
        <f t="shared" si="7"/>
        <v>555404.36771136848</v>
      </c>
      <c r="K151" s="626">
        <f t="shared" si="8"/>
        <v>495057.53672545298</v>
      </c>
    </row>
    <row r="152" spans="1:11" x14ac:dyDescent="0.25">
      <c r="A152" s="37">
        <f>Données!A146</f>
        <v>5646</v>
      </c>
      <c r="B152" s="26" t="str">
        <f>Données!B146</f>
        <v>Saint-Prex</v>
      </c>
      <c r="C152" s="611">
        <f>Ecrêtage!C146</f>
        <v>465798.68426553684</v>
      </c>
      <c r="D152" s="604">
        <f>Données!Z146</f>
        <v>5868</v>
      </c>
      <c r="E152" s="610">
        <f>Population!K149</f>
        <v>-2494477.4647887321</v>
      </c>
      <c r="F152" s="604">
        <f>Solidarité!I146</f>
        <v>0</v>
      </c>
      <c r="G152" s="610">
        <f>+DT!O146</f>
        <v>0</v>
      </c>
      <c r="H152" s="604">
        <f>Effort!K146+Aide!I146+Taux!J146</f>
        <v>0</v>
      </c>
      <c r="I152" s="605">
        <f t="shared" si="6"/>
        <v>-2494477.4647887321</v>
      </c>
      <c r="J152" s="624">
        <f t="shared" si="7"/>
        <v>9138762.6382593345</v>
      </c>
      <c r="K152" s="626">
        <f t="shared" si="8"/>
        <v>6644285.1734706024</v>
      </c>
    </row>
    <row r="153" spans="1:11" x14ac:dyDescent="0.25">
      <c r="A153" s="37">
        <f>Données!A147</f>
        <v>5648</v>
      </c>
      <c r="B153" s="26" t="str">
        <f>Données!B147</f>
        <v>Saint-Sulpice</v>
      </c>
      <c r="C153" s="611">
        <f>Ecrêtage!C147</f>
        <v>424880.94159090909</v>
      </c>
      <c r="D153" s="604">
        <f>Données!Z147</f>
        <v>5157</v>
      </c>
      <c r="E153" s="610">
        <f>Population!K150</f>
        <v>-2040839.4366197181</v>
      </c>
      <c r="F153" s="604">
        <f>Solidarité!I147</f>
        <v>0</v>
      </c>
      <c r="G153" s="610">
        <f>+DT!O147</f>
        <v>0</v>
      </c>
      <c r="H153" s="604">
        <f>Effort!K147+Aide!I147+Taux!J147</f>
        <v>0</v>
      </c>
      <c r="I153" s="605">
        <f t="shared" si="6"/>
        <v>-2040839.4366197181</v>
      </c>
      <c r="J153" s="624">
        <f t="shared" si="7"/>
        <v>8335974.7587993154</v>
      </c>
      <c r="K153" s="626">
        <f t="shared" si="8"/>
        <v>6295135.3221795969</v>
      </c>
    </row>
    <row r="154" spans="1:11" x14ac:dyDescent="0.25">
      <c r="A154" s="37">
        <f>Données!A148</f>
        <v>5649</v>
      </c>
      <c r="B154" s="26" t="str">
        <f>Données!B148</f>
        <v>Tolochenaz</v>
      </c>
      <c r="C154" s="611">
        <f>Ecrêtage!C148</f>
        <v>431976.43718750001</v>
      </c>
      <c r="D154" s="604">
        <f>Données!Z148</f>
        <v>1934</v>
      </c>
      <c r="E154" s="610">
        <f>Population!K151</f>
        <v>-480541.5492957746</v>
      </c>
      <c r="F154" s="604">
        <f>Solidarité!I148</f>
        <v>0</v>
      </c>
      <c r="G154" s="610">
        <f>+DT!O148</f>
        <v>0</v>
      </c>
      <c r="H154" s="604">
        <f>Effort!K148+Aide!I148+Taux!J148</f>
        <v>-2618840.2507999269</v>
      </c>
      <c r="I154" s="605">
        <f t="shared" si="6"/>
        <v>-3099381.8000957016</v>
      </c>
      <c r="J154" s="624">
        <f t="shared" si="7"/>
        <v>8475185.2208475359</v>
      </c>
      <c r="K154" s="626">
        <f t="shared" si="8"/>
        <v>5375803.4207518343</v>
      </c>
    </row>
    <row r="155" spans="1:11" x14ac:dyDescent="0.25">
      <c r="A155" s="37">
        <f>Données!A149</f>
        <v>5650</v>
      </c>
      <c r="B155" s="26" t="str">
        <f>Données!B149</f>
        <v>Vaux-sur-Morges</v>
      </c>
      <c r="C155" s="611">
        <f>Ecrêtage!C149</f>
        <v>116547.05321428573</v>
      </c>
      <c r="D155" s="604">
        <f>Données!Z149</f>
        <v>185</v>
      </c>
      <c r="E155" s="610">
        <f>Population!K152</f>
        <v>-24590.669014084502</v>
      </c>
      <c r="F155" s="604">
        <f>Solidarité!I149</f>
        <v>0</v>
      </c>
      <c r="G155" s="610">
        <f>+DT!O149</f>
        <v>0</v>
      </c>
      <c r="H155" s="604">
        <f>Effort!K149+Aide!I149+Taux!J149</f>
        <v>-1368606.4485429977</v>
      </c>
      <c r="I155" s="605">
        <f t="shared" si="6"/>
        <v>-1393197.1175570823</v>
      </c>
      <c r="J155" s="624">
        <f t="shared" si="7"/>
        <v>2286601.2539158659</v>
      </c>
      <c r="K155" s="626">
        <f t="shared" si="8"/>
        <v>893404.13635878358</v>
      </c>
    </row>
    <row r="156" spans="1:11" x14ac:dyDescent="0.25">
      <c r="A156" s="37">
        <f>Données!A150</f>
        <v>5651</v>
      </c>
      <c r="B156" s="26" t="str">
        <f>Données!B150</f>
        <v>Villars-Sainte-Croix</v>
      </c>
      <c r="C156" s="611">
        <f>Ecrêtage!C150</f>
        <v>62685.817685950416</v>
      </c>
      <c r="D156" s="604">
        <f>Données!Z150</f>
        <v>955</v>
      </c>
      <c r="E156" s="610">
        <f>Population!K153</f>
        <v>-126941.02112676055</v>
      </c>
      <c r="F156" s="604">
        <f>Solidarité!I150</f>
        <v>0</v>
      </c>
      <c r="G156" s="610">
        <f>+DT!O150</f>
        <v>-13000.324024691099</v>
      </c>
      <c r="H156" s="604">
        <f>Effort!K150+Aide!I150+Taux!J150</f>
        <v>0</v>
      </c>
      <c r="I156" s="605">
        <f t="shared" si="6"/>
        <v>-139941.34515145165</v>
      </c>
      <c r="J156" s="624">
        <f t="shared" si="7"/>
        <v>1229867.8119290795</v>
      </c>
      <c r="K156" s="626">
        <f t="shared" si="8"/>
        <v>1089926.4667776278</v>
      </c>
    </row>
    <row r="157" spans="1:11" x14ac:dyDescent="0.25">
      <c r="A157" s="37">
        <f>Données!A151</f>
        <v>5652</v>
      </c>
      <c r="B157" s="26" t="str">
        <f>Données!B151</f>
        <v>Villars-sous-Yens</v>
      </c>
      <c r="C157" s="611">
        <f>Ecrêtage!C151</f>
        <v>27337.435990990991</v>
      </c>
      <c r="D157" s="604">
        <f>Données!Z151</f>
        <v>602</v>
      </c>
      <c r="E157" s="610">
        <f>Population!K154</f>
        <v>-80019.366197183088</v>
      </c>
      <c r="F157" s="604">
        <f>Solidarité!I151</f>
        <v>-60025.26225129763</v>
      </c>
      <c r="G157" s="610">
        <f>+DT!O151</f>
        <v>-135823.91034036526</v>
      </c>
      <c r="H157" s="604">
        <f>Effort!K151+Aide!I151+Taux!J151</f>
        <v>0</v>
      </c>
      <c r="I157" s="605">
        <f t="shared" si="6"/>
        <v>-275868.538788846</v>
      </c>
      <c r="J157" s="624">
        <f t="shared" si="7"/>
        <v>536348.3133366995</v>
      </c>
      <c r="K157" s="626">
        <f t="shared" si="8"/>
        <v>260479.77454785351</v>
      </c>
    </row>
    <row r="158" spans="1:11" x14ac:dyDescent="0.25">
      <c r="A158" s="37">
        <f>Données!A152</f>
        <v>5653</v>
      </c>
      <c r="B158" s="26" t="str">
        <f>Données!B152</f>
        <v>Vufflens-le-Château</v>
      </c>
      <c r="C158" s="611">
        <f>Ecrêtage!C152</f>
        <v>76227.69876033059</v>
      </c>
      <c r="D158" s="604">
        <f>Données!Z152</f>
        <v>838</v>
      </c>
      <c r="E158" s="610">
        <f>Population!K155</f>
        <v>-111389.08450704224</v>
      </c>
      <c r="F158" s="604">
        <f>Solidarité!I152</f>
        <v>0</v>
      </c>
      <c r="G158" s="610">
        <f>+DT!O152</f>
        <v>0</v>
      </c>
      <c r="H158" s="604">
        <f>Effort!K152+Aide!I152+Taux!J152</f>
        <v>0</v>
      </c>
      <c r="I158" s="605">
        <f t="shared" si="6"/>
        <v>-111389.08450704224</v>
      </c>
      <c r="J158" s="624">
        <f t="shared" si="7"/>
        <v>1495553.4847201761</v>
      </c>
      <c r="K158" s="626">
        <f t="shared" si="8"/>
        <v>1384164.4002131338</v>
      </c>
    </row>
    <row r="159" spans="1:11" x14ac:dyDescent="0.25">
      <c r="A159" s="37">
        <f>Données!A153</f>
        <v>5654</v>
      </c>
      <c r="B159" s="26" t="str">
        <f>Données!B153</f>
        <v>Vullierens</v>
      </c>
      <c r="C159" s="611">
        <f>Ecrêtage!C153</f>
        <v>23074.815394736848</v>
      </c>
      <c r="D159" s="604">
        <f>Données!Z153</f>
        <v>548</v>
      </c>
      <c r="E159" s="610">
        <f>Population!K156</f>
        <v>-72841.549295774632</v>
      </c>
      <c r="F159" s="604">
        <f>Solidarité!I153</f>
        <v>-99441.486441995745</v>
      </c>
      <c r="G159" s="610">
        <f>+DT!O153</f>
        <v>-181380.65426529641</v>
      </c>
      <c r="H159" s="604">
        <f>Effort!K153+Aide!I153+Taux!J153</f>
        <v>0</v>
      </c>
      <c r="I159" s="605">
        <f t="shared" si="6"/>
        <v>-353663.69000306679</v>
      </c>
      <c r="J159" s="624">
        <f t="shared" si="7"/>
        <v>452717.59654421703</v>
      </c>
      <c r="K159" s="626">
        <f t="shared" si="8"/>
        <v>99053.906541150238</v>
      </c>
    </row>
    <row r="160" spans="1:11" x14ac:dyDescent="0.25">
      <c r="A160" s="37">
        <f>Données!A154</f>
        <v>5655</v>
      </c>
      <c r="B160" s="26" t="str">
        <f>Données!B154</f>
        <v>Yens</v>
      </c>
      <c r="C160" s="611">
        <f>Ecrêtage!C154</f>
        <v>99930.986000000004</v>
      </c>
      <c r="D160" s="604">
        <f>Données!Z154</f>
        <v>1502</v>
      </c>
      <c r="E160" s="610">
        <f>Population!K157</f>
        <v>-319758.45070422534</v>
      </c>
      <c r="F160" s="604">
        <f>Solidarité!I154</f>
        <v>0</v>
      </c>
      <c r="G160" s="610">
        <f>+DT!O154</f>
        <v>0</v>
      </c>
      <c r="H160" s="604">
        <f>Effort!K154+Aide!I154+Taux!J154</f>
        <v>0</v>
      </c>
      <c r="I160" s="605">
        <f t="shared" si="6"/>
        <v>-319758.45070422534</v>
      </c>
      <c r="J160" s="624">
        <f t="shared" si="7"/>
        <v>1960601.4188322714</v>
      </c>
      <c r="K160" s="626">
        <f t="shared" si="8"/>
        <v>1640842.968128046</v>
      </c>
    </row>
    <row r="161" spans="1:11" x14ac:dyDescent="0.25">
      <c r="A161" s="37">
        <f>Données!A155</f>
        <v>5656</v>
      </c>
      <c r="B161" s="26" t="str">
        <f>Données!B155</f>
        <v>Hautemorges</v>
      </c>
      <c r="C161" s="611">
        <f>Ecrêtage!C155</f>
        <v>173869.73802816903</v>
      </c>
      <c r="D161" s="604">
        <f>Données!Z155</f>
        <v>4387</v>
      </c>
      <c r="E161" s="610">
        <f>Population!K158</f>
        <v>-1614742.9577464787</v>
      </c>
      <c r="F161" s="604">
        <f>Solidarité!I155</f>
        <v>-913547.54050039698</v>
      </c>
      <c r="G161" s="610">
        <f>+DT!O155</f>
        <v>-1253110.4604778395</v>
      </c>
      <c r="H161" s="604">
        <f>Effort!K155+Aide!I155+Taux!J155</f>
        <v>0</v>
      </c>
      <c r="I161" s="605">
        <f t="shared" si="6"/>
        <v>-3781400.9587247148</v>
      </c>
      <c r="J161" s="624">
        <f t="shared" si="7"/>
        <v>3411246.788558891</v>
      </c>
      <c r="K161" s="626">
        <f t="shared" si="8"/>
        <v>-370154.17016582377</v>
      </c>
    </row>
    <row r="162" spans="1:11" x14ac:dyDescent="0.25">
      <c r="A162" s="37">
        <f>Données!A156</f>
        <v>5661</v>
      </c>
      <c r="B162" s="26" t="str">
        <f>Données!B156</f>
        <v>Boulens</v>
      </c>
      <c r="C162" s="611">
        <f>Ecrêtage!C156</f>
        <v>10070.839300699299</v>
      </c>
      <c r="D162" s="604">
        <f>Données!Z156</f>
        <v>368</v>
      </c>
      <c r="E162" s="610">
        <f>Population!K159</f>
        <v>-48915.492957746472</v>
      </c>
      <c r="F162" s="604">
        <f>Solidarité!I156</f>
        <v>-169977.53113558286</v>
      </c>
      <c r="G162" s="610">
        <f>+DT!O156</f>
        <v>-10941.232864525979</v>
      </c>
      <c r="H162" s="604">
        <f>Effort!K156+Aide!I156+Taux!J156</f>
        <v>0</v>
      </c>
      <c r="I162" s="605">
        <f t="shared" si="6"/>
        <v>-229834.25695785531</v>
      </c>
      <c r="J162" s="624">
        <f t="shared" si="7"/>
        <v>197585.379791838</v>
      </c>
      <c r="K162" s="626">
        <f t="shared" si="8"/>
        <v>-32248.877166017308</v>
      </c>
    </row>
    <row r="163" spans="1:11" x14ac:dyDescent="0.25">
      <c r="A163" s="37">
        <f>Données!A157</f>
        <v>5663</v>
      </c>
      <c r="B163" s="26" t="str">
        <f>Données!B157</f>
        <v>Bussy-sur-Moudon</v>
      </c>
      <c r="C163" s="611">
        <f>Ecrêtage!C157</f>
        <v>5846.5050955414026</v>
      </c>
      <c r="D163" s="604">
        <f>Données!Z157</f>
        <v>262</v>
      </c>
      <c r="E163" s="610">
        <f>Population!K160</f>
        <v>-34825.704225352107</v>
      </c>
      <c r="F163" s="604">
        <f>Solidarité!I157</f>
        <v>-178478.53978791341</v>
      </c>
      <c r="G163" s="610">
        <f>+DT!O157</f>
        <v>-8177.8095114585221</v>
      </c>
      <c r="H163" s="604">
        <f>Effort!K157+Aide!I157+Taux!J157</f>
        <v>0</v>
      </c>
      <c r="I163" s="605">
        <f t="shared" si="6"/>
        <v>-221482.05352472406</v>
      </c>
      <c r="J163" s="624">
        <f t="shared" si="7"/>
        <v>114705.82493330525</v>
      </c>
      <c r="K163" s="626">
        <f t="shared" si="8"/>
        <v>-106776.22859141881</v>
      </c>
    </row>
    <row r="164" spans="1:11" x14ac:dyDescent="0.25">
      <c r="A164" s="37">
        <f>Données!A158</f>
        <v>5665</v>
      </c>
      <c r="B164" s="26" t="str">
        <f>Données!B158</f>
        <v>Chavannes-sur-Moudon</v>
      </c>
      <c r="C164" s="611">
        <f>Ecrêtage!C158</f>
        <v>6553.0082857142861</v>
      </c>
      <c r="D164" s="604">
        <f>Données!Z158</f>
        <v>229</v>
      </c>
      <c r="E164" s="610">
        <f>Population!K161</f>
        <v>-30439.260563380278</v>
      </c>
      <c r="F164" s="604">
        <f>Solidarité!I158</f>
        <v>-95777.794096653059</v>
      </c>
      <c r="G164" s="610">
        <f>+DT!O158</f>
        <v>-15379.398845537155</v>
      </c>
      <c r="H164" s="604">
        <f>Effort!K158+Aide!I158+Taux!J158</f>
        <v>0</v>
      </c>
      <c r="I164" s="605">
        <f t="shared" si="6"/>
        <v>-141596.45350557048</v>
      </c>
      <c r="J164" s="624">
        <f t="shared" si="7"/>
        <v>128567.10272618604</v>
      </c>
      <c r="K164" s="626">
        <f t="shared" si="8"/>
        <v>-13029.350779384433</v>
      </c>
    </row>
    <row r="165" spans="1:11" x14ac:dyDescent="0.25">
      <c r="A165" s="37">
        <f>Données!A159</f>
        <v>5669</v>
      </c>
      <c r="B165" s="26" t="str">
        <f>Données!B159</f>
        <v>Curtilles</v>
      </c>
      <c r="C165" s="611">
        <f>Ecrêtage!C159</f>
        <v>9589.3382191780838</v>
      </c>
      <c r="D165" s="604">
        <f>Données!Z159</f>
        <v>308</v>
      </c>
      <c r="E165" s="610">
        <f>Population!K162</f>
        <v>-40940.140845070418</v>
      </c>
      <c r="F165" s="604">
        <f>Solidarité!I159</f>
        <v>-123571.07461011436</v>
      </c>
      <c r="G165" s="610">
        <f>+DT!O159</f>
        <v>-12862.333966539074</v>
      </c>
      <c r="H165" s="604">
        <f>Effort!K159+Aide!I159+Taux!J159</f>
        <v>0</v>
      </c>
      <c r="I165" s="605">
        <f t="shared" si="6"/>
        <v>-177373.54942172384</v>
      </c>
      <c r="J165" s="624">
        <f t="shared" si="7"/>
        <v>188138.54311597682</v>
      </c>
      <c r="K165" s="626">
        <f t="shared" si="8"/>
        <v>10764.993694252975</v>
      </c>
    </row>
    <row r="166" spans="1:11" x14ac:dyDescent="0.25">
      <c r="A166" s="37">
        <f>Données!A160</f>
        <v>5671</v>
      </c>
      <c r="B166" s="26" t="str">
        <f>Données!B160</f>
        <v>Dompierre</v>
      </c>
      <c r="C166" s="611">
        <f>Ecrêtage!C160</f>
        <v>6077.1303846153842</v>
      </c>
      <c r="D166" s="604">
        <f>Données!Z160</f>
        <v>240</v>
      </c>
      <c r="E166" s="610">
        <f>Population!K163</f>
        <v>-31901.408450704221</v>
      </c>
      <c r="F166" s="604">
        <f>Solidarité!I160</f>
        <v>-143864.82187043503</v>
      </c>
      <c r="G166" s="610">
        <f>+DT!O160</f>
        <v>-20303.116572985855</v>
      </c>
      <c r="H166" s="604">
        <f>Effort!K160+Aide!I160+Taux!J160</f>
        <v>0</v>
      </c>
      <c r="I166" s="605">
        <f t="shared" si="6"/>
        <v>-196069.3468941251</v>
      </c>
      <c r="J166" s="624">
        <f t="shared" si="7"/>
        <v>119230.59034467676</v>
      </c>
      <c r="K166" s="626">
        <f t="shared" si="8"/>
        <v>-76838.756549448342</v>
      </c>
    </row>
    <row r="167" spans="1:11" x14ac:dyDescent="0.25">
      <c r="A167" s="37">
        <f>Données!A161</f>
        <v>5673</v>
      </c>
      <c r="B167" s="26" t="str">
        <f>Données!B161</f>
        <v>Hermenches</v>
      </c>
      <c r="C167" s="611">
        <f>Ecrêtage!C161</f>
        <v>10021.842448979593</v>
      </c>
      <c r="D167" s="604">
        <f>Données!Z161</f>
        <v>373</v>
      </c>
      <c r="E167" s="610">
        <f>Population!K164</f>
        <v>-49580.105633802807</v>
      </c>
      <c r="F167" s="604">
        <f>Solidarité!I161</f>
        <v>-186073.80714983126</v>
      </c>
      <c r="G167" s="610">
        <f>+DT!O161</f>
        <v>-629839.34457220242</v>
      </c>
      <c r="H167" s="604">
        <f>Effort!K161+Aide!I161+Taux!J161</f>
        <v>0</v>
      </c>
      <c r="I167" s="605">
        <f t="shared" si="6"/>
        <v>-865493.25735583645</v>
      </c>
      <c r="J167" s="624">
        <f t="shared" si="7"/>
        <v>196624.08339274139</v>
      </c>
      <c r="K167" s="626">
        <f t="shared" si="8"/>
        <v>-668869.17396309506</v>
      </c>
    </row>
    <row r="168" spans="1:11" x14ac:dyDescent="0.25">
      <c r="A168" s="37">
        <f>Données!A162</f>
        <v>5674</v>
      </c>
      <c r="B168" s="26" t="str">
        <f>Données!B162</f>
        <v>Lovatens</v>
      </c>
      <c r="C168" s="611">
        <f>Ecrêtage!C162</f>
        <v>4190.698742857142</v>
      </c>
      <c r="D168" s="604">
        <f>Données!Z162</f>
        <v>146</v>
      </c>
      <c r="E168" s="610">
        <f>Population!K165</f>
        <v>-19406.690140845069</v>
      </c>
      <c r="F168" s="604">
        <f>Solidarité!I162</f>
        <v>-69810.671613101105</v>
      </c>
      <c r="G168" s="610">
        <f>+DT!O162</f>
        <v>-13242.61722369249</v>
      </c>
      <c r="H168" s="604">
        <f>Effort!K162+Aide!I162+Taux!J162</f>
        <v>0</v>
      </c>
      <c r="I168" s="605">
        <f t="shared" si="6"/>
        <v>-102459.97897763866</v>
      </c>
      <c r="J168" s="624">
        <f t="shared" si="7"/>
        <v>82219.642075225071</v>
      </c>
      <c r="K168" s="626">
        <f t="shared" si="8"/>
        <v>-20240.33690241359</v>
      </c>
    </row>
    <row r="169" spans="1:11" x14ac:dyDescent="0.25">
      <c r="A169" s="37">
        <f>Données!A163</f>
        <v>5675</v>
      </c>
      <c r="B169" s="26" t="str">
        <f>Données!B163</f>
        <v>Lucens</v>
      </c>
      <c r="C169" s="611">
        <f>Ecrêtage!C163</f>
        <v>96219.295291039889</v>
      </c>
      <c r="D169" s="604">
        <f>Données!Z163</f>
        <v>4734</v>
      </c>
      <c r="E169" s="610">
        <f>Population!K166</f>
        <v>-1799239.4366197181</v>
      </c>
      <c r="F169" s="604">
        <f>Solidarité!I163</f>
        <v>-2709705.348579803</v>
      </c>
      <c r="G169" s="610">
        <f>+DT!O163</f>
        <v>-569763.30659671419</v>
      </c>
      <c r="H169" s="604">
        <f>Effort!K163+Aide!I163+Taux!J163</f>
        <v>0</v>
      </c>
      <c r="I169" s="605">
        <f t="shared" si="6"/>
        <v>-5078708.0917962352</v>
      </c>
      <c r="J169" s="624">
        <f t="shared" si="7"/>
        <v>1887779.7009493541</v>
      </c>
      <c r="K169" s="626">
        <f t="shared" si="8"/>
        <v>-3190928.3908468811</v>
      </c>
    </row>
    <row r="170" spans="1:11" x14ac:dyDescent="0.25">
      <c r="A170" s="37">
        <f>Données!A164</f>
        <v>5678</v>
      </c>
      <c r="B170" s="26" t="str">
        <f>Données!B164</f>
        <v>Moudon</v>
      </c>
      <c r="C170" s="611">
        <f>Ecrêtage!C164</f>
        <v>144507.28937931036</v>
      </c>
      <c r="D170" s="604">
        <f>Données!Z164</f>
        <v>6651</v>
      </c>
      <c r="E170" s="610">
        <f>Population!K167</f>
        <v>-2994053.5211267602</v>
      </c>
      <c r="F170" s="604">
        <f>Solidarité!I164</f>
        <v>-3946782.3982424308</v>
      </c>
      <c r="G170" s="610">
        <f>+DT!O164</f>
        <v>-1233193.2243203039</v>
      </c>
      <c r="H170" s="604">
        <f>Effort!K164+Aide!I164+Taux!J164</f>
        <v>312206.14191681705</v>
      </c>
      <c r="I170" s="605">
        <f t="shared" si="6"/>
        <v>-7861823.0017726775</v>
      </c>
      <c r="J170" s="624">
        <f t="shared" si="7"/>
        <v>2835168.6291645467</v>
      </c>
      <c r="K170" s="626">
        <f t="shared" si="8"/>
        <v>-5026654.3726081308</v>
      </c>
    </row>
    <row r="171" spans="1:11" x14ac:dyDescent="0.25">
      <c r="A171" s="37">
        <f>Données!A165</f>
        <v>5680</v>
      </c>
      <c r="B171" s="26" t="str">
        <f>Données!B165</f>
        <v>Ogens</v>
      </c>
      <c r="C171" s="611">
        <f>Ecrêtage!C165</f>
        <v>9088.9604700854707</v>
      </c>
      <c r="D171" s="604">
        <f>Données!Z165</f>
        <v>341</v>
      </c>
      <c r="E171" s="610">
        <f>Population!K168</f>
        <v>-45326.584507042244</v>
      </c>
      <c r="F171" s="604">
        <f>Solidarité!I165</f>
        <v>-193355.91054873168</v>
      </c>
      <c r="G171" s="610">
        <f>+DT!O165</f>
        <v>-37630.557680239704</v>
      </c>
      <c r="H171" s="604">
        <f>Effort!K165+Aide!I165+Taux!J165</f>
        <v>0</v>
      </c>
      <c r="I171" s="605">
        <f t="shared" si="6"/>
        <v>-276313.05273601366</v>
      </c>
      <c r="J171" s="624">
        <f t="shared" si="7"/>
        <v>178321.35463328662</v>
      </c>
      <c r="K171" s="626">
        <f t="shared" si="8"/>
        <v>-97991.698102727038</v>
      </c>
    </row>
    <row r="172" spans="1:11" x14ac:dyDescent="0.25">
      <c r="A172" s="37">
        <f>Données!A166</f>
        <v>5683</v>
      </c>
      <c r="B172" s="26" t="str">
        <f>Données!B166</f>
        <v>Prévonloup</v>
      </c>
      <c r="C172" s="611">
        <f>Ecrêtage!C166</f>
        <v>3390.948689655173</v>
      </c>
      <c r="D172" s="604">
        <f>Données!Z166</f>
        <v>231</v>
      </c>
      <c r="E172" s="610">
        <f>Population!K169</f>
        <v>-30705.105633802814</v>
      </c>
      <c r="F172" s="604">
        <f>Solidarité!I166</f>
        <v>-171290.15703263244</v>
      </c>
      <c r="G172" s="610">
        <f>+DT!O166</f>
        <v>-19366.943499914141</v>
      </c>
      <c r="H172" s="604">
        <f>Effort!K166+Aide!I166+Taux!J166</f>
        <v>0</v>
      </c>
      <c r="I172" s="605">
        <f t="shared" si="6"/>
        <v>-221362.20616634941</v>
      </c>
      <c r="J172" s="624">
        <f t="shared" si="7"/>
        <v>66528.902377940743</v>
      </c>
      <c r="K172" s="626">
        <f t="shared" si="8"/>
        <v>-154833.30378840867</v>
      </c>
    </row>
    <row r="173" spans="1:11" x14ac:dyDescent="0.25">
      <c r="A173" s="37">
        <f>Données!A167</f>
        <v>5684</v>
      </c>
      <c r="B173" s="26" t="str">
        <f>Données!B167</f>
        <v>Rossenges</v>
      </c>
      <c r="C173" s="611">
        <f>Ecrêtage!C167</f>
        <v>10097.406384615384</v>
      </c>
      <c r="D173" s="604">
        <f>Données!Z167</f>
        <v>90</v>
      </c>
      <c r="E173" s="610">
        <f>Population!K170</f>
        <v>-11963.028169014084</v>
      </c>
      <c r="F173" s="604">
        <f>Solidarité!I167</f>
        <v>0</v>
      </c>
      <c r="G173" s="610">
        <f>+DT!O167</f>
        <v>0</v>
      </c>
      <c r="H173" s="604">
        <f>Effort!K167+Aide!I167+Taux!J167</f>
        <v>0</v>
      </c>
      <c r="I173" s="605">
        <f t="shared" si="6"/>
        <v>-11963.028169014084</v>
      </c>
      <c r="J173" s="624">
        <f t="shared" si="7"/>
        <v>198106.61414071263</v>
      </c>
      <c r="K173" s="626">
        <f t="shared" si="8"/>
        <v>186143.58597169854</v>
      </c>
    </row>
    <row r="174" spans="1:11" x14ac:dyDescent="0.25">
      <c r="A174" s="37">
        <f>Données!A168</f>
        <v>5688</v>
      </c>
      <c r="B174" s="26" t="str">
        <f>Données!B168</f>
        <v>Syens</v>
      </c>
      <c r="C174" s="611">
        <f>Ecrêtage!C168</f>
        <v>5159.2410769230773</v>
      </c>
      <c r="D174" s="604">
        <f>Données!Z168</f>
        <v>151</v>
      </c>
      <c r="E174" s="610">
        <f>Population!K171</f>
        <v>-20071.302816901407</v>
      </c>
      <c r="F174" s="604">
        <f>Solidarité!I168</f>
        <v>-40295.381256837099</v>
      </c>
      <c r="G174" s="610">
        <f>+DT!O168</f>
        <v>-20970.382497528779</v>
      </c>
      <c r="H174" s="604">
        <f>Effort!K168+Aide!I168+Taux!J168</f>
        <v>0</v>
      </c>
      <c r="I174" s="605">
        <f t="shared" si="6"/>
        <v>-81337.066571267293</v>
      </c>
      <c r="J174" s="624">
        <f t="shared" si="7"/>
        <v>101222.01111388134</v>
      </c>
      <c r="K174" s="626">
        <f t="shared" si="8"/>
        <v>19884.944542614045</v>
      </c>
    </row>
    <row r="175" spans="1:11" x14ac:dyDescent="0.25">
      <c r="A175" s="37">
        <f>Données!A169</f>
        <v>5690</v>
      </c>
      <c r="B175" s="26" t="str">
        <f>Données!B169</f>
        <v>Villars-le-Comte</v>
      </c>
      <c r="C175" s="611">
        <f>Ecrêtage!C169</f>
        <v>4239.3419117647063</v>
      </c>
      <c r="D175" s="604">
        <f>Données!Z169</f>
        <v>132</v>
      </c>
      <c r="E175" s="610">
        <f>Population!K172</f>
        <v>-17545.774647887323</v>
      </c>
      <c r="F175" s="604">
        <f>Solidarité!I169</f>
        <v>-43556.466917214108</v>
      </c>
      <c r="G175" s="610">
        <f>+DT!O169</f>
        <v>0</v>
      </c>
      <c r="H175" s="604">
        <f>Effort!K169+Aide!I169+Taux!J169</f>
        <v>0</v>
      </c>
      <c r="I175" s="605">
        <f t="shared" si="6"/>
        <v>-61102.241565101431</v>
      </c>
      <c r="J175" s="624">
        <f t="shared" si="7"/>
        <v>83173.999375138723</v>
      </c>
      <c r="K175" s="626">
        <f t="shared" si="8"/>
        <v>22071.757810037292</v>
      </c>
    </row>
    <row r="176" spans="1:11" x14ac:dyDescent="0.25">
      <c r="A176" s="37">
        <f>Données!A170</f>
        <v>5692</v>
      </c>
      <c r="B176" s="26" t="str">
        <f>Données!B170</f>
        <v>Vucherens</v>
      </c>
      <c r="C176" s="611">
        <f>Ecrêtage!C170</f>
        <v>19521.023866666663</v>
      </c>
      <c r="D176" s="604">
        <f>Données!Z170</f>
        <v>622</v>
      </c>
      <c r="E176" s="610">
        <f>Population!K173</f>
        <v>-82677.816901408441</v>
      </c>
      <c r="F176" s="604">
        <f>Solidarité!I170</f>
        <v>-259912.68913460211</v>
      </c>
      <c r="G176" s="610">
        <f>+DT!O170</f>
        <v>-74439.499969723343</v>
      </c>
      <c r="H176" s="604">
        <f>Effort!K170+Aide!I170+Taux!J170</f>
        <v>0</v>
      </c>
      <c r="I176" s="605">
        <f t="shared" si="6"/>
        <v>-417030.00600573391</v>
      </c>
      <c r="J176" s="624">
        <f t="shared" si="7"/>
        <v>382993.7902348456</v>
      </c>
      <c r="K176" s="626">
        <f t="shared" si="8"/>
        <v>-34036.215770888317</v>
      </c>
    </row>
    <row r="177" spans="1:11" x14ac:dyDescent="0.25">
      <c r="A177" s="37">
        <f>Données!A171</f>
        <v>5693</v>
      </c>
      <c r="B177" s="26" t="str">
        <f>Données!B171</f>
        <v>Montanaire</v>
      </c>
      <c r="C177" s="611">
        <f>Ecrêtage!C171</f>
        <v>77215.400857142857</v>
      </c>
      <c r="D177" s="604">
        <f>Données!Z171</f>
        <v>2861</v>
      </c>
      <c r="E177" s="610">
        <f>Population!K174</f>
        <v>-825555.28169014072</v>
      </c>
      <c r="F177" s="604">
        <f>Solidarité!I171</f>
        <v>-1287773.1439204509</v>
      </c>
      <c r="G177" s="610">
        <f>+DT!O171</f>
        <v>-581941.45716384379</v>
      </c>
      <c r="H177" s="604">
        <f>Effort!K171+Aide!I171+Taux!J171</f>
        <v>0</v>
      </c>
      <c r="I177" s="605">
        <f t="shared" si="6"/>
        <v>-2695269.8827744354</v>
      </c>
      <c r="J177" s="624">
        <f t="shared" si="7"/>
        <v>1514931.7597668541</v>
      </c>
      <c r="K177" s="626">
        <f t="shared" si="8"/>
        <v>-1180338.1230075813</v>
      </c>
    </row>
    <row r="178" spans="1:11" x14ac:dyDescent="0.25">
      <c r="A178" s="37">
        <f>Données!A172</f>
        <v>5701</v>
      </c>
      <c r="B178" s="26" t="str">
        <f>Données!B172</f>
        <v>Arnex-sur-Nyon</v>
      </c>
      <c r="C178" s="611">
        <f>Ecrêtage!C172</f>
        <v>22528.026764705879</v>
      </c>
      <c r="D178" s="604">
        <f>Données!Z172</f>
        <v>267</v>
      </c>
      <c r="E178" s="610">
        <f>Population!K175</f>
        <v>-35490.316901408449</v>
      </c>
      <c r="F178" s="604">
        <f>Solidarité!I172</f>
        <v>0</v>
      </c>
      <c r="G178" s="610">
        <f>+DT!O172</f>
        <v>0</v>
      </c>
      <c r="H178" s="604">
        <f>Effort!K172+Aide!I172+Taux!J172</f>
        <v>0</v>
      </c>
      <c r="I178" s="605">
        <f t="shared" si="6"/>
        <v>-35490.316901408449</v>
      </c>
      <c r="J178" s="624">
        <f t="shared" si="7"/>
        <v>441989.84725692321</v>
      </c>
      <c r="K178" s="626">
        <f t="shared" si="8"/>
        <v>406499.53035551478</v>
      </c>
    </row>
    <row r="179" spans="1:11" x14ac:dyDescent="0.25">
      <c r="A179" s="37">
        <f>Données!A173</f>
        <v>5702</v>
      </c>
      <c r="B179" s="26" t="str">
        <f>Données!B173</f>
        <v>Arzier-Le Muids</v>
      </c>
      <c r="C179" s="611">
        <f>Ecrêtage!C173</f>
        <v>189129.79401041669</v>
      </c>
      <c r="D179" s="604">
        <f>Données!Z173</f>
        <v>2968</v>
      </c>
      <c r="E179" s="610">
        <f>Population!K176</f>
        <v>-865378.87323943642</v>
      </c>
      <c r="F179" s="604">
        <f>Solidarité!I173</f>
        <v>0</v>
      </c>
      <c r="G179" s="610">
        <f>+DT!O173</f>
        <v>-370685.8537097873</v>
      </c>
      <c r="H179" s="604">
        <f>Effort!K173+Aide!I173+Taux!J173</f>
        <v>0</v>
      </c>
      <c r="I179" s="605">
        <f t="shared" si="6"/>
        <v>-1236064.7269492238</v>
      </c>
      <c r="J179" s="624">
        <f t="shared" si="7"/>
        <v>3710642.2874710569</v>
      </c>
      <c r="K179" s="626">
        <f t="shared" si="8"/>
        <v>2474577.5605218331</v>
      </c>
    </row>
    <row r="180" spans="1:11" x14ac:dyDescent="0.25">
      <c r="A180" s="37">
        <f>Données!A174</f>
        <v>5703</v>
      </c>
      <c r="B180" s="26" t="str">
        <f>Données!B174</f>
        <v>Bassins</v>
      </c>
      <c r="C180" s="611">
        <f>Ecrêtage!C174</f>
        <v>69884.65087684727</v>
      </c>
      <c r="D180" s="604">
        <f>Données!Z174</f>
        <v>1484</v>
      </c>
      <c r="E180" s="610">
        <f>Population!K177</f>
        <v>-313059.15492957743</v>
      </c>
      <c r="F180" s="604">
        <f>Solidarité!I174</f>
        <v>-89606.714420309334</v>
      </c>
      <c r="G180" s="610">
        <f>+DT!O174</f>
        <v>0</v>
      </c>
      <c r="H180" s="604">
        <f>Effort!K174+Aide!I174+Taux!J174</f>
        <v>0</v>
      </c>
      <c r="I180" s="605">
        <f t="shared" si="6"/>
        <v>-402665.86934988678</v>
      </c>
      <c r="J180" s="624">
        <f t="shared" si="7"/>
        <v>1371105.7115332044</v>
      </c>
      <c r="K180" s="626">
        <f t="shared" si="8"/>
        <v>968439.84218331764</v>
      </c>
    </row>
    <row r="181" spans="1:11" x14ac:dyDescent="0.25">
      <c r="A181" s="37">
        <f>Données!A175</f>
        <v>5704</v>
      </c>
      <c r="B181" s="26" t="str">
        <f>Données!B175</f>
        <v>Begnins</v>
      </c>
      <c r="C181" s="611">
        <f>Ecrêtage!C175</f>
        <v>151723.65322666671</v>
      </c>
      <c r="D181" s="604">
        <f>Données!Z175</f>
        <v>2041</v>
      </c>
      <c r="E181" s="610">
        <f>Population!K178</f>
        <v>-520365.14084507036</v>
      </c>
      <c r="F181" s="604">
        <f>Solidarité!I175</f>
        <v>0</v>
      </c>
      <c r="G181" s="610">
        <f>+DT!O175</f>
        <v>0</v>
      </c>
      <c r="H181" s="604">
        <f>Effort!K175+Aide!I175+Taux!J175</f>
        <v>0</v>
      </c>
      <c r="I181" s="605">
        <f t="shared" si="6"/>
        <v>-520365.14084507036</v>
      </c>
      <c r="J181" s="624">
        <f t="shared" si="7"/>
        <v>2976750.4724372304</v>
      </c>
      <c r="K181" s="626">
        <f t="shared" si="8"/>
        <v>2456385.3315921603</v>
      </c>
    </row>
    <row r="182" spans="1:11" x14ac:dyDescent="0.25">
      <c r="A182" s="37">
        <f>Données!A176</f>
        <v>5705</v>
      </c>
      <c r="B182" s="26" t="str">
        <f>Données!B176</f>
        <v>Bogis-Bossey</v>
      </c>
      <c r="C182" s="611">
        <f>Ecrêtage!C176</f>
        <v>60210.898873239443</v>
      </c>
      <c r="D182" s="604">
        <f>Données!Z176</f>
        <v>990</v>
      </c>
      <c r="E182" s="610">
        <f>Population!K179</f>
        <v>-131593.30985915492</v>
      </c>
      <c r="F182" s="604">
        <f>Solidarité!I176</f>
        <v>0</v>
      </c>
      <c r="G182" s="610">
        <f>+DT!O176</f>
        <v>0</v>
      </c>
      <c r="H182" s="604">
        <f>Effort!K176+Aide!I176+Taux!J176</f>
        <v>0</v>
      </c>
      <c r="I182" s="605">
        <f t="shared" si="6"/>
        <v>-131593.30985915492</v>
      </c>
      <c r="J182" s="624">
        <f t="shared" si="7"/>
        <v>1181311.0075791671</v>
      </c>
      <c r="K182" s="626">
        <f t="shared" si="8"/>
        <v>1049717.6977200122</v>
      </c>
    </row>
    <row r="183" spans="1:11" x14ac:dyDescent="0.25">
      <c r="A183" s="37">
        <f>Données!A177</f>
        <v>5706</v>
      </c>
      <c r="B183" s="26" t="str">
        <f>Données!B177</f>
        <v>Borex</v>
      </c>
      <c r="C183" s="611">
        <f>Ecrêtage!C177</f>
        <v>69165.019824561401</v>
      </c>
      <c r="D183" s="604">
        <f>Données!Z177</f>
        <v>1144</v>
      </c>
      <c r="E183" s="610">
        <f>Population!K180</f>
        <v>-186516.90140845068</v>
      </c>
      <c r="F183" s="604">
        <f>Solidarité!I177</f>
        <v>0</v>
      </c>
      <c r="G183" s="610">
        <f>+DT!O177</f>
        <v>0</v>
      </c>
      <c r="H183" s="604">
        <f>Effort!K177+Aide!I177+Taux!J177</f>
        <v>0</v>
      </c>
      <c r="I183" s="605">
        <f t="shared" si="6"/>
        <v>-186516.90140845068</v>
      </c>
      <c r="J183" s="624">
        <f t="shared" si="7"/>
        <v>1356986.8709350796</v>
      </c>
      <c r="K183" s="626">
        <f t="shared" si="8"/>
        <v>1170469.969526629</v>
      </c>
    </row>
    <row r="184" spans="1:11" x14ac:dyDescent="0.25">
      <c r="A184" s="37">
        <f>Données!A178</f>
        <v>5707</v>
      </c>
      <c r="B184" s="26" t="str">
        <f>Données!B178</f>
        <v>Chavannes-de-Bogis</v>
      </c>
      <c r="C184" s="611">
        <f>Ecrêtage!C178</f>
        <v>100327.22695402298</v>
      </c>
      <c r="D184" s="604">
        <f>Données!Z178</f>
        <v>1388</v>
      </c>
      <c r="E184" s="610">
        <f>Population!K181</f>
        <v>-277329.57746478869</v>
      </c>
      <c r="F184" s="604">
        <f>Solidarité!I178</f>
        <v>0</v>
      </c>
      <c r="G184" s="610">
        <f>+DT!O178</f>
        <v>0</v>
      </c>
      <c r="H184" s="604">
        <f>Effort!K178+Aide!I178+Taux!J178</f>
        <v>0</v>
      </c>
      <c r="I184" s="605">
        <f t="shared" si="6"/>
        <v>-277329.57746478869</v>
      </c>
      <c r="J184" s="624">
        <f t="shared" si="7"/>
        <v>1968375.4897961754</v>
      </c>
      <c r="K184" s="626">
        <f t="shared" si="8"/>
        <v>1691045.9123313867</v>
      </c>
    </row>
    <row r="185" spans="1:11" x14ac:dyDescent="0.25">
      <c r="A185" s="37">
        <f>Données!A179</f>
        <v>5708</v>
      </c>
      <c r="B185" s="26" t="str">
        <f>Données!B179</f>
        <v>Chavannes-des-Bois</v>
      </c>
      <c r="C185" s="611">
        <f>Ecrêtage!C179</f>
        <v>70377.065294117638</v>
      </c>
      <c r="D185" s="604">
        <f>Données!Z179</f>
        <v>982</v>
      </c>
      <c r="E185" s="610">
        <f>Population!K182</f>
        <v>-130529.92957746478</v>
      </c>
      <c r="F185" s="604">
        <f>Solidarité!I179</f>
        <v>0</v>
      </c>
      <c r="G185" s="610">
        <f>+DT!O179</f>
        <v>0</v>
      </c>
      <c r="H185" s="604">
        <f>Effort!K179+Aide!I179+Taux!J179</f>
        <v>0</v>
      </c>
      <c r="I185" s="605">
        <f t="shared" si="6"/>
        <v>-130529.92957746478</v>
      </c>
      <c r="J185" s="624">
        <f t="shared" si="7"/>
        <v>1380766.6629937829</v>
      </c>
      <c r="K185" s="626">
        <f t="shared" si="8"/>
        <v>1250236.7334163182</v>
      </c>
    </row>
    <row r="186" spans="1:11" x14ac:dyDescent="0.25">
      <c r="A186" s="37">
        <f>Données!A180</f>
        <v>5709</v>
      </c>
      <c r="B186" s="26" t="str">
        <f>Données!B180</f>
        <v>Chéserex</v>
      </c>
      <c r="C186" s="611">
        <f>Ecrêtage!C180</f>
        <v>110900.39440677965</v>
      </c>
      <c r="D186" s="604">
        <f>Données!Z180</f>
        <v>1277</v>
      </c>
      <c r="E186" s="610">
        <f>Population!K183</f>
        <v>-236017.25352112675</v>
      </c>
      <c r="F186" s="604">
        <f>Solidarité!I180</f>
        <v>0</v>
      </c>
      <c r="G186" s="610">
        <f>+DT!O180</f>
        <v>0</v>
      </c>
      <c r="H186" s="604">
        <f>Effort!K180+Aide!I180+Taux!J180</f>
        <v>0</v>
      </c>
      <c r="I186" s="605">
        <f t="shared" si="6"/>
        <v>-236017.25352112675</v>
      </c>
      <c r="J186" s="624">
        <f t="shared" si="7"/>
        <v>2175816.3241078267</v>
      </c>
      <c r="K186" s="626">
        <f t="shared" si="8"/>
        <v>1939799.0705867</v>
      </c>
    </row>
    <row r="187" spans="1:11" x14ac:dyDescent="0.25">
      <c r="A187" s="37">
        <f>Données!A181</f>
        <v>5710</v>
      </c>
      <c r="B187" s="26" t="str">
        <f>Données!B181</f>
        <v>Coinsins</v>
      </c>
      <c r="C187" s="611">
        <f>Ecrêtage!C181</f>
        <v>25704.31551020408</v>
      </c>
      <c r="D187" s="604">
        <f>Données!Z181</f>
        <v>517</v>
      </c>
      <c r="E187" s="610">
        <f>Population!K184</f>
        <v>-68720.950704225339</v>
      </c>
      <c r="F187" s="604">
        <f>Solidarité!I181</f>
        <v>-1226.9073192137787</v>
      </c>
      <c r="G187" s="610">
        <f>+DT!O181</f>
        <v>0</v>
      </c>
      <c r="H187" s="604">
        <f>Effort!K181+Aide!I181+Taux!J181</f>
        <v>0</v>
      </c>
      <c r="I187" s="605">
        <f t="shared" si="6"/>
        <v>-69947.858023439112</v>
      </c>
      <c r="J187" s="624">
        <f t="shared" si="7"/>
        <v>504307.21717704734</v>
      </c>
      <c r="K187" s="626">
        <f t="shared" si="8"/>
        <v>434359.35915360821</v>
      </c>
    </row>
    <row r="188" spans="1:11" x14ac:dyDescent="0.25">
      <c r="A188" s="37">
        <f>Données!A182</f>
        <v>5711</v>
      </c>
      <c r="B188" s="26" t="str">
        <f>Données!B182</f>
        <v>Commugny</v>
      </c>
      <c r="C188" s="611">
        <f>Ecrêtage!C182</f>
        <v>294735.07522267208</v>
      </c>
      <c r="D188" s="604">
        <f>Données!Z182</f>
        <v>2987</v>
      </c>
      <c r="E188" s="610">
        <f>Population!K185</f>
        <v>-872450.35211267602</v>
      </c>
      <c r="F188" s="604">
        <f>Solidarité!I182</f>
        <v>0</v>
      </c>
      <c r="G188" s="610">
        <f>+DT!O182</f>
        <v>0</v>
      </c>
      <c r="H188" s="604">
        <f>Effort!K182+Aide!I182+Taux!J182</f>
        <v>0</v>
      </c>
      <c r="I188" s="605">
        <f t="shared" si="6"/>
        <v>-872450.35211267602</v>
      </c>
      <c r="J188" s="624">
        <f t="shared" si="7"/>
        <v>5782570.8500585305</v>
      </c>
      <c r="K188" s="626">
        <f t="shared" si="8"/>
        <v>4910120.4979458544</v>
      </c>
    </row>
    <row r="189" spans="1:11" x14ac:dyDescent="0.25">
      <c r="A189" s="37">
        <f>Données!A183</f>
        <v>5712</v>
      </c>
      <c r="B189" s="26" t="str">
        <f>Données!B183</f>
        <v>Coppet</v>
      </c>
      <c r="C189" s="611">
        <f>Ecrêtage!C183</f>
        <v>457797.09461988311</v>
      </c>
      <c r="D189" s="604">
        <f>Données!Z183</f>
        <v>3216</v>
      </c>
      <c r="E189" s="610">
        <f>Population!K186</f>
        <v>-992133.80281690124</v>
      </c>
      <c r="F189" s="604">
        <f>Solidarité!I183</f>
        <v>0</v>
      </c>
      <c r="G189" s="610">
        <f>+DT!O183</f>
        <v>0</v>
      </c>
      <c r="H189" s="604">
        <f>Effort!K183+Aide!I183+Taux!J183</f>
        <v>0</v>
      </c>
      <c r="I189" s="605">
        <f t="shared" si="6"/>
        <v>-992133.80281690124</v>
      </c>
      <c r="J189" s="624">
        <f t="shared" si="7"/>
        <v>8981775.0146989878</v>
      </c>
      <c r="K189" s="626">
        <f t="shared" si="8"/>
        <v>7989641.2118820865</v>
      </c>
    </row>
    <row r="190" spans="1:11" x14ac:dyDescent="0.25">
      <c r="A190" s="37">
        <f>Données!A184</f>
        <v>5713</v>
      </c>
      <c r="B190" s="26" t="str">
        <f>Données!B184</f>
        <v>Crans</v>
      </c>
      <c r="C190" s="611">
        <f>Ecrêtage!C184</f>
        <v>285226.41440677963</v>
      </c>
      <c r="D190" s="604">
        <f>Données!Z184</f>
        <v>2455</v>
      </c>
      <c r="E190" s="610">
        <f>Population!K187</f>
        <v>-674448.94366197172</v>
      </c>
      <c r="F190" s="604">
        <f>Solidarité!I184</f>
        <v>0</v>
      </c>
      <c r="G190" s="610">
        <f>+DT!O184</f>
        <v>0</v>
      </c>
      <c r="H190" s="604">
        <f>Effort!K184+Aide!I184+Taux!J184</f>
        <v>0</v>
      </c>
      <c r="I190" s="605">
        <f t="shared" si="6"/>
        <v>-674448.94366197172</v>
      </c>
      <c r="J190" s="624">
        <f t="shared" si="7"/>
        <v>5596015.1616473943</v>
      </c>
      <c r="K190" s="626">
        <f t="shared" si="8"/>
        <v>4921566.2179854224</v>
      </c>
    </row>
    <row r="191" spans="1:11" x14ac:dyDescent="0.25">
      <c r="A191" s="37">
        <f>Données!A185</f>
        <v>5714</v>
      </c>
      <c r="B191" s="26" t="str">
        <f>Données!B185</f>
        <v>Crassier</v>
      </c>
      <c r="C191" s="611">
        <f>Ecrêtage!C185</f>
        <v>67017.221203007502</v>
      </c>
      <c r="D191" s="604">
        <f>Données!Z185</f>
        <v>1274</v>
      </c>
      <c r="E191" s="610">
        <f>Population!K188</f>
        <v>-234900.70422535209</v>
      </c>
      <c r="F191" s="604">
        <f>Solidarité!I185</f>
        <v>0</v>
      </c>
      <c r="G191" s="610">
        <f>+DT!O185</f>
        <v>0</v>
      </c>
      <c r="H191" s="604">
        <f>Effort!K185+Aide!I185+Taux!J185</f>
        <v>0</v>
      </c>
      <c r="I191" s="605">
        <f t="shared" si="6"/>
        <v>-234900.70422535209</v>
      </c>
      <c r="J191" s="624">
        <f t="shared" si="7"/>
        <v>1314848.0189799457</v>
      </c>
      <c r="K191" s="626">
        <f t="shared" si="8"/>
        <v>1079947.3147545937</v>
      </c>
    </row>
    <row r="192" spans="1:11" x14ac:dyDescent="0.25">
      <c r="A192" s="37">
        <f>Données!A186</f>
        <v>5715</v>
      </c>
      <c r="B192" s="26" t="str">
        <f>Données!B186</f>
        <v>Duillier</v>
      </c>
      <c r="C192" s="611">
        <f>Ecrêtage!C186</f>
        <v>58499.436969696966</v>
      </c>
      <c r="D192" s="604">
        <f>Données!Z186</f>
        <v>1143</v>
      </c>
      <c r="E192" s="610">
        <f>Population!K189</f>
        <v>-186144.71830985913</v>
      </c>
      <c r="F192" s="604">
        <f>Solidarité!I186</f>
        <v>0</v>
      </c>
      <c r="G192" s="610">
        <f>+DT!O186</f>
        <v>0</v>
      </c>
      <c r="H192" s="604">
        <f>Effort!K186+Aide!I186+Taux!J186</f>
        <v>0</v>
      </c>
      <c r="I192" s="605">
        <f t="shared" si="6"/>
        <v>-186144.71830985913</v>
      </c>
      <c r="J192" s="624">
        <f t="shared" si="7"/>
        <v>1147732.8876118255</v>
      </c>
      <c r="K192" s="626">
        <f t="shared" si="8"/>
        <v>961588.16930196632</v>
      </c>
    </row>
    <row r="193" spans="1:11" x14ac:dyDescent="0.25">
      <c r="A193" s="37">
        <f>Données!A187</f>
        <v>5716</v>
      </c>
      <c r="B193" s="26" t="str">
        <f>Données!B187</f>
        <v>Eysins</v>
      </c>
      <c r="C193" s="611">
        <f>Ecrêtage!C187</f>
        <v>387894.76554621849</v>
      </c>
      <c r="D193" s="604">
        <f>Données!Z187</f>
        <v>1772</v>
      </c>
      <c r="E193" s="610">
        <f>Population!K190</f>
        <v>-420247.88732394361</v>
      </c>
      <c r="F193" s="604">
        <f>Solidarité!I187</f>
        <v>0</v>
      </c>
      <c r="G193" s="610">
        <f>+DT!O187</f>
        <v>0</v>
      </c>
      <c r="H193" s="604">
        <f>Effort!K187+Aide!I187+Taux!J187</f>
        <v>-1592333.724431664</v>
      </c>
      <c r="I193" s="605">
        <f t="shared" si="6"/>
        <v>-2012581.6117556076</v>
      </c>
      <c r="J193" s="624">
        <f t="shared" si="7"/>
        <v>7610322.464821144</v>
      </c>
      <c r="K193" s="626">
        <f t="shared" si="8"/>
        <v>5597740.8530655364</v>
      </c>
    </row>
    <row r="194" spans="1:11" x14ac:dyDescent="0.25">
      <c r="A194" s="37">
        <f>Données!A188</f>
        <v>5717</v>
      </c>
      <c r="B194" s="26" t="str">
        <f>Données!B188</f>
        <v>Founex</v>
      </c>
      <c r="C194" s="611">
        <f>Ecrêtage!C188</f>
        <v>389506.02859649126</v>
      </c>
      <c r="D194" s="604">
        <f>Données!Z188</f>
        <v>3748</v>
      </c>
      <c r="E194" s="610">
        <f>Population!K191</f>
        <v>-1274992.9577464787</v>
      </c>
      <c r="F194" s="604">
        <f>Solidarité!I188</f>
        <v>0</v>
      </c>
      <c r="G194" s="610">
        <f>+DT!O188</f>
        <v>0</v>
      </c>
      <c r="H194" s="604">
        <f>Effort!K188+Aide!I188+Taux!J188</f>
        <v>0</v>
      </c>
      <c r="I194" s="605">
        <f t="shared" si="6"/>
        <v>-1274992.9577464787</v>
      </c>
      <c r="J194" s="624">
        <f t="shared" si="7"/>
        <v>7641934.7279331759</v>
      </c>
      <c r="K194" s="626">
        <f t="shared" si="8"/>
        <v>6366941.7701866971</v>
      </c>
    </row>
    <row r="195" spans="1:11" x14ac:dyDescent="0.25">
      <c r="A195" s="37">
        <f>Données!A189</f>
        <v>5718</v>
      </c>
      <c r="B195" s="26" t="str">
        <f>Données!B189</f>
        <v>Genolier</v>
      </c>
      <c r="C195" s="611">
        <f>Ecrêtage!C189</f>
        <v>239613.31826923083</v>
      </c>
      <c r="D195" s="604">
        <f>Données!Z189</f>
        <v>2012</v>
      </c>
      <c r="E195" s="610">
        <f>Population!K192</f>
        <v>-509571.83098591544</v>
      </c>
      <c r="F195" s="604">
        <f>Solidarité!I189</f>
        <v>0</v>
      </c>
      <c r="G195" s="610">
        <f>+DT!O189</f>
        <v>0</v>
      </c>
      <c r="H195" s="604">
        <f>Effort!K189+Aide!I189+Taux!J189</f>
        <v>0</v>
      </c>
      <c r="I195" s="605">
        <f t="shared" si="6"/>
        <v>-509571.83098591544</v>
      </c>
      <c r="J195" s="624">
        <f t="shared" si="7"/>
        <v>4701106.539364703</v>
      </c>
      <c r="K195" s="626">
        <f t="shared" si="8"/>
        <v>4191534.7083787876</v>
      </c>
    </row>
    <row r="196" spans="1:11" x14ac:dyDescent="0.25">
      <c r="A196" s="37">
        <f>Données!A190</f>
        <v>5719</v>
      </c>
      <c r="B196" s="26" t="str">
        <f>Données!B190</f>
        <v>Gingins</v>
      </c>
      <c r="C196" s="611">
        <f>Ecrêtage!C190</f>
        <v>173273.6891111111</v>
      </c>
      <c r="D196" s="604">
        <f>Données!Z190</f>
        <v>1253</v>
      </c>
      <c r="E196" s="610">
        <f>Population!K193</f>
        <v>-227084.85915492955</v>
      </c>
      <c r="F196" s="604">
        <f>Solidarité!I190</f>
        <v>0</v>
      </c>
      <c r="G196" s="610">
        <f>+DT!O190</f>
        <v>0</v>
      </c>
      <c r="H196" s="604">
        <f>Effort!K190+Aide!I190+Taux!J190</f>
        <v>0</v>
      </c>
      <c r="I196" s="605">
        <f t="shared" si="6"/>
        <v>-227084.85915492955</v>
      </c>
      <c r="J196" s="624">
        <f t="shared" si="7"/>
        <v>3399552.5743891522</v>
      </c>
      <c r="K196" s="626">
        <f t="shared" si="8"/>
        <v>3172467.7152342228</v>
      </c>
    </row>
    <row r="197" spans="1:11" x14ac:dyDescent="0.25">
      <c r="A197" s="37">
        <f>Données!A191</f>
        <v>5720</v>
      </c>
      <c r="B197" s="26" t="str">
        <f>Données!B191</f>
        <v>Givrins</v>
      </c>
      <c r="C197" s="611">
        <f>Ecrêtage!C191</f>
        <v>77350.1792703151</v>
      </c>
      <c r="D197" s="604">
        <f>Données!Z191</f>
        <v>1071</v>
      </c>
      <c r="E197" s="610">
        <f>Population!K194</f>
        <v>-159347.53521126759</v>
      </c>
      <c r="F197" s="604">
        <f>Solidarité!I191</f>
        <v>0</v>
      </c>
      <c r="G197" s="610">
        <f>+DT!O191</f>
        <v>-26391.228735233271</v>
      </c>
      <c r="H197" s="604">
        <f>Effort!K191+Aide!I191+Taux!J191</f>
        <v>0</v>
      </c>
      <c r="I197" s="605">
        <f t="shared" si="6"/>
        <v>-185738.76394650087</v>
      </c>
      <c r="J197" s="624">
        <f t="shared" si="7"/>
        <v>1517576.0521797545</v>
      </c>
      <c r="K197" s="626">
        <f t="shared" si="8"/>
        <v>1331837.2882332536</v>
      </c>
    </row>
    <row r="198" spans="1:11" x14ac:dyDescent="0.25">
      <c r="A198" s="37">
        <f>Données!A192</f>
        <v>5721</v>
      </c>
      <c r="B198" s="26" t="str">
        <f>Données!B192</f>
        <v>Gland</v>
      </c>
      <c r="C198" s="611">
        <f>Ecrêtage!C192</f>
        <v>727883.96163934411</v>
      </c>
      <c r="D198" s="604">
        <f>Données!Z192</f>
        <v>13968</v>
      </c>
      <c r="E198" s="610">
        <f>Population!K195</f>
        <v>-9297133.8028169014</v>
      </c>
      <c r="F198" s="604">
        <f>Solidarité!I192</f>
        <v>0</v>
      </c>
      <c r="G198" s="610">
        <f>+DT!O192</f>
        <v>0</v>
      </c>
      <c r="H198" s="604">
        <f>Effort!K192+Aide!I192+Taux!J192</f>
        <v>0</v>
      </c>
      <c r="I198" s="605">
        <f t="shared" si="6"/>
        <v>-9297133.8028169014</v>
      </c>
      <c r="J198" s="624">
        <f t="shared" si="7"/>
        <v>14280759.002371423</v>
      </c>
      <c r="K198" s="626">
        <f t="shared" si="8"/>
        <v>4983625.1995545216</v>
      </c>
    </row>
    <row r="199" spans="1:11" x14ac:dyDescent="0.25">
      <c r="A199" s="37">
        <f>Données!A193</f>
        <v>5722</v>
      </c>
      <c r="B199" s="26" t="str">
        <f>Données!B193</f>
        <v>Grens</v>
      </c>
      <c r="C199" s="611">
        <f>Ecrêtage!C193</f>
        <v>33694.831129032267</v>
      </c>
      <c r="D199" s="604">
        <f>Données!Z193</f>
        <v>394</v>
      </c>
      <c r="E199" s="610">
        <f>Population!K196</f>
        <v>-52371.47887323943</v>
      </c>
      <c r="F199" s="604">
        <f>Solidarité!I193</f>
        <v>0</v>
      </c>
      <c r="G199" s="610">
        <f>+DT!O193</f>
        <v>0</v>
      </c>
      <c r="H199" s="604">
        <f>Effort!K193+Aide!I193+Taux!J193</f>
        <v>0</v>
      </c>
      <c r="I199" s="605">
        <f t="shared" si="6"/>
        <v>-52371.47887323943</v>
      </c>
      <c r="J199" s="624">
        <f t="shared" si="7"/>
        <v>661077.57326535776</v>
      </c>
      <c r="K199" s="626">
        <f t="shared" si="8"/>
        <v>608706.09439211828</v>
      </c>
    </row>
    <row r="200" spans="1:11" x14ac:dyDescent="0.25">
      <c r="A200" s="37">
        <f>Données!A194</f>
        <v>5723</v>
      </c>
      <c r="B200" s="26" t="str">
        <f>Données!B194</f>
        <v>Mies</v>
      </c>
      <c r="C200" s="611">
        <f>Ecrêtage!C194</f>
        <v>272663.2930188679</v>
      </c>
      <c r="D200" s="604">
        <f>Données!Z194</f>
        <v>2163</v>
      </c>
      <c r="E200" s="610">
        <f>Population!K197</f>
        <v>-565771.47887323936</v>
      </c>
      <c r="F200" s="604">
        <f>Solidarité!I194</f>
        <v>0</v>
      </c>
      <c r="G200" s="610">
        <f>+DT!O194</f>
        <v>0</v>
      </c>
      <c r="H200" s="604">
        <f>Effort!K194+Aide!I194+Taux!J194</f>
        <v>0</v>
      </c>
      <c r="I200" s="605">
        <f t="shared" si="6"/>
        <v>-565771.47887323936</v>
      </c>
      <c r="J200" s="624">
        <f t="shared" si="7"/>
        <v>5349532.3177965218</v>
      </c>
      <c r="K200" s="626">
        <f t="shared" si="8"/>
        <v>4783760.8389232829</v>
      </c>
    </row>
    <row r="201" spans="1:11" x14ac:dyDescent="0.25">
      <c r="A201" s="37">
        <f>Données!A195</f>
        <v>5724</v>
      </c>
      <c r="B201" s="26" t="str">
        <f>Données!B195</f>
        <v>Nyon</v>
      </c>
      <c r="C201" s="611">
        <f>Ecrêtage!C195</f>
        <v>1639938.8194535521</v>
      </c>
      <c r="D201" s="604">
        <f>Données!Z195</f>
        <v>23328</v>
      </c>
      <c r="E201" s="610">
        <f>Population!K198</f>
        <v>-19693164.788732395</v>
      </c>
      <c r="F201" s="604">
        <f>Solidarité!I195</f>
        <v>0</v>
      </c>
      <c r="G201" s="610">
        <f>+DT!O195</f>
        <v>-982455.70031265717</v>
      </c>
      <c r="H201" s="604">
        <f>Effort!K195+Aide!I195+Taux!J195</f>
        <v>0</v>
      </c>
      <c r="I201" s="605">
        <f t="shared" si="6"/>
        <v>-20675620.48904505</v>
      </c>
      <c r="J201" s="624">
        <f t="shared" si="7"/>
        <v>32174868.926228289</v>
      </c>
      <c r="K201" s="626">
        <f t="shared" si="8"/>
        <v>11499248.437183239</v>
      </c>
    </row>
    <row r="202" spans="1:11" x14ac:dyDescent="0.25">
      <c r="A202" s="37">
        <f>Données!A196</f>
        <v>5725</v>
      </c>
      <c r="B202" s="26" t="str">
        <f>Données!B196</f>
        <v>Prangins</v>
      </c>
      <c r="C202" s="611">
        <f>Ecrêtage!C196</f>
        <v>367942.11179220775</v>
      </c>
      <c r="D202" s="604">
        <f>Données!Z196</f>
        <v>4280</v>
      </c>
      <c r="E202" s="610">
        <f>Population!K199</f>
        <v>-1557852.1126760561</v>
      </c>
      <c r="F202" s="604">
        <f>Solidarité!I196</f>
        <v>0</v>
      </c>
      <c r="G202" s="610">
        <f>+DT!O196</f>
        <v>0</v>
      </c>
      <c r="H202" s="604">
        <f>Effort!K196+Aide!I196+Taux!J196</f>
        <v>0</v>
      </c>
      <c r="I202" s="605">
        <f t="shared" si="6"/>
        <v>-1557852.1126760561</v>
      </c>
      <c r="J202" s="624">
        <f t="shared" si="7"/>
        <v>7218860.2885189652</v>
      </c>
      <c r="K202" s="626">
        <f t="shared" si="8"/>
        <v>5661008.1758429091</v>
      </c>
    </row>
    <row r="203" spans="1:11" x14ac:dyDescent="0.25">
      <c r="A203" s="37">
        <f>Données!A197</f>
        <v>5726</v>
      </c>
      <c r="B203" s="26" t="str">
        <f>Données!B197</f>
        <v>La Rippe</v>
      </c>
      <c r="C203" s="611">
        <f>Ecrêtage!C197</f>
        <v>73377.861102362207</v>
      </c>
      <c r="D203" s="604">
        <f>Données!Z197</f>
        <v>1194</v>
      </c>
      <c r="E203" s="610">
        <f>Population!K200</f>
        <v>-205126.05633802814</v>
      </c>
      <c r="F203" s="604">
        <f>Solidarité!I197</f>
        <v>0</v>
      </c>
      <c r="G203" s="610">
        <f>+DT!O197</f>
        <v>0</v>
      </c>
      <c r="H203" s="604">
        <f>Effort!K197+Aide!I197+Taux!J197</f>
        <v>0</v>
      </c>
      <c r="I203" s="605">
        <f t="shared" si="6"/>
        <v>-205126.05633802814</v>
      </c>
      <c r="J203" s="624">
        <f t="shared" si="7"/>
        <v>1439640.9396797973</v>
      </c>
      <c r="K203" s="626">
        <f t="shared" si="8"/>
        <v>1234514.8833417692</v>
      </c>
    </row>
    <row r="204" spans="1:11" x14ac:dyDescent="0.25">
      <c r="A204" s="37">
        <f>Données!A198</f>
        <v>5727</v>
      </c>
      <c r="B204" s="26" t="str">
        <f>Données!B198</f>
        <v>Saint-Cergue</v>
      </c>
      <c r="C204" s="611">
        <f>Ecrêtage!C198</f>
        <v>111772.64025252526</v>
      </c>
      <c r="D204" s="604">
        <f>Données!Z198</f>
        <v>3012</v>
      </c>
      <c r="E204" s="610">
        <f>Population!K201</f>
        <v>-883669.0140845069</v>
      </c>
      <c r="F204" s="604">
        <f>Solidarité!I198</f>
        <v>-674375.19478605757</v>
      </c>
      <c r="G204" s="610">
        <f>+DT!O198</f>
        <v>-461180.36487920315</v>
      </c>
      <c r="H204" s="604">
        <f>Effort!K198+Aide!I198+Taux!J198</f>
        <v>0</v>
      </c>
      <c r="I204" s="605">
        <f t="shared" si="6"/>
        <v>-2019224.5737497676</v>
      </c>
      <c r="J204" s="624">
        <f t="shared" si="7"/>
        <v>2192929.3989526941</v>
      </c>
      <c r="K204" s="626">
        <f t="shared" si="8"/>
        <v>173704.82520292653</v>
      </c>
    </row>
    <row r="205" spans="1:11" x14ac:dyDescent="0.25">
      <c r="A205" s="37">
        <f>Données!A199</f>
        <v>5728</v>
      </c>
      <c r="B205" s="26" t="str">
        <f>Données!B199</f>
        <v>Signy-Avenex</v>
      </c>
      <c r="C205" s="611">
        <f>Ecrêtage!C199</f>
        <v>44453.550862068965</v>
      </c>
      <c r="D205" s="604">
        <f>Données!Z199</f>
        <v>605</v>
      </c>
      <c r="E205" s="610">
        <f>Population!K202</f>
        <v>-80418.133802816883</v>
      </c>
      <c r="F205" s="604">
        <f>Solidarité!I199</f>
        <v>0</v>
      </c>
      <c r="G205" s="610">
        <f>+DT!O199</f>
        <v>0</v>
      </c>
      <c r="H205" s="604">
        <f>Effort!K199+Aide!I199+Taux!J199</f>
        <v>0</v>
      </c>
      <c r="I205" s="605">
        <f t="shared" ref="I205:I268" si="9">SUM(E205:H205)</f>
        <v>-80418.133802816883</v>
      </c>
      <c r="J205" s="624">
        <f t="shared" ref="J205:J268" si="10">C205*$J$11</f>
        <v>872158.86063913105</v>
      </c>
      <c r="K205" s="626">
        <f t="shared" ref="K205:K268" si="11">I205+J205</f>
        <v>791740.72683631419</v>
      </c>
    </row>
    <row r="206" spans="1:11" x14ac:dyDescent="0.25">
      <c r="A206" s="37">
        <f>Données!A200</f>
        <v>5729</v>
      </c>
      <c r="B206" s="26" t="str">
        <f>Données!B200</f>
        <v>Tannay</v>
      </c>
      <c r="C206" s="611">
        <f>Ecrêtage!C200</f>
        <v>189691.13223140492</v>
      </c>
      <c r="D206" s="604">
        <f>Données!Z200</f>
        <v>1728</v>
      </c>
      <c r="E206" s="610">
        <f>Population!K203</f>
        <v>-403871.83098591544</v>
      </c>
      <c r="F206" s="604">
        <f>Solidarité!I200</f>
        <v>0</v>
      </c>
      <c r="G206" s="610">
        <f>+DT!O200</f>
        <v>0</v>
      </c>
      <c r="H206" s="604">
        <f>Effort!K200+Aide!I200+Taux!J200</f>
        <v>0</v>
      </c>
      <c r="I206" s="605">
        <f t="shared" si="9"/>
        <v>-403871.83098591544</v>
      </c>
      <c r="J206" s="624">
        <f t="shared" si="10"/>
        <v>3721655.4932500361</v>
      </c>
      <c r="K206" s="626">
        <f t="shared" si="11"/>
        <v>3317783.6622641208</v>
      </c>
    </row>
    <row r="207" spans="1:11" x14ac:dyDescent="0.25">
      <c r="A207" s="37">
        <f>Données!A201</f>
        <v>5730</v>
      </c>
      <c r="B207" s="26" t="str">
        <f>Données!B201</f>
        <v>Trélex</v>
      </c>
      <c r="C207" s="611">
        <f>Ecrêtage!C201</f>
        <v>170256.05113113116</v>
      </c>
      <c r="D207" s="604">
        <f>Données!Z201</f>
        <v>1428</v>
      </c>
      <c r="E207" s="610">
        <f>Population!K204</f>
        <v>-292216.90140845068</v>
      </c>
      <c r="F207" s="604">
        <f>Solidarité!I201</f>
        <v>0</v>
      </c>
      <c r="G207" s="610">
        <f>+DT!O201</f>
        <v>0</v>
      </c>
      <c r="H207" s="604">
        <f>Effort!K201+Aide!I201+Taux!J201</f>
        <v>0</v>
      </c>
      <c r="I207" s="605">
        <f t="shared" si="9"/>
        <v>-292216.90140845068</v>
      </c>
      <c r="J207" s="624">
        <f t="shared" si="10"/>
        <v>3340347.861798096</v>
      </c>
      <c r="K207" s="626">
        <f t="shared" si="11"/>
        <v>3048130.9603896453</v>
      </c>
    </row>
    <row r="208" spans="1:11" x14ac:dyDescent="0.25">
      <c r="A208" s="37">
        <f>Données!A202</f>
        <v>5731</v>
      </c>
      <c r="B208" s="26" t="str">
        <f>Données!B202</f>
        <v>Le Vaud</v>
      </c>
      <c r="C208" s="611">
        <f>Ecrêtage!C202</f>
        <v>75089.173286384976</v>
      </c>
      <c r="D208" s="604">
        <f>Données!Z202</f>
        <v>1374</v>
      </c>
      <c r="E208" s="610">
        <f>Population!K205</f>
        <v>-272119.01408450701</v>
      </c>
      <c r="F208" s="604">
        <f>Solidarité!I202</f>
        <v>0</v>
      </c>
      <c r="G208" s="610">
        <f>+DT!O202</f>
        <v>0</v>
      </c>
      <c r="H208" s="604">
        <f>Effort!K202+Aide!I202+Taux!J202</f>
        <v>0</v>
      </c>
      <c r="I208" s="605">
        <f t="shared" si="9"/>
        <v>-272119.01408450701</v>
      </c>
      <c r="J208" s="624">
        <f t="shared" si="10"/>
        <v>1473216.1222168733</v>
      </c>
      <c r="K208" s="626">
        <f t="shared" si="11"/>
        <v>1201097.1081323663</v>
      </c>
    </row>
    <row r="209" spans="1:11" x14ac:dyDescent="0.25">
      <c r="A209" s="37">
        <f>Données!A203</f>
        <v>5732</v>
      </c>
      <c r="B209" s="26" t="str">
        <f>Données!B203</f>
        <v>Vich</v>
      </c>
      <c r="C209" s="611">
        <f>Ecrêtage!C203</f>
        <v>83929.487936507925</v>
      </c>
      <c r="D209" s="604">
        <f>Données!Z203</f>
        <v>1179</v>
      </c>
      <c r="E209" s="610">
        <f>Population!K206</f>
        <v>-199543.30985915492</v>
      </c>
      <c r="F209" s="604">
        <f>Solidarité!I203</f>
        <v>0</v>
      </c>
      <c r="G209" s="610">
        <f>+DT!O203</f>
        <v>0</v>
      </c>
      <c r="H209" s="604">
        <f>Effort!K203+Aide!I203+Taux!J203</f>
        <v>0</v>
      </c>
      <c r="I209" s="605">
        <f t="shared" si="9"/>
        <v>-199543.30985915492</v>
      </c>
      <c r="J209" s="624">
        <f t="shared" si="10"/>
        <v>1646659.1566522063</v>
      </c>
      <c r="K209" s="626">
        <f t="shared" si="11"/>
        <v>1447115.8467930513</v>
      </c>
    </row>
    <row r="210" spans="1:11" x14ac:dyDescent="0.25">
      <c r="A210" s="37">
        <f>Données!A204</f>
        <v>5741</v>
      </c>
      <c r="B210" s="26" t="str">
        <f>Données!B204</f>
        <v>L'Abergement</v>
      </c>
      <c r="C210" s="611">
        <f>Ecrêtage!C204</f>
        <v>8081.107937499999</v>
      </c>
      <c r="D210" s="604">
        <f>Données!Z204</f>
        <v>270</v>
      </c>
      <c r="E210" s="610">
        <f>Population!K207</f>
        <v>-35889.084507042251</v>
      </c>
      <c r="F210" s="604">
        <f>Solidarité!I204</f>
        <v>-138415.20750073143</v>
      </c>
      <c r="G210" s="610">
        <f>+DT!O204</f>
        <v>-95401.629501887917</v>
      </c>
      <c r="H210" s="604">
        <f>Effort!K204+Aide!I204+Taux!J204</f>
        <v>0</v>
      </c>
      <c r="I210" s="605">
        <f t="shared" si="9"/>
        <v>-269705.9215096616</v>
      </c>
      <c r="J210" s="624">
        <f t="shared" si="10"/>
        <v>158547.73701521597</v>
      </c>
      <c r="K210" s="626">
        <f t="shared" si="11"/>
        <v>-111158.18449444562</v>
      </c>
    </row>
    <row r="211" spans="1:11" x14ac:dyDescent="0.25">
      <c r="A211" s="37">
        <f>Données!A205</f>
        <v>5742</v>
      </c>
      <c r="B211" s="26" t="str">
        <f>Données!B205</f>
        <v>Agiez</v>
      </c>
      <c r="C211" s="611">
        <f>Ecrêtage!C205</f>
        <v>9603.6136842105243</v>
      </c>
      <c r="D211" s="604">
        <f>Données!Z205</f>
        <v>373</v>
      </c>
      <c r="E211" s="610">
        <f>Population!K208</f>
        <v>-49580.105633802807</v>
      </c>
      <c r="F211" s="604">
        <f>Solidarité!I205</f>
        <v>-208605.07025693313</v>
      </c>
      <c r="G211" s="610">
        <f>+DT!O205</f>
        <v>-36032.964930740498</v>
      </c>
      <c r="H211" s="604">
        <f>Effort!K205+Aide!I205+Taux!J205</f>
        <v>0</v>
      </c>
      <c r="I211" s="605">
        <f t="shared" si="9"/>
        <v>-294218.14082147641</v>
      </c>
      <c r="J211" s="624">
        <f t="shared" si="10"/>
        <v>188418.62137916032</v>
      </c>
      <c r="K211" s="626">
        <f t="shared" si="11"/>
        <v>-105799.51944231609</v>
      </c>
    </row>
    <row r="212" spans="1:11" x14ac:dyDescent="0.25">
      <c r="A212" s="37">
        <f>Données!A206</f>
        <v>5743</v>
      </c>
      <c r="B212" s="26" t="str">
        <f>Données!B206</f>
        <v>Arnex-sur-Orbe</v>
      </c>
      <c r="C212" s="611">
        <f>Ecrêtage!C206</f>
        <v>19616.934718309862</v>
      </c>
      <c r="D212" s="604">
        <f>Données!Z206</f>
        <v>697</v>
      </c>
      <c r="E212" s="610">
        <f>Population!K209</f>
        <v>-92647.007042253506</v>
      </c>
      <c r="F212" s="604">
        <f>Solidarité!I206</f>
        <v>-306519.79979198327</v>
      </c>
      <c r="G212" s="610">
        <f>+DT!O206</f>
        <v>-85369.080872792067</v>
      </c>
      <c r="H212" s="604">
        <f>Effort!K206+Aide!I206+Taux!J206</f>
        <v>0</v>
      </c>
      <c r="I212" s="605">
        <f t="shared" si="9"/>
        <v>-484535.88770702883</v>
      </c>
      <c r="J212" s="624">
        <f t="shared" si="10"/>
        <v>384875.51840885828</v>
      </c>
      <c r="K212" s="626">
        <f t="shared" si="11"/>
        <v>-99660.369298170554</v>
      </c>
    </row>
    <row r="213" spans="1:11" x14ac:dyDescent="0.25">
      <c r="A213" s="37">
        <f>Données!A207</f>
        <v>5744</v>
      </c>
      <c r="B213" s="26" t="str">
        <f>Données!B207</f>
        <v>Ballaigues</v>
      </c>
      <c r="C213" s="611">
        <f>Ecrêtage!C207</f>
        <v>81085.11846153847</v>
      </c>
      <c r="D213" s="604">
        <f>Données!Z207</f>
        <v>1209</v>
      </c>
      <c r="E213" s="610">
        <f>Population!K210</f>
        <v>-210708.80281690139</v>
      </c>
      <c r="F213" s="604">
        <f>Solidarité!I207</f>
        <v>0</v>
      </c>
      <c r="G213" s="610">
        <f>+DT!O207</f>
        <v>-192770.33869601332</v>
      </c>
      <c r="H213" s="604">
        <f>Effort!K207+Aide!I207+Taux!J207</f>
        <v>0</v>
      </c>
      <c r="I213" s="605">
        <f t="shared" si="9"/>
        <v>-403479.14151291468</v>
      </c>
      <c r="J213" s="624">
        <f t="shared" si="10"/>
        <v>1590853.8949257953</v>
      </c>
      <c r="K213" s="626">
        <f t="shared" si="11"/>
        <v>1187374.7534128805</v>
      </c>
    </row>
    <row r="214" spans="1:11" x14ac:dyDescent="0.25">
      <c r="A214" s="37">
        <f>Données!A208</f>
        <v>5745</v>
      </c>
      <c r="B214" s="26" t="str">
        <f>Données!B208</f>
        <v>Baulmes</v>
      </c>
      <c r="C214" s="611">
        <f>Ecrêtage!C208</f>
        <v>29568.283921568625</v>
      </c>
      <c r="D214" s="604">
        <f>Données!Z208</f>
        <v>1168</v>
      </c>
      <c r="E214" s="610">
        <f>Population!K211</f>
        <v>-195449.29577464785</v>
      </c>
      <c r="F214" s="604">
        <f>Solidarité!I208</f>
        <v>-673638.26278449001</v>
      </c>
      <c r="G214" s="610">
        <f>+DT!O208</f>
        <v>-367900.65280666528</v>
      </c>
      <c r="H214" s="604">
        <f>Effort!K208+Aide!I208+Taux!J208</f>
        <v>0</v>
      </c>
      <c r="I214" s="605">
        <f t="shared" si="9"/>
        <v>-1236988.2113658031</v>
      </c>
      <c r="J214" s="624">
        <f t="shared" si="10"/>
        <v>580116.55573040061</v>
      </c>
      <c r="K214" s="626">
        <f t="shared" si="11"/>
        <v>-656871.65563540254</v>
      </c>
    </row>
    <row r="215" spans="1:11" x14ac:dyDescent="0.25">
      <c r="A215" s="37">
        <f>Données!A209</f>
        <v>5746</v>
      </c>
      <c r="B215" s="26" t="str">
        <f>Données!B209</f>
        <v>Bavois</v>
      </c>
      <c r="C215" s="611">
        <f>Ecrêtage!C209</f>
        <v>37130.012939814806</v>
      </c>
      <c r="D215" s="604">
        <f>Données!Z209</f>
        <v>1041</v>
      </c>
      <c r="E215" s="610">
        <f>Population!K212</f>
        <v>-148182.0422535211</v>
      </c>
      <c r="F215" s="604">
        <f>Solidarité!I209</f>
        <v>-308479.79089143878</v>
      </c>
      <c r="G215" s="610">
        <f>+DT!O209</f>
        <v>-198070.1609758932</v>
      </c>
      <c r="H215" s="604">
        <f>Effort!K209+Aide!I209+Taux!J209</f>
        <v>0</v>
      </c>
      <c r="I215" s="605">
        <f t="shared" si="9"/>
        <v>-654731.99412085302</v>
      </c>
      <c r="J215" s="624">
        <f t="shared" si="10"/>
        <v>728474.30977076024</v>
      </c>
      <c r="K215" s="626">
        <f t="shared" si="11"/>
        <v>73742.315649907221</v>
      </c>
    </row>
    <row r="216" spans="1:11" x14ac:dyDescent="0.25">
      <c r="A216" s="37">
        <f>Données!A210</f>
        <v>5747</v>
      </c>
      <c r="B216" s="26" t="str">
        <f>Données!B210</f>
        <v>Bofflens</v>
      </c>
      <c r="C216" s="611">
        <f>Ecrêtage!C210</f>
        <v>7511.2471014492739</v>
      </c>
      <c r="D216" s="604">
        <f>Données!Z210</f>
        <v>200</v>
      </c>
      <c r="E216" s="610">
        <f>Population!K213</f>
        <v>-26584.507042253517</v>
      </c>
      <c r="F216" s="604">
        <f>Solidarité!I210</f>
        <v>-47240.431823450774</v>
      </c>
      <c r="G216" s="610">
        <f>+DT!O210</f>
        <v>-30031.148214467816</v>
      </c>
      <c r="H216" s="604">
        <f>Effort!K210+Aide!I210+Taux!J210</f>
        <v>0</v>
      </c>
      <c r="I216" s="605">
        <f t="shared" si="9"/>
        <v>-103856.0870801721</v>
      </c>
      <c r="J216" s="624">
        <f t="shared" si="10"/>
        <v>147367.32132615233</v>
      </c>
      <c r="K216" s="626">
        <f t="shared" si="11"/>
        <v>43511.234245980231</v>
      </c>
    </row>
    <row r="217" spans="1:11" x14ac:dyDescent="0.25">
      <c r="A217" s="37">
        <f>Données!A211</f>
        <v>5748</v>
      </c>
      <c r="B217" s="26" t="str">
        <f>Données!B211</f>
        <v>Bretonnières</v>
      </c>
      <c r="C217" s="611">
        <f>Ecrêtage!C211</f>
        <v>6883.0895035460999</v>
      </c>
      <c r="D217" s="604">
        <f>Données!Z211</f>
        <v>261</v>
      </c>
      <c r="E217" s="610">
        <f>Population!K214</f>
        <v>-34692.781690140837</v>
      </c>
      <c r="F217" s="604">
        <f>Solidarité!I211</f>
        <v>-122363.53851404044</v>
      </c>
      <c r="G217" s="610">
        <f>+DT!O211</f>
        <v>-81069.638455004606</v>
      </c>
      <c r="H217" s="604">
        <f>Effort!K211+Aide!I211+Taux!J211</f>
        <v>0</v>
      </c>
      <c r="I217" s="605">
        <f t="shared" si="9"/>
        <v>-238125.95865918588</v>
      </c>
      <c r="J217" s="624">
        <f t="shared" si="10"/>
        <v>135043.14914497087</v>
      </c>
      <c r="K217" s="626">
        <f t="shared" si="11"/>
        <v>-103082.80951421501</v>
      </c>
    </row>
    <row r="218" spans="1:11" x14ac:dyDescent="0.25">
      <c r="A218" s="37">
        <f>Données!A212</f>
        <v>5749</v>
      </c>
      <c r="B218" s="26" t="str">
        <f>Données!B212</f>
        <v>Chavornay</v>
      </c>
      <c r="C218" s="611">
        <f>Ecrêtage!C212</f>
        <v>155929.24482269504</v>
      </c>
      <c r="D218" s="604">
        <f>Données!Z212</f>
        <v>5442</v>
      </c>
      <c r="E218" s="610">
        <f>Population!K215</f>
        <v>-2222677.4647887321</v>
      </c>
      <c r="F218" s="604">
        <f>Solidarité!I212</f>
        <v>-2304693.6394071821</v>
      </c>
      <c r="G218" s="610">
        <f>+DT!O212</f>
        <v>-822485.51829550904</v>
      </c>
      <c r="H218" s="604">
        <f>Effort!K212+Aide!I212+Taux!J212</f>
        <v>0</v>
      </c>
      <c r="I218" s="605">
        <f t="shared" si="9"/>
        <v>-5349856.622491423</v>
      </c>
      <c r="J218" s="624">
        <f t="shared" si="10"/>
        <v>3059262.3056558301</v>
      </c>
      <c r="K218" s="626">
        <f t="shared" si="11"/>
        <v>-2290594.316835593</v>
      </c>
    </row>
    <row r="219" spans="1:11" x14ac:dyDescent="0.25">
      <c r="A219" s="37">
        <f>Données!A213</f>
        <v>5750</v>
      </c>
      <c r="B219" s="26" t="str">
        <f>Données!B213</f>
        <v>Les Clées</v>
      </c>
      <c r="C219" s="611">
        <f>Ecrêtage!C213</f>
        <v>6153.1082500000002</v>
      </c>
      <c r="D219" s="604">
        <f>Données!Z213</f>
        <v>194</v>
      </c>
      <c r="E219" s="610">
        <f>Population!K216</f>
        <v>-25786.971830985913</v>
      </c>
      <c r="F219" s="604">
        <f>Solidarité!I213</f>
        <v>-90583.271183618141</v>
      </c>
      <c r="G219" s="610">
        <f>+DT!O213</f>
        <v>-76271.726085965143</v>
      </c>
      <c r="H219" s="604">
        <f>Effort!K213+Aide!I213+Taux!J213</f>
        <v>0</v>
      </c>
      <c r="I219" s="605">
        <f t="shared" si="9"/>
        <v>-192641.9691005692</v>
      </c>
      <c r="J219" s="624">
        <f t="shared" si="10"/>
        <v>120721.24220988428</v>
      </c>
      <c r="K219" s="626">
        <f t="shared" si="11"/>
        <v>-71920.72689068492</v>
      </c>
    </row>
    <row r="220" spans="1:11" x14ac:dyDescent="0.25">
      <c r="A220" s="37">
        <f>Données!A214</f>
        <v>5752</v>
      </c>
      <c r="B220" s="26" t="str">
        <f>Données!B214</f>
        <v>Croy</v>
      </c>
      <c r="C220" s="611">
        <f>Ecrêtage!C214</f>
        <v>10564.904768339768</v>
      </c>
      <c r="D220" s="604">
        <f>Données!Z214</f>
        <v>403</v>
      </c>
      <c r="E220" s="610">
        <f>Population!K217</f>
        <v>-53567.781690140837</v>
      </c>
      <c r="F220" s="604">
        <f>Solidarité!I214</f>
        <v>-209541.57417976638</v>
      </c>
      <c r="G220" s="610">
        <f>+DT!O214</f>
        <v>-45315.668368665225</v>
      </c>
      <c r="H220" s="604">
        <f>Effort!K214+Aide!I214+Taux!J214</f>
        <v>0</v>
      </c>
      <c r="I220" s="605">
        <f t="shared" si="9"/>
        <v>-308425.0242385724</v>
      </c>
      <c r="J220" s="624">
        <f t="shared" si="10"/>
        <v>207278.7241250154</v>
      </c>
      <c r="K220" s="626">
        <f t="shared" si="11"/>
        <v>-101146.30011355699</v>
      </c>
    </row>
    <row r="221" spans="1:11" x14ac:dyDescent="0.25">
      <c r="A221" s="37">
        <f>Données!A215</f>
        <v>5754</v>
      </c>
      <c r="B221" s="26" t="str">
        <f>Données!B215</f>
        <v>Juriens</v>
      </c>
      <c r="C221" s="611">
        <f>Ecrêtage!C215</f>
        <v>8959.0606329113925</v>
      </c>
      <c r="D221" s="604">
        <f>Données!Z215</f>
        <v>348</v>
      </c>
      <c r="E221" s="610">
        <f>Population!K218</f>
        <v>-46257.042253521118</v>
      </c>
      <c r="F221" s="604">
        <f>Solidarité!I215</f>
        <v>-210313.70458205204</v>
      </c>
      <c r="G221" s="610">
        <f>+DT!O215</f>
        <v>-74936.440966443595</v>
      </c>
      <c r="H221" s="604">
        <f>Effort!K215+Aide!I215+Taux!J215</f>
        <v>0</v>
      </c>
      <c r="I221" s="605">
        <f t="shared" si="9"/>
        <v>-331507.18780201674</v>
      </c>
      <c r="J221" s="624">
        <f t="shared" si="10"/>
        <v>175772.77770771142</v>
      </c>
      <c r="K221" s="626">
        <f t="shared" si="11"/>
        <v>-155734.41009430532</v>
      </c>
    </row>
    <row r="222" spans="1:11" x14ac:dyDescent="0.25">
      <c r="A222" s="37">
        <f>Données!A216</f>
        <v>5755</v>
      </c>
      <c r="B222" s="26" t="str">
        <f>Données!B216</f>
        <v>Lignerolle</v>
      </c>
      <c r="C222" s="611">
        <f>Ecrêtage!C216</f>
        <v>10387.208371246586</v>
      </c>
      <c r="D222" s="604">
        <f>Données!Z216</f>
        <v>463</v>
      </c>
      <c r="E222" s="610">
        <f>Population!K219</f>
        <v>-61543.13380281689</v>
      </c>
      <c r="F222" s="604">
        <f>Solidarité!I216</f>
        <v>-314037.8646640337</v>
      </c>
      <c r="G222" s="610">
        <f>+DT!O216</f>
        <v>-585438.99557910161</v>
      </c>
      <c r="H222" s="604">
        <f>Effort!K216+Aide!I216+Taux!J216</f>
        <v>0</v>
      </c>
      <c r="I222" s="605">
        <f t="shared" si="9"/>
        <v>-961019.99404595222</v>
      </c>
      <c r="J222" s="624">
        <f t="shared" si="10"/>
        <v>203792.39999065458</v>
      </c>
      <c r="K222" s="626">
        <f t="shared" si="11"/>
        <v>-757227.59405529767</v>
      </c>
    </row>
    <row r="223" spans="1:11" x14ac:dyDescent="0.25">
      <c r="A223" s="37">
        <f>Données!A217</f>
        <v>5756</v>
      </c>
      <c r="B223" s="26" t="str">
        <f>Données!B217</f>
        <v>Montcherand</v>
      </c>
      <c r="C223" s="611">
        <f>Ecrêtage!C217</f>
        <v>21540.691249999996</v>
      </c>
      <c r="D223" s="604">
        <f>Données!Z217</f>
        <v>489</v>
      </c>
      <c r="E223" s="610">
        <f>Population!K220</f>
        <v>-64999.119718309848</v>
      </c>
      <c r="F223" s="604">
        <f>Solidarité!I217</f>
        <v>-59946.824955270546</v>
      </c>
      <c r="G223" s="610">
        <f>+DT!O217</f>
        <v>-18190.167331300767</v>
      </c>
      <c r="H223" s="604">
        <f>Effort!K217+Aide!I217+Taux!J217</f>
        <v>0</v>
      </c>
      <c r="I223" s="605">
        <f t="shared" si="9"/>
        <v>-143136.11200488117</v>
      </c>
      <c r="J223" s="624">
        <f t="shared" si="10"/>
        <v>422618.76438783348</v>
      </c>
      <c r="K223" s="626">
        <f t="shared" si="11"/>
        <v>279482.65238295228</v>
      </c>
    </row>
    <row r="224" spans="1:11" x14ac:dyDescent="0.25">
      <c r="A224" s="37">
        <f>Données!A218</f>
        <v>5757</v>
      </c>
      <c r="B224" s="26" t="str">
        <f>Données!B218</f>
        <v>Orbe</v>
      </c>
      <c r="C224" s="611">
        <f>Ecrêtage!C218</f>
        <v>256549.05814569537</v>
      </c>
      <c r="D224" s="604">
        <f>Données!Z218</f>
        <v>7962</v>
      </c>
      <c r="E224" s="610">
        <f>Population!K221</f>
        <v>-3830508.4507042253</v>
      </c>
      <c r="F224" s="604">
        <f>Solidarité!I218</f>
        <v>-3219611.0369538027</v>
      </c>
      <c r="G224" s="610">
        <f>+DT!O218</f>
        <v>-2580525.3377743177</v>
      </c>
      <c r="H224" s="604">
        <f>Effort!K218+Aide!I218+Taux!J218</f>
        <v>0</v>
      </c>
      <c r="I224" s="605">
        <f t="shared" si="9"/>
        <v>-9630644.8254323453</v>
      </c>
      <c r="J224" s="624">
        <f t="shared" si="10"/>
        <v>5033378.2096429346</v>
      </c>
      <c r="K224" s="626">
        <f t="shared" si="11"/>
        <v>-4597266.6157894107</v>
      </c>
    </row>
    <row r="225" spans="1:11" x14ac:dyDescent="0.25">
      <c r="A225" s="37">
        <f>Données!A219</f>
        <v>5758</v>
      </c>
      <c r="B225" s="26" t="str">
        <f>Données!B219</f>
        <v>La Praz</v>
      </c>
      <c r="C225" s="611">
        <f>Ecrêtage!C219</f>
        <v>5899.0938554216882</v>
      </c>
      <c r="D225" s="604">
        <f>Données!Z219</f>
        <v>207</v>
      </c>
      <c r="E225" s="610">
        <f>Population!K222</f>
        <v>-27514.964788732392</v>
      </c>
      <c r="F225" s="604">
        <f>Solidarité!I219</f>
        <v>-122390.54028628911</v>
      </c>
      <c r="G225" s="610">
        <f>+DT!O219</f>
        <v>-251435.19908113498</v>
      </c>
      <c r="H225" s="604">
        <f>Effort!K219+Aide!I219+Taux!J219</f>
        <v>0</v>
      </c>
      <c r="I225" s="605">
        <f t="shared" si="9"/>
        <v>-401340.70415615651</v>
      </c>
      <c r="J225" s="624">
        <f t="shared" si="10"/>
        <v>115737.5929700573</v>
      </c>
      <c r="K225" s="626">
        <f t="shared" si="11"/>
        <v>-285603.11118609924</v>
      </c>
    </row>
    <row r="226" spans="1:11" x14ac:dyDescent="0.25">
      <c r="A226" s="37">
        <f>Données!A220</f>
        <v>5759</v>
      </c>
      <c r="B226" s="26" t="str">
        <f>Données!B220</f>
        <v>Premier</v>
      </c>
      <c r="C226" s="611">
        <f>Ecrêtage!C220</f>
        <v>5179.7449056603764</v>
      </c>
      <c r="D226" s="604">
        <f>Données!Z220</f>
        <v>228</v>
      </c>
      <c r="E226" s="610">
        <f>Population!K223</f>
        <v>-30306.338028169012</v>
      </c>
      <c r="F226" s="604">
        <f>Solidarité!I220</f>
        <v>-156976.19863021007</v>
      </c>
      <c r="G226" s="610">
        <f>+DT!O220</f>
        <v>-93664.442876564761</v>
      </c>
      <c r="H226" s="604">
        <f>Effort!K220+Aide!I220+Taux!J220</f>
        <v>0</v>
      </c>
      <c r="I226" s="605">
        <f t="shared" si="9"/>
        <v>-280946.97953494382</v>
      </c>
      <c r="J226" s="624">
        <f t="shared" si="10"/>
        <v>101624.28709776729</v>
      </c>
      <c r="K226" s="626">
        <f t="shared" si="11"/>
        <v>-179322.69243717653</v>
      </c>
    </row>
    <row r="227" spans="1:11" x14ac:dyDescent="0.25">
      <c r="A227" s="37">
        <f>Données!A221</f>
        <v>5760</v>
      </c>
      <c r="B227" s="26" t="str">
        <f>Données!B221</f>
        <v>Rances</v>
      </c>
      <c r="C227" s="611">
        <f>Ecrêtage!C221</f>
        <v>13863.335032679737</v>
      </c>
      <c r="D227" s="604">
        <f>Données!Z221</f>
        <v>508</v>
      </c>
      <c r="E227" s="610">
        <f>Population!K224</f>
        <v>-67524.647887323939</v>
      </c>
      <c r="F227" s="604">
        <f>Solidarité!I221</f>
        <v>-269515.39475925226</v>
      </c>
      <c r="G227" s="610">
        <f>+DT!O221</f>
        <v>-156378.85620013392</v>
      </c>
      <c r="H227" s="604">
        <f>Effort!K221+Aide!I221+Taux!J221</f>
        <v>0</v>
      </c>
      <c r="I227" s="605">
        <f t="shared" si="9"/>
        <v>-493418.8988467101</v>
      </c>
      <c r="J227" s="624">
        <f t="shared" si="10"/>
        <v>271992.45622192725</v>
      </c>
      <c r="K227" s="626">
        <f t="shared" si="11"/>
        <v>-221426.44262478285</v>
      </c>
    </row>
    <row r="228" spans="1:11" x14ac:dyDescent="0.25">
      <c r="A228" s="37">
        <f>Données!A222</f>
        <v>5761</v>
      </c>
      <c r="B228" s="26" t="str">
        <f>Données!B222</f>
        <v>Romainmôtier-Envy</v>
      </c>
      <c r="C228" s="611">
        <f>Ecrêtage!C222</f>
        <v>14116.093355780025</v>
      </c>
      <c r="D228" s="604">
        <f>Données!Z222</f>
        <v>560</v>
      </c>
      <c r="E228" s="610">
        <f>Population!K225</f>
        <v>-74436.619718309841</v>
      </c>
      <c r="F228" s="604">
        <f>Solidarité!I222</f>
        <v>-363678.61108731834</v>
      </c>
      <c r="G228" s="610">
        <f>+DT!O222</f>
        <v>-168248.18881966919</v>
      </c>
      <c r="H228" s="604">
        <f>Effort!K222+Aide!I222+Taux!J222</f>
        <v>0</v>
      </c>
      <c r="I228" s="605">
        <f t="shared" si="9"/>
        <v>-606363.41962529742</v>
      </c>
      <c r="J228" s="624">
        <f t="shared" si="10"/>
        <v>276951.46189902612</v>
      </c>
      <c r="K228" s="626">
        <f t="shared" si="11"/>
        <v>-329411.9577262713</v>
      </c>
    </row>
    <row r="229" spans="1:11" x14ac:dyDescent="0.25">
      <c r="A229" s="37">
        <f>Données!A223</f>
        <v>5762</v>
      </c>
      <c r="B229" s="26" t="str">
        <f>Données!B223</f>
        <v>Sergey</v>
      </c>
      <c r="C229" s="611">
        <f>Ecrêtage!C223</f>
        <v>3517.4810526315791</v>
      </c>
      <c r="D229" s="604">
        <f>Données!Z223</f>
        <v>133</v>
      </c>
      <c r="E229" s="610">
        <f>Population!K226</f>
        <v>-17678.697183098589</v>
      </c>
      <c r="F229" s="604">
        <f>Solidarité!I223</f>
        <v>-72231.229398891912</v>
      </c>
      <c r="G229" s="610">
        <f>+DT!O223</f>
        <v>-47252.827613670917</v>
      </c>
      <c r="H229" s="604">
        <f>Effort!K223+Aide!I223+Taux!J223</f>
        <v>0</v>
      </c>
      <c r="I229" s="605">
        <f t="shared" si="9"/>
        <v>-137162.7541956614</v>
      </c>
      <c r="J229" s="624">
        <f t="shared" si="10"/>
        <v>69011.410960211128</v>
      </c>
      <c r="K229" s="626">
        <f t="shared" si="11"/>
        <v>-68151.343235450273</v>
      </c>
    </row>
    <row r="230" spans="1:11" x14ac:dyDescent="0.25">
      <c r="A230" s="37">
        <f>Données!A224</f>
        <v>5763</v>
      </c>
      <c r="B230" s="26" t="str">
        <f>Données!B224</f>
        <v>Valeyres-sous-Rances</v>
      </c>
      <c r="C230" s="611">
        <f>Ecrêtage!C224</f>
        <v>22039.299577464786</v>
      </c>
      <c r="D230" s="604">
        <f>Données!Z224</f>
        <v>583</v>
      </c>
      <c r="E230" s="610">
        <f>Population!K227</f>
        <v>-77493.838028169004</v>
      </c>
      <c r="F230" s="604">
        <f>Solidarité!I224</f>
        <v>-142902.05564442519</v>
      </c>
      <c r="G230" s="610">
        <f>+DT!O224</f>
        <v>-95461.01021476007</v>
      </c>
      <c r="H230" s="604">
        <f>Effort!K224+Aide!I224+Taux!J224</f>
        <v>0</v>
      </c>
      <c r="I230" s="605">
        <f t="shared" si="9"/>
        <v>-315856.90388735424</v>
      </c>
      <c r="J230" s="624">
        <f t="shared" si="10"/>
        <v>432401.2376065912</v>
      </c>
      <c r="K230" s="626">
        <f t="shared" si="11"/>
        <v>116544.33371923695</v>
      </c>
    </row>
    <row r="231" spans="1:11" x14ac:dyDescent="0.25">
      <c r="A231" s="37">
        <f>Données!A225</f>
        <v>5764</v>
      </c>
      <c r="B231" s="26" t="str">
        <f>Données!B225</f>
        <v>Vallorbe</v>
      </c>
      <c r="C231" s="611">
        <f>Ecrêtage!C225</f>
        <v>94918.330489510496</v>
      </c>
      <c r="D231" s="604">
        <f>Données!Z225</f>
        <v>4328</v>
      </c>
      <c r="E231" s="610">
        <f>Population!K228</f>
        <v>-1583373.2394366194</v>
      </c>
      <c r="F231" s="604">
        <f>Solidarité!I225</f>
        <v>-2479874.1236411794</v>
      </c>
      <c r="G231" s="610">
        <f>+DT!O225</f>
        <v>-2443295.5153465196</v>
      </c>
      <c r="H231" s="604">
        <f>Effort!K225+Aide!I225+Taux!J225</f>
        <v>0</v>
      </c>
      <c r="I231" s="605">
        <f t="shared" si="9"/>
        <v>-6506542.8784243185</v>
      </c>
      <c r="J231" s="624">
        <f t="shared" si="10"/>
        <v>1862255.3512173363</v>
      </c>
      <c r="K231" s="626">
        <f t="shared" si="11"/>
        <v>-4644287.5272069825</v>
      </c>
    </row>
    <row r="232" spans="1:11" x14ac:dyDescent="0.25">
      <c r="A232" s="37">
        <f>Données!A226</f>
        <v>5765</v>
      </c>
      <c r="B232" s="26" t="str">
        <f>Données!B226</f>
        <v>Vaulion</v>
      </c>
      <c r="C232" s="611">
        <f>Ecrêtage!C226</f>
        <v>10165.546419753087</v>
      </c>
      <c r="D232" s="604">
        <f>Données!Z226</f>
        <v>489</v>
      </c>
      <c r="E232" s="610">
        <f>Population!K229</f>
        <v>-64999.119718309848</v>
      </c>
      <c r="F232" s="604">
        <f>Solidarité!I226</f>
        <v>-374249.6644394722</v>
      </c>
      <c r="G232" s="610">
        <f>+DT!O226</f>
        <v>-177086.03970037063</v>
      </c>
      <c r="H232" s="604">
        <f>Effort!K226+Aide!I226+Taux!J226</f>
        <v>0</v>
      </c>
      <c r="I232" s="605">
        <f t="shared" si="9"/>
        <v>-616334.82385815261</v>
      </c>
      <c r="J232" s="624">
        <f t="shared" si="10"/>
        <v>199443.49126879644</v>
      </c>
      <c r="K232" s="626">
        <f t="shared" si="11"/>
        <v>-416891.33258935617</v>
      </c>
    </row>
    <row r="233" spans="1:11" x14ac:dyDescent="0.25">
      <c r="A233" s="37">
        <f>Données!A227</f>
        <v>5766</v>
      </c>
      <c r="B233" s="26" t="str">
        <f>Données!B227</f>
        <v>Vuiteboeuf</v>
      </c>
      <c r="C233" s="611">
        <f>Ecrêtage!C227</f>
        <v>15485.667942857142</v>
      </c>
      <c r="D233" s="604">
        <f>Données!Z227</f>
        <v>607</v>
      </c>
      <c r="E233" s="610">
        <f>Population!K230</f>
        <v>-80683.978873239423</v>
      </c>
      <c r="F233" s="604">
        <f>Solidarité!I227</f>
        <v>-333807.75572254171</v>
      </c>
      <c r="G233" s="610">
        <f>+DT!O227</f>
        <v>-121180.1744144109</v>
      </c>
      <c r="H233" s="604">
        <f>Effort!K227+Aide!I227+Taux!J227</f>
        <v>0</v>
      </c>
      <c r="I233" s="605">
        <f t="shared" si="9"/>
        <v>-535671.90901019203</v>
      </c>
      <c r="J233" s="624">
        <f t="shared" si="10"/>
        <v>303821.90505286452</v>
      </c>
      <c r="K233" s="626">
        <f t="shared" si="11"/>
        <v>-231850.00395732751</v>
      </c>
    </row>
    <row r="234" spans="1:11" x14ac:dyDescent="0.25">
      <c r="A234" s="37">
        <f>Données!A228</f>
        <v>5785</v>
      </c>
      <c r="B234" s="26" t="str">
        <f>Données!B228</f>
        <v>Corcelles-le-Jorat</v>
      </c>
      <c r="C234" s="611">
        <f>Ecrêtage!C228</f>
        <v>15190.065466666669</v>
      </c>
      <c r="D234" s="604">
        <f>Données!Z228</f>
        <v>499</v>
      </c>
      <c r="E234" s="610">
        <f>Population!K231</f>
        <v>-66328.345070422525</v>
      </c>
      <c r="F234" s="604">
        <f>Solidarité!I228</f>
        <v>-219100.40971879434</v>
      </c>
      <c r="G234" s="610">
        <f>+DT!O228</f>
        <v>-51930.670852328425</v>
      </c>
      <c r="H234" s="604">
        <f>Effort!K228+Aide!I228+Taux!J228</f>
        <v>0</v>
      </c>
      <c r="I234" s="605">
        <f t="shared" si="9"/>
        <v>-337359.42564154527</v>
      </c>
      <c r="J234" s="624">
        <f t="shared" si="10"/>
        <v>298022.31618230767</v>
      </c>
      <c r="K234" s="626">
        <f t="shared" si="11"/>
        <v>-39337.109459237603</v>
      </c>
    </row>
    <row r="235" spans="1:11" x14ac:dyDescent="0.25">
      <c r="A235" s="37">
        <f>Données!A229</f>
        <v>5790</v>
      </c>
      <c r="B235" s="26" t="str">
        <f>Données!B229</f>
        <v>Maracon</v>
      </c>
      <c r="C235" s="611">
        <f>Ecrêtage!C229</f>
        <v>16291.788187919459</v>
      </c>
      <c r="D235" s="604">
        <f>Données!Z229</f>
        <v>569</v>
      </c>
      <c r="E235" s="610">
        <f>Population!K232</f>
        <v>-75632.922535211255</v>
      </c>
      <c r="F235" s="604">
        <f>Solidarité!I229</f>
        <v>-269352.54713822692</v>
      </c>
      <c r="G235" s="610">
        <f>+DT!O229</f>
        <v>-71626.346880863639</v>
      </c>
      <c r="H235" s="604">
        <f>Effort!K229+Aide!I229+Taux!J229</f>
        <v>0</v>
      </c>
      <c r="I235" s="605">
        <f t="shared" si="9"/>
        <v>-416611.81655430183</v>
      </c>
      <c r="J235" s="624">
        <f t="shared" si="10"/>
        <v>319637.62507606728</v>
      </c>
      <c r="K235" s="626">
        <f t="shared" si="11"/>
        <v>-96974.191478234541</v>
      </c>
    </row>
    <row r="236" spans="1:11" x14ac:dyDescent="0.25">
      <c r="A236" s="37">
        <f>Données!A230</f>
        <v>5792</v>
      </c>
      <c r="B236" s="26" t="str">
        <f>Données!B230</f>
        <v>Montpreveyres</v>
      </c>
      <c r="C236" s="611">
        <f>Ecrêtage!C230</f>
        <v>20010.357852348992</v>
      </c>
      <c r="D236" s="604">
        <f>Données!Z230</f>
        <v>653</v>
      </c>
      <c r="E236" s="610">
        <f>Population!K233</f>
        <v>-86798.415492957734</v>
      </c>
      <c r="F236" s="604">
        <f>Solidarité!I230</f>
        <v>-279970.98783179815</v>
      </c>
      <c r="G236" s="610">
        <f>+DT!O230</f>
        <v>-201112.65484481718</v>
      </c>
      <c r="H236" s="604">
        <f>Effort!K230+Aide!I230+Taux!J230</f>
        <v>0</v>
      </c>
      <c r="I236" s="605">
        <f t="shared" si="9"/>
        <v>-567882.05816957308</v>
      </c>
      <c r="J236" s="624">
        <f t="shared" si="10"/>
        <v>392594.305000222</v>
      </c>
      <c r="K236" s="626">
        <f t="shared" si="11"/>
        <v>-175287.75316935108</v>
      </c>
    </row>
    <row r="237" spans="1:11" x14ac:dyDescent="0.25">
      <c r="A237" s="37">
        <f>Données!A231</f>
        <v>5798</v>
      </c>
      <c r="B237" s="26" t="str">
        <f>Données!B231</f>
        <v>Ropraz</v>
      </c>
      <c r="C237" s="611">
        <f>Ecrêtage!C231</f>
        <v>15645.960516129035</v>
      </c>
      <c r="D237" s="604">
        <f>Données!Z231</f>
        <v>529</v>
      </c>
      <c r="E237" s="610">
        <f>Population!K234</f>
        <v>-70316.021126760548</v>
      </c>
      <c r="F237" s="604">
        <f>Solidarité!I231</f>
        <v>-258997.6785695928</v>
      </c>
      <c r="G237" s="610">
        <f>+DT!O231</f>
        <v>-38533.685189721618</v>
      </c>
      <c r="H237" s="604">
        <f>Effort!K231+Aide!I231+Taux!J231</f>
        <v>0</v>
      </c>
      <c r="I237" s="605">
        <f t="shared" si="9"/>
        <v>-367847.38488607499</v>
      </c>
      <c r="J237" s="624">
        <f t="shared" si="10"/>
        <v>306966.77391851495</v>
      </c>
      <c r="K237" s="626">
        <f t="shared" si="11"/>
        <v>-60880.610967560031</v>
      </c>
    </row>
    <row r="238" spans="1:11" x14ac:dyDescent="0.25">
      <c r="A238" s="37">
        <f>Données!A232</f>
        <v>5799</v>
      </c>
      <c r="B238" s="26" t="str">
        <f>Données!B232</f>
        <v>Servion</v>
      </c>
      <c r="C238" s="611">
        <f>Ecrêtage!C232</f>
        <v>79870.61985507248</v>
      </c>
      <c r="D238" s="604">
        <f>Données!Z232</f>
        <v>2228</v>
      </c>
      <c r="E238" s="610">
        <f>Population!K235</f>
        <v>-589963.38028169004</v>
      </c>
      <c r="F238" s="604">
        <f>Solidarité!I232</f>
        <v>-598678.23339888337</v>
      </c>
      <c r="G238" s="610">
        <f>+DT!O232</f>
        <v>-224440.03770509746</v>
      </c>
      <c r="H238" s="604">
        <f>Effort!K232+Aide!I232+Taux!J232</f>
        <v>0</v>
      </c>
      <c r="I238" s="605">
        <f t="shared" si="9"/>
        <v>-1413081.651385671</v>
      </c>
      <c r="J238" s="624">
        <f t="shared" si="10"/>
        <v>1567025.9734139726</v>
      </c>
      <c r="K238" s="626">
        <f t="shared" si="11"/>
        <v>153944.32202830166</v>
      </c>
    </row>
    <row r="239" spans="1:11" x14ac:dyDescent="0.25">
      <c r="A239" s="37">
        <f>Données!A233</f>
        <v>5803</v>
      </c>
      <c r="B239" s="26" t="str">
        <f>Données!B233</f>
        <v>Vulliens</v>
      </c>
      <c r="C239" s="611">
        <f>Ecrêtage!C233</f>
        <v>18493.730135135131</v>
      </c>
      <c r="D239" s="604">
        <f>Données!Z233</f>
        <v>628</v>
      </c>
      <c r="E239" s="610">
        <f>Population!K236</f>
        <v>-83475.352112676046</v>
      </c>
      <c r="F239" s="604">
        <f>Solidarité!I233</f>
        <v>-282081.7998965889</v>
      </c>
      <c r="G239" s="610">
        <f>+DT!O233</f>
        <v>-515204.08611409721</v>
      </c>
      <c r="H239" s="604">
        <f>Effort!K233+Aide!I233+Taux!J233</f>
        <v>0</v>
      </c>
      <c r="I239" s="605">
        <f t="shared" si="9"/>
        <v>-880761.23812336219</v>
      </c>
      <c r="J239" s="624">
        <f t="shared" si="10"/>
        <v>362838.74495591456</v>
      </c>
      <c r="K239" s="626">
        <f t="shared" si="11"/>
        <v>-517922.49316744762</v>
      </c>
    </row>
    <row r="240" spans="1:11" x14ac:dyDescent="0.25">
      <c r="A240" s="37">
        <f>Données!A234</f>
        <v>5804</v>
      </c>
      <c r="B240" s="26" t="str">
        <f>Données!B234</f>
        <v>Jorat-Menthue</v>
      </c>
      <c r="C240" s="611">
        <f>Ecrêtage!C234</f>
        <v>48159.833333333336</v>
      </c>
      <c r="D240" s="604">
        <f>Données!Z234</f>
        <v>1576</v>
      </c>
      <c r="E240" s="610">
        <f>Population!K237</f>
        <v>-347300</v>
      </c>
      <c r="F240" s="604">
        <f>Solidarité!I234</f>
        <v>-607768.90730851935</v>
      </c>
      <c r="G240" s="610">
        <f>+DT!O234</f>
        <v>-494636.9848077349</v>
      </c>
      <c r="H240" s="604">
        <f>Effort!K234+Aide!I234+Taux!J234</f>
        <v>0</v>
      </c>
      <c r="I240" s="605">
        <f t="shared" si="9"/>
        <v>-1449705.8921162542</v>
      </c>
      <c r="J240" s="624">
        <f t="shared" si="10"/>
        <v>944874.47130821913</v>
      </c>
      <c r="K240" s="626">
        <f t="shared" si="11"/>
        <v>-504831.42080803507</v>
      </c>
    </row>
    <row r="241" spans="1:11" x14ac:dyDescent="0.25">
      <c r="A241" s="37">
        <f>Données!A235</f>
        <v>5805</v>
      </c>
      <c r="B241" s="26" t="str">
        <f>Données!B235</f>
        <v>Oron</v>
      </c>
      <c r="C241" s="611">
        <f>Ecrêtage!C235</f>
        <v>189171.20249011857</v>
      </c>
      <c r="D241" s="604">
        <f>Données!Z235</f>
        <v>6345</v>
      </c>
      <c r="E241" s="610">
        <f>Population!K238</f>
        <v>-2798816.9014084507</v>
      </c>
      <c r="F241" s="604">
        <f>Solidarité!I235</f>
        <v>-2433733.6975067183</v>
      </c>
      <c r="G241" s="610">
        <f>+DT!O235</f>
        <v>-1012172.7374664441</v>
      </c>
      <c r="H241" s="604">
        <f>Effort!K235+Aide!I235+Taux!J235</f>
        <v>0</v>
      </c>
      <c r="I241" s="605">
        <f t="shared" si="9"/>
        <v>-6244723.3363816133</v>
      </c>
      <c r="J241" s="624">
        <f t="shared" si="10"/>
        <v>3711454.7033923329</v>
      </c>
      <c r="K241" s="626">
        <f t="shared" si="11"/>
        <v>-2533268.6329892804</v>
      </c>
    </row>
    <row r="242" spans="1:11" x14ac:dyDescent="0.25">
      <c r="A242" s="37">
        <f>Données!A236</f>
        <v>5806</v>
      </c>
      <c r="B242" s="26" t="str">
        <f>Données!B236</f>
        <v>Jorat-Mézières</v>
      </c>
      <c r="C242" s="611">
        <f>Ecrêtage!C236</f>
        <v>101965.39633802818</v>
      </c>
      <c r="D242" s="604">
        <f>Données!Z236</f>
        <v>3189</v>
      </c>
      <c r="E242" s="610">
        <f>Population!K239</f>
        <v>-977778.16901408439</v>
      </c>
      <c r="F242" s="604">
        <f>Solidarité!I236</f>
        <v>-1156316.1727844905</v>
      </c>
      <c r="G242" s="610">
        <f>+DT!O236</f>
        <v>-365891.97456925857</v>
      </c>
      <c r="H242" s="604">
        <f>Effort!K236+Aide!I236+Taux!J236</f>
        <v>0</v>
      </c>
      <c r="I242" s="605">
        <f t="shared" si="9"/>
        <v>-2499986.3163678334</v>
      </c>
      <c r="J242" s="624">
        <f t="shared" si="10"/>
        <v>2000515.6431873185</v>
      </c>
      <c r="K242" s="626">
        <f t="shared" si="11"/>
        <v>-499470.67318051495</v>
      </c>
    </row>
    <row r="243" spans="1:11" x14ac:dyDescent="0.25">
      <c r="A243" s="37">
        <f>Données!A237</f>
        <v>5812</v>
      </c>
      <c r="B243" s="26" t="str">
        <f>Données!B237</f>
        <v>Champtauroz</v>
      </c>
      <c r="C243" s="611">
        <f>Ecrêtage!C237</f>
        <v>3968.7312987012979</v>
      </c>
      <c r="D243" s="604">
        <f>Données!Z237</f>
        <v>196</v>
      </c>
      <c r="E243" s="610">
        <f>Population!K240</f>
        <v>-26052.816901408449</v>
      </c>
      <c r="F243" s="604">
        <f>Solidarité!I237</f>
        <v>-138064.36164867689</v>
      </c>
      <c r="G243" s="610">
        <f>+DT!O237</f>
        <v>-9466.1743755366151</v>
      </c>
      <c r="H243" s="604">
        <f>Effort!K237+Aide!I237+Taux!J237</f>
        <v>0</v>
      </c>
      <c r="I243" s="605">
        <f t="shared" si="9"/>
        <v>-173583.35292562196</v>
      </c>
      <c r="J243" s="624">
        <f t="shared" si="10"/>
        <v>77864.73972345081</v>
      </c>
      <c r="K243" s="626">
        <f t="shared" si="11"/>
        <v>-95718.613202171153</v>
      </c>
    </row>
    <row r="244" spans="1:11" x14ac:dyDescent="0.25">
      <c r="A244" s="37">
        <f>Données!A238</f>
        <v>5813</v>
      </c>
      <c r="B244" s="26" t="str">
        <f>Données!B238</f>
        <v>Chevroux</v>
      </c>
      <c r="C244" s="611">
        <f>Ecrêtage!C238</f>
        <v>19281.459294403892</v>
      </c>
      <c r="D244" s="604">
        <f>Données!Z238</f>
        <v>495</v>
      </c>
      <c r="E244" s="610">
        <f>Population!K241</f>
        <v>-65796.65492957746</v>
      </c>
      <c r="F244" s="604">
        <f>Solidarité!I238</f>
        <v>-102266.54288588665</v>
      </c>
      <c r="G244" s="610">
        <f>+DT!O238</f>
        <v>-153570.05085825498</v>
      </c>
      <c r="H244" s="604">
        <f>Effort!K238+Aide!I238+Taux!J238</f>
        <v>0</v>
      </c>
      <c r="I244" s="605">
        <f t="shared" si="9"/>
        <v>-321633.24867371912</v>
      </c>
      <c r="J244" s="624">
        <f t="shared" si="10"/>
        <v>378293.64007040777</v>
      </c>
      <c r="K244" s="626">
        <f t="shared" si="11"/>
        <v>56660.391396688647</v>
      </c>
    </row>
    <row r="245" spans="1:11" x14ac:dyDescent="0.25">
      <c r="A245" s="37">
        <f>Données!A239</f>
        <v>5816</v>
      </c>
      <c r="B245" s="26" t="str">
        <f>Données!B239</f>
        <v>Corcelles-près-Payerne</v>
      </c>
      <c r="C245" s="611">
        <f>Ecrêtage!C239</f>
        <v>73731.873296703299</v>
      </c>
      <c r="D245" s="604">
        <f>Données!Z239</f>
        <v>3004</v>
      </c>
      <c r="E245" s="610">
        <f>Population!K242</f>
        <v>-879415.49295774638</v>
      </c>
      <c r="F245" s="604">
        <f>Solidarité!I239</f>
        <v>-1289908.7469196783</v>
      </c>
      <c r="G245" s="610">
        <f>+DT!O239</f>
        <v>-402757.13325030345</v>
      </c>
      <c r="H245" s="604">
        <f>Effort!K239+Aide!I239+Taux!J239</f>
        <v>0</v>
      </c>
      <c r="I245" s="605">
        <f t="shared" si="9"/>
        <v>-2572081.3731277282</v>
      </c>
      <c r="J245" s="624">
        <f t="shared" si="10"/>
        <v>1446586.501194712</v>
      </c>
      <c r="K245" s="626">
        <f t="shared" si="11"/>
        <v>-1125494.8719330162</v>
      </c>
    </row>
    <row r="246" spans="1:11" x14ac:dyDescent="0.25">
      <c r="A246" s="37">
        <f>Données!A240</f>
        <v>5817</v>
      </c>
      <c r="B246" s="26" t="str">
        <f>Données!B240</f>
        <v>Grandcour</v>
      </c>
      <c r="C246" s="611">
        <f>Ecrêtage!C240</f>
        <v>27223.795694444449</v>
      </c>
      <c r="D246" s="604">
        <f>Données!Z240</f>
        <v>983</v>
      </c>
      <c r="E246" s="610">
        <f>Population!K243</f>
        <v>-130662.85211267603</v>
      </c>
      <c r="F246" s="604">
        <f>Solidarité!I240</f>
        <v>-453729.34426013433</v>
      </c>
      <c r="G246" s="610">
        <f>+DT!O240</f>
        <v>-168484.65645917295</v>
      </c>
      <c r="H246" s="604">
        <f>Effort!K240+Aide!I240+Taux!J240</f>
        <v>0</v>
      </c>
      <c r="I246" s="605">
        <f t="shared" si="9"/>
        <v>-752876.85283198336</v>
      </c>
      <c r="J246" s="624">
        <f t="shared" si="10"/>
        <v>534118.74135343428</v>
      </c>
      <c r="K246" s="626">
        <f t="shared" si="11"/>
        <v>-218758.11147854908</v>
      </c>
    </row>
    <row r="247" spans="1:11" x14ac:dyDescent="0.25">
      <c r="A247" s="37">
        <f>Données!A241</f>
        <v>5819</v>
      </c>
      <c r="B247" s="26" t="str">
        <f>Données!B241</f>
        <v>Henniez</v>
      </c>
      <c r="C247" s="611">
        <f>Ecrêtage!C241</f>
        <v>14881.811884057974</v>
      </c>
      <c r="D247" s="604">
        <f>Données!Z241</f>
        <v>468</v>
      </c>
      <c r="E247" s="610">
        <f>Population!K244</f>
        <v>-62207.746478873232</v>
      </c>
      <c r="F247" s="604">
        <f>Solidarité!I241</f>
        <v>-161831.03363946953</v>
      </c>
      <c r="G247" s="610">
        <f>+DT!O241</f>
        <v>-68570.51963938406</v>
      </c>
      <c r="H247" s="604">
        <f>Effort!K241+Aide!I241+Taux!J241</f>
        <v>0</v>
      </c>
      <c r="I247" s="605">
        <f t="shared" si="9"/>
        <v>-292609.29975772684</v>
      </c>
      <c r="J247" s="624">
        <f t="shared" si="10"/>
        <v>291974.51824080892</v>
      </c>
      <c r="K247" s="626">
        <f t="shared" si="11"/>
        <v>-634.781516917923</v>
      </c>
    </row>
    <row r="248" spans="1:11" x14ac:dyDescent="0.25">
      <c r="A248" s="37">
        <f>Données!A242</f>
        <v>5821</v>
      </c>
      <c r="B248" s="26" t="str">
        <f>Données!B242</f>
        <v>Missy</v>
      </c>
      <c r="C248" s="611">
        <f>Ecrêtage!C242</f>
        <v>10384.069710144928</v>
      </c>
      <c r="D248" s="604">
        <f>Données!Z242</f>
        <v>384</v>
      </c>
      <c r="E248" s="610">
        <f>Population!K245</f>
        <v>-51042.253521126753</v>
      </c>
      <c r="F248" s="604">
        <f>Solidarité!I242</f>
        <v>-167553.65727601899</v>
      </c>
      <c r="G248" s="610">
        <f>+DT!O242</f>
        <v>0</v>
      </c>
      <c r="H248" s="604">
        <f>Effort!K242+Aide!I242+Taux!J242</f>
        <v>0</v>
      </c>
      <c r="I248" s="605">
        <f t="shared" si="9"/>
        <v>-218595.91079714574</v>
      </c>
      <c r="J248" s="624">
        <f t="shared" si="10"/>
        <v>203730.82085834074</v>
      </c>
      <c r="K248" s="626">
        <f t="shared" si="11"/>
        <v>-14865.089938805002</v>
      </c>
    </row>
    <row r="249" spans="1:11" x14ac:dyDescent="0.25">
      <c r="A249" s="37">
        <f>Données!A243</f>
        <v>5822</v>
      </c>
      <c r="B249" s="26" t="str">
        <f>Données!B243</f>
        <v>Payerne</v>
      </c>
      <c r="C249" s="611">
        <f>Ecrêtage!C243</f>
        <v>250662.19871428571</v>
      </c>
      <c r="D249" s="604">
        <f>Données!Z243</f>
        <v>10802</v>
      </c>
      <c r="E249" s="610">
        <f>Population!K246</f>
        <v>-6121561.2676056344</v>
      </c>
      <c r="F249" s="604">
        <f>Solidarité!I243</f>
        <v>-5662818.8884638892</v>
      </c>
      <c r="G249" s="610">
        <f>+DT!O243</f>
        <v>-1740728.704870967</v>
      </c>
      <c r="H249" s="604">
        <f>Effort!K243+Aide!I243+Taux!J243</f>
        <v>580232.14345851296</v>
      </c>
      <c r="I249" s="605">
        <f t="shared" si="9"/>
        <v>-12944876.717481978</v>
      </c>
      <c r="J249" s="624">
        <f t="shared" si="10"/>
        <v>4917880.6506206719</v>
      </c>
      <c r="K249" s="626">
        <f t="shared" si="11"/>
        <v>-8026996.0668613063</v>
      </c>
    </row>
    <row r="250" spans="1:11" x14ac:dyDescent="0.25">
      <c r="A250" s="37">
        <f>Données!A244</f>
        <v>5827</v>
      </c>
      <c r="B250" s="26" t="str">
        <f>Données!B244</f>
        <v>Trey</v>
      </c>
      <c r="C250" s="611">
        <f>Ecrêtage!C244</f>
        <v>8694.454487179486</v>
      </c>
      <c r="D250" s="604">
        <f>Données!Z244</f>
        <v>318</v>
      </c>
      <c r="E250" s="610">
        <f>Population!K247</f>
        <v>-42269.366197183095</v>
      </c>
      <c r="F250" s="604">
        <f>Solidarité!I244</f>
        <v>-174998.77419297775</v>
      </c>
      <c r="G250" s="610">
        <f>+DT!O244</f>
        <v>-33538.162825491032</v>
      </c>
      <c r="H250" s="604">
        <f>Effort!K244+Aide!I244+Taux!J244</f>
        <v>0</v>
      </c>
      <c r="I250" s="605">
        <f t="shared" si="9"/>
        <v>-250806.30321565189</v>
      </c>
      <c r="J250" s="624">
        <f t="shared" si="10"/>
        <v>170581.32302964275</v>
      </c>
      <c r="K250" s="626">
        <f t="shared" si="11"/>
        <v>-80224.980186009139</v>
      </c>
    </row>
    <row r="251" spans="1:11" x14ac:dyDescent="0.25">
      <c r="A251" s="37">
        <f>Données!A245</f>
        <v>5828</v>
      </c>
      <c r="B251" s="26" t="str">
        <f>Données!B245</f>
        <v>Treytorrens (Payerne)</v>
      </c>
      <c r="C251" s="611">
        <f>Ecrêtage!C245</f>
        <v>2843.8202453987728</v>
      </c>
      <c r="D251" s="604">
        <f>Données!Z245</f>
        <v>109</v>
      </c>
      <c r="E251" s="610">
        <f>Population!K248</f>
        <v>-14488.556338028167</v>
      </c>
      <c r="F251" s="604">
        <f>Solidarité!I245</f>
        <v>-69108.781217502139</v>
      </c>
      <c r="G251" s="610">
        <f>+DT!O245</f>
        <v>-32838.390817267602</v>
      </c>
      <c r="H251" s="604">
        <f>Effort!K245+Aide!I245+Taux!J245</f>
        <v>0</v>
      </c>
      <c r="I251" s="605">
        <f t="shared" si="9"/>
        <v>-116435.72837279791</v>
      </c>
      <c r="J251" s="624">
        <f t="shared" si="10"/>
        <v>55794.486086955774</v>
      </c>
      <c r="K251" s="626">
        <f t="shared" si="11"/>
        <v>-60641.242285842134</v>
      </c>
    </row>
    <row r="252" spans="1:11" x14ac:dyDescent="0.25">
      <c r="A252" s="37">
        <f>Données!A246</f>
        <v>5830</v>
      </c>
      <c r="B252" s="26" t="str">
        <f>Données!B246</f>
        <v>Villarzel</v>
      </c>
      <c r="C252" s="611">
        <f>Ecrêtage!C246</f>
        <v>15008.365333333331</v>
      </c>
      <c r="D252" s="604">
        <f>Données!Z246</f>
        <v>524</v>
      </c>
      <c r="E252" s="610">
        <f>Population!K249</f>
        <v>-69651.408450704213</v>
      </c>
      <c r="F252" s="604">
        <f>Solidarité!I246</f>
        <v>-251278.06062761112</v>
      </c>
      <c r="G252" s="610">
        <f>+DT!O246</f>
        <v>-75538.259711427832</v>
      </c>
      <c r="H252" s="604">
        <f>Effort!K246+Aide!I246+Taux!J246</f>
        <v>0</v>
      </c>
      <c r="I252" s="605">
        <f t="shared" si="9"/>
        <v>-396467.72878974315</v>
      </c>
      <c r="J252" s="624">
        <f t="shared" si="10"/>
        <v>294457.44052686926</v>
      </c>
      <c r="K252" s="626">
        <f t="shared" si="11"/>
        <v>-102010.28826287389</v>
      </c>
    </row>
    <row r="253" spans="1:11" x14ac:dyDescent="0.25">
      <c r="A253" s="37">
        <f>Données!A247</f>
        <v>5831</v>
      </c>
      <c r="B253" s="26" t="str">
        <f>Données!B247</f>
        <v>Valbroye</v>
      </c>
      <c r="C253" s="611">
        <f>Ecrêtage!C247</f>
        <v>87116.396643026019</v>
      </c>
      <c r="D253" s="604">
        <f>Données!Z247</f>
        <v>3435</v>
      </c>
      <c r="E253" s="610">
        <f>Population!K250</f>
        <v>-1108573.9436619717</v>
      </c>
      <c r="F253" s="604">
        <f>Solidarité!I247</f>
        <v>-1679396.7599656596</v>
      </c>
      <c r="G253" s="610">
        <f>+DT!O247</f>
        <v>-743475.64484138403</v>
      </c>
      <c r="H253" s="604">
        <f>Effort!K247+Aide!I247+Taux!J247</f>
        <v>0</v>
      </c>
      <c r="I253" s="605">
        <f t="shared" si="9"/>
        <v>-3531446.3484690152</v>
      </c>
      <c r="J253" s="624">
        <f t="shared" si="10"/>
        <v>1709184.8854755794</v>
      </c>
      <c r="K253" s="626">
        <f t="shared" si="11"/>
        <v>-1822261.4629934358</v>
      </c>
    </row>
    <row r="254" spans="1:11" x14ac:dyDescent="0.25">
      <c r="A254" s="37">
        <f>Données!A248</f>
        <v>5841</v>
      </c>
      <c r="B254" s="26" t="str">
        <f>Données!B248</f>
        <v>Château-d'Oex</v>
      </c>
      <c r="C254" s="611">
        <f>Ecrêtage!C248</f>
        <v>123941.3219631902</v>
      </c>
      <c r="D254" s="604">
        <f>Données!Z248</f>
        <v>3656</v>
      </c>
      <c r="E254" s="610">
        <f>Population!K251</f>
        <v>-1226077.4647887321</v>
      </c>
      <c r="F254" s="604">
        <f>Solidarité!I248</f>
        <v>-1559675.3659123788</v>
      </c>
      <c r="G254" s="610">
        <f>+DT!O248</f>
        <v>-2399247.3008225844</v>
      </c>
      <c r="H254" s="604">
        <f>Effort!K248+Aide!I248+Taux!J248</f>
        <v>0</v>
      </c>
      <c r="I254" s="605">
        <f t="shared" si="9"/>
        <v>-5185000.1315236948</v>
      </c>
      <c r="J254" s="624">
        <f t="shared" si="10"/>
        <v>2431673.5120874126</v>
      </c>
      <c r="K254" s="626">
        <f t="shared" si="11"/>
        <v>-2753326.6194362822</v>
      </c>
    </row>
    <row r="255" spans="1:11" x14ac:dyDescent="0.25">
      <c r="A255" s="37">
        <f>Données!A249</f>
        <v>5842</v>
      </c>
      <c r="B255" s="26" t="str">
        <f>Données!B249</f>
        <v>Rossinière</v>
      </c>
      <c r="C255" s="611">
        <f>Ecrêtage!C249</f>
        <v>15883.310411522634</v>
      </c>
      <c r="D255" s="604">
        <f>Données!Z249</f>
        <v>499</v>
      </c>
      <c r="E255" s="610">
        <f>Population!K252</f>
        <v>-66328.345070422525</v>
      </c>
      <c r="F255" s="604">
        <f>Solidarité!I249</f>
        <v>-237374.32919354588</v>
      </c>
      <c r="G255" s="610">
        <f>+DT!O249</f>
        <v>-450247.08066054119</v>
      </c>
      <c r="H255" s="604">
        <f>Effort!K249+Aide!I249+Taux!J249</f>
        <v>0</v>
      </c>
      <c r="I255" s="605">
        <f t="shared" si="9"/>
        <v>-753949.75492450967</v>
      </c>
      <c r="J255" s="624">
        <f t="shared" si="10"/>
        <v>311623.47310957848</v>
      </c>
      <c r="K255" s="626">
        <f t="shared" si="11"/>
        <v>-442326.28181493119</v>
      </c>
    </row>
    <row r="256" spans="1:11" x14ac:dyDescent="0.25">
      <c r="A256" s="37">
        <f>Données!A250</f>
        <v>5843</v>
      </c>
      <c r="B256" s="26" t="str">
        <f>Données!B250</f>
        <v>Rougemont</v>
      </c>
      <c r="C256" s="611">
        <f>Ecrêtage!C250</f>
        <v>87174.419831223626</v>
      </c>
      <c r="D256" s="604">
        <f>Données!Z250</f>
        <v>812</v>
      </c>
      <c r="E256" s="610">
        <f>Population!K253</f>
        <v>-107933.09859154928</v>
      </c>
      <c r="F256" s="604">
        <f>Solidarité!I250</f>
        <v>0</v>
      </c>
      <c r="G256" s="610">
        <f>+DT!O250</f>
        <v>-230970.45653622813</v>
      </c>
      <c r="H256" s="604">
        <f>Effort!K250+Aide!I250+Taux!J250</f>
        <v>0</v>
      </c>
      <c r="I256" s="605">
        <f t="shared" si="9"/>
        <v>-338903.55512777739</v>
      </c>
      <c r="J256" s="624">
        <f t="shared" si="10"/>
        <v>1710323.2745744861</v>
      </c>
      <c r="K256" s="626">
        <f t="shared" si="11"/>
        <v>1371419.7194467087</v>
      </c>
    </row>
    <row r="257" spans="1:11" x14ac:dyDescent="0.25">
      <c r="A257" s="37">
        <f>Données!A251</f>
        <v>5851</v>
      </c>
      <c r="B257" s="26" t="str">
        <f>Données!B251</f>
        <v>Allaman</v>
      </c>
      <c r="C257" s="611">
        <f>Ecrêtage!C251</f>
        <v>27728.701333333334</v>
      </c>
      <c r="D257" s="604">
        <f>Données!Z251</f>
        <v>430</v>
      </c>
      <c r="E257" s="610">
        <f>Population!K254</f>
        <v>-57156.690140845065</v>
      </c>
      <c r="F257" s="604">
        <f>Solidarité!I251</f>
        <v>0</v>
      </c>
      <c r="G257" s="610">
        <f>+DT!O251</f>
        <v>0</v>
      </c>
      <c r="H257" s="604">
        <f>Effort!K251+Aide!I251+Taux!J251</f>
        <v>0</v>
      </c>
      <c r="I257" s="605">
        <f t="shared" si="9"/>
        <v>-57156.690140845065</v>
      </c>
      <c r="J257" s="624">
        <f t="shared" si="10"/>
        <v>544024.7650164247</v>
      </c>
      <c r="K257" s="626">
        <f t="shared" si="11"/>
        <v>486868.07487557962</v>
      </c>
    </row>
    <row r="258" spans="1:11" x14ac:dyDescent="0.25">
      <c r="A258" s="37">
        <f>Données!A252</f>
        <v>5852</v>
      </c>
      <c r="B258" s="26" t="str">
        <f>Données!B252</f>
        <v>Bursinel</v>
      </c>
      <c r="C258" s="611">
        <f>Ecrêtage!C252</f>
        <v>42943.776182795707</v>
      </c>
      <c r="D258" s="604">
        <f>Données!Z252</f>
        <v>530</v>
      </c>
      <c r="E258" s="610">
        <f>Population!K255</f>
        <v>-70448.943661971818</v>
      </c>
      <c r="F258" s="604">
        <f>Solidarité!I252</f>
        <v>0</v>
      </c>
      <c r="G258" s="610">
        <f>+DT!O252</f>
        <v>0</v>
      </c>
      <c r="H258" s="604">
        <f>Effort!K252+Aide!I252+Taux!J252</f>
        <v>0</v>
      </c>
      <c r="I258" s="605">
        <f t="shared" si="9"/>
        <v>-70448.943661971818</v>
      </c>
      <c r="J258" s="624">
        <f t="shared" si="10"/>
        <v>842537.75414569373</v>
      </c>
      <c r="K258" s="626">
        <f t="shared" si="11"/>
        <v>772088.8104837219</v>
      </c>
    </row>
    <row r="259" spans="1:11" x14ac:dyDescent="0.25">
      <c r="A259" s="37">
        <f>Données!A253</f>
        <v>5853</v>
      </c>
      <c r="B259" s="26" t="str">
        <f>Données!B253</f>
        <v>Bursins</v>
      </c>
      <c r="C259" s="611">
        <f>Ecrêtage!C253</f>
        <v>44996.737042253524</v>
      </c>
      <c r="D259" s="604">
        <f>Données!Z253</f>
        <v>825</v>
      </c>
      <c r="E259" s="610">
        <f>Population!K256</f>
        <v>-109661.09154929576</v>
      </c>
      <c r="F259" s="604">
        <f>Solidarité!I253</f>
        <v>0</v>
      </c>
      <c r="G259" s="610">
        <f>+DT!O253</f>
        <v>-26436.102551210162</v>
      </c>
      <c r="H259" s="604">
        <f>Effort!K253+Aide!I253+Taux!J253</f>
        <v>0</v>
      </c>
      <c r="I259" s="605">
        <f t="shared" si="9"/>
        <v>-136097.19410050591</v>
      </c>
      <c r="J259" s="624">
        <f t="shared" si="10"/>
        <v>882815.93146559049</v>
      </c>
      <c r="K259" s="626">
        <f t="shared" si="11"/>
        <v>746718.73736508458</v>
      </c>
    </row>
    <row r="260" spans="1:11" x14ac:dyDescent="0.25">
      <c r="A260" s="37">
        <f>Données!A254</f>
        <v>5854</v>
      </c>
      <c r="B260" s="26" t="str">
        <f>Données!B254</f>
        <v>Burtigny</v>
      </c>
      <c r="C260" s="611">
        <f>Ecrêtage!C254</f>
        <v>16635.489777777777</v>
      </c>
      <c r="D260" s="604">
        <f>Données!Z254</f>
        <v>401</v>
      </c>
      <c r="E260" s="610">
        <f>Population!K257</f>
        <v>-53301.936619718304</v>
      </c>
      <c r="F260" s="604">
        <f>Solidarité!I254</f>
        <v>-76476.202580701211</v>
      </c>
      <c r="G260" s="610">
        <f>+DT!O254</f>
        <v>-4356.3711385668867</v>
      </c>
      <c r="H260" s="604">
        <f>Effort!K254+Aide!I254+Taux!J254</f>
        <v>0</v>
      </c>
      <c r="I260" s="605">
        <f t="shared" si="9"/>
        <v>-134134.51033898641</v>
      </c>
      <c r="J260" s="624">
        <f t="shared" si="10"/>
        <v>326380.89712515048</v>
      </c>
      <c r="K260" s="626">
        <f t="shared" si="11"/>
        <v>192246.38678616408</v>
      </c>
    </row>
    <row r="261" spans="1:11" x14ac:dyDescent="0.25">
      <c r="A261" s="37">
        <f>Données!A255</f>
        <v>5855</v>
      </c>
      <c r="B261" s="26" t="str">
        <f>Données!B255</f>
        <v>Dully</v>
      </c>
      <c r="C261" s="611">
        <f>Ecrêtage!C255</f>
        <v>98996.558301886791</v>
      </c>
      <c r="D261" s="604">
        <f>Données!Z255</f>
        <v>623</v>
      </c>
      <c r="E261" s="610">
        <f>Population!K258</f>
        <v>-82810.739436619711</v>
      </c>
      <c r="F261" s="604">
        <f>Solidarité!I255</f>
        <v>0</v>
      </c>
      <c r="G261" s="610">
        <f>+DT!O255</f>
        <v>0</v>
      </c>
      <c r="H261" s="604">
        <f>Effort!K255+Aide!I255+Taux!J255</f>
        <v>0</v>
      </c>
      <c r="I261" s="605">
        <f t="shared" si="9"/>
        <v>-82810.739436619711</v>
      </c>
      <c r="J261" s="624">
        <f t="shared" si="10"/>
        <v>1942268.3637504678</v>
      </c>
      <c r="K261" s="626">
        <f t="shared" si="11"/>
        <v>1859457.6243138481</v>
      </c>
    </row>
    <row r="262" spans="1:11" x14ac:dyDescent="0.25">
      <c r="A262" s="37">
        <f>Données!A256</f>
        <v>5856</v>
      </c>
      <c r="B262" s="26" t="str">
        <f>Données!B256</f>
        <v>Essertines-sur-Rolle</v>
      </c>
      <c r="C262" s="611">
        <f>Ecrêtage!C256</f>
        <v>36628.421873915555</v>
      </c>
      <c r="D262" s="604">
        <f>Données!Z256</f>
        <v>789</v>
      </c>
      <c r="E262" s="610">
        <f>Population!K259</f>
        <v>-104875.88028169013</v>
      </c>
      <c r="F262" s="604">
        <f>Solidarité!I256</f>
        <v>-49403.659262973975</v>
      </c>
      <c r="G262" s="610">
        <f>+DT!O256</f>
        <v>0</v>
      </c>
      <c r="H262" s="604">
        <f>Effort!K256+Aide!I256+Taux!J256</f>
        <v>0</v>
      </c>
      <c r="I262" s="605">
        <f t="shared" si="9"/>
        <v>-154279.53954466409</v>
      </c>
      <c r="J262" s="624">
        <f t="shared" si="10"/>
        <v>718633.31655294425</v>
      </c>
      <c r="K262" s="626">
        <f t="shared" si="11"/>
        <v>564353.77700828016</v>
      </c>
    </row>
    <row r="263" spans="1:11" x14ac:dyDescent="0.25">
      <c r="A263" s="37">
        <f>Données!A257</f>
        <v>5857</v>
      </c>
      <c r="B263" s="26" t="str">
        <f>Données!B257</f>
        <v>Gilly</v>
      </c>
      <c r="C263" s="611">
        <f>Ecrêtage!C257</f>
        <v>96678.753643410862</v>
      </c>
      <c r="D263" s="604">
        <f>Données!Z257</f>
        <v>1441</v>
      </c>
      <c r="E263" s="610">
        <f>Population!K260</f>
        <v>-297055.28169014084</v>
      </c>
      <c r="F263" s="604">
        <f>Solidarité!I257</f>
        <v>0</v>
      </c>
      <c r="G263" s="610">
        <f>+DT!O257</f>
        <v>0</v>
      </c>
      <c r="H263" s="604">
        <f>Effort!K257+Aide!I257+Taux!J257</f>
        <v>0</v>
      </c>
      <c r="I263" s="605">
        <f t="shared" si="9"/>
        <v>-297055.28169014084</v>
      </c>
      <c r="J263" s="624">
        <f t="shared" si="10"/>
        <v>1896794.0691009189</v>
      </c>
      <c r="K263" s="626">
        <f t="shared" si="11"/>
        <v>1599738.787410778</v>
      </c>
    </row>
    <row r="264" spans="1:11" x14ac:dyDescent="0.25">
      <c r="A264" s="37">
        <f>Données!A258</f>
        <v>5858</v>
      </c>
      <c r="B264" s="26" t="str">
        <f>Données!B258</f>
        <v>Luins</v>
      </c>
      <c r="C264" s="611">
        <f>Ecrêtage!C258</f>
        <v>41203.097378917373</v>
      </c>
      <c r="D264" s="604">
        <f>Données!Z258</f>
        <v>637</v>
      </c>
      <c r="E264" s="610">
        <f>Population!K261</f>
        <v>-84671.654929577446</v>
      </c>
      <c r="F264" s="604">
        <f>Solidarité!I258</f>
        <v>0</v>
      </c>
      <c r="G264" s="610">
        <f>+DT!O258</f>
        <v>0</v>
      </c>
      <c r="H264" s="604">
        <f>Effort!K258+Aide!I258+Taux!J258</f>
        <v>0</v>
      </c>
      <c r="I264" s="605">
        <f t="shared" si="9"/>
        <v>-84671.654929577446</v>
      </c>
      <c r="J264" s="624">
        <f t="shared" si="10"/>
        <v>808386.41161200637</v>
      </c>
      <c r="K264" s="626">
        <f t="shared" si="11"/>
        <v>723714.75668242888</v>
      </c>
    </row>
    <row r="265" spans="1:11" x14ac:dyDescent="0.25">
      <c r="A265" s="37">
        <f>Données!A259</f>
        <v>5859</v>
      </c>
      <c r="B265" s="26" t="str">
        <f>Données!B259</f>
        <v>Mont-sur-Rolle</v>
      </c>
      <c r="C265" s="611">
        <f>Ecrêtage!C259</f>
        <v>175152.20519685047</v>
      </c>
      <c r="D265" s="604">
        <f>Données!Z259</f>
        <v>2749</v>
      </c>
      <c r="E265" s="610">
        <f>Population!K262</f>
        <v>-783870.77464788733</v>
      </c>
      <c r="F265" s="604">
        <f>Solidarité!I259</f>
        <v>0</v>
      </c>
      <c r="G265" s="610">
        <f>+DT!O259</f>
        <v>0</v>
      </c>
      <c r="H265" s="604">
        <f>Effort!K259+Aide!I259+Taux!J259</f>
        <v>0</v>
      </c>
      <c r="I265" s="605">
        <f t="shared" si="9"/>
        <v>-783870.77464788733</v>
      </c>
      <c r="J265" s="624">
        <f t="shared" si="10"/>
        <v>3436408.2229764666</v>
      </c>
      <c r="K265" s="626">
        <f t="shared" si="11"/>
        <v>2652537.4483285793</v>
      </c>
    </row>
    <row r="266" spans="1:11" x14ac:dyDescent="0.25">
      <c r="A266" s="37">
        <f>Données!A260</f>
        <v>5860</v>
      </c>
      <c r="B266" s="26" t="str">
        <f>Données!B260</f>
        <v>Perroy</v>
      </c>
      <c r="C266" s="611">
        <f>Ecrêtage!C260</f>
        <v>114833.15061143985</v>
      </c>
      <c r="D266" s="604">
        <f>Données!Z260</f>
        <v>1588</v>
      </c>
      <c r="E266" s="610">
        <f>Population!K263</f>
        <v>-351766.19718309853</v>
      </c>
      <c r="F266" s="604">
        <f>Solidarité!I260</f>
        <v>0</v>
      </c>
      <c r="G266" s="610">
        <f>+DT!O260</f>
        <v>0</v>
      </c>
      <c r="H266" s="604">
        <f>Effort!K260+Aide!I260+Taux!J260</f>
        <v>0</v>
      </c>
      <c r="I266" s="605">
        <f t="shared" si="9"/>
        <v>-351766.19718309853</v>
      </c>
      <c r="J266" s="624">
        <f t="shared" si="10"/>
        <v>2252975.2485156995</v>
      </c>
      <c r="K266" s="626">
        <f t="shared" si="11"/>
        <v>1901209.0513326009</v>
      </c>
    </row>
    <row r="267" spans="1:11" x14ac:dyDescent="0.25">
      <c r="A267" s="37">
        <f>Données!A261</f>
        <v>5861</v>
      </c>
      <c r="B267" s="26" t="str">
        <f>Données!B261</f>
        <v>Rolle</v>
      </c>
      <c r="C267" s="611">
        <f>Ecrêtage!C261</f>
        <v>1001631.7391596638</v>
      </c>
      <c r="D267" s="604">
        <f>Données!Z261</f>
        <v>6537</v>
      </c>
      <c r="E267" s="610">
        <f>Population!K264</f>
        <v>-2921318.3098591547</v>
      </c>
      <c r="F267" s="604">
        <f>Solidarité!I261</f>
        <v>0</v>
      </c>
      <c r="G267" s="610">
        <f>+DT!O261</f>
        <v>0</v>
      </c>
      <c r="H267" s="604">
        <f>Effort!K261+Aide!I261+Taux!J261</f>
        <v>0</v>
      </c>
      <c r="I267" s="605">
        <f t="shared" si="9"/>
        <v>-2921318.3098591547</v>
      </c>
      <c r="J267" s="624">
        <f t="shared" si="10"/>
        <v>19651568.422870081</v>
      </c>
      <c r="K267" s="626">
        <f t="shared" si="11"/>
        <v>16730250.113010926</v>
      </c>
    </row>
    <row r="268" spans="1:11" x14ac:dyDescent="0.25">
      <c r="A268" s="37">
        <f>Données!A262</f>
        <v>5862</v>
      </c>
      <c r="B268" s="26" t="str">
        <f>Données!B262</f>
        <v>Tartegnin</v>
      </c>
      <c r="C268" s="611">
        <f>Ecrêtage!C262</f>
        <v>12378.270379746835</v>
      </c>
      <c r="D268" s="604">
        <f>Données!Z262</f>
        <v>238</v>
      </c>
      <c r="E268" s="610">
        <f>Population!K265</f>
        <v>-31635.563380281685</v>
      </c>
      <c r="F268" s="604">
        <f>Solidarité!I262</f>
        <v>0</v>
      </c>
      <c r="G268" s="610">
        <f>+DT!O262</f>
        <v>0</v>
      </c>
      <c r="H268" s="604">
        <f>Effort!K262+Aide!I262+Taux!J262</f>
        <v>0</v>
      </c>
      <c r="I268" s="605">
        <f t="shared" si="9"/>
        <v>-31635.563380281685</v>
      </c>
      <c r="J268" s="624">
        <f t="shared" si="10"/>
        <v>242856.14943518242</v>
      </c>
      <c r="K268" s="626">
        <f t="shared" si="11"/>
        <v>211220.58605490075</v>
      </c>
    </row>
    <row r="269" spans="1:11" x14ac:dyDescent="0.25">
      <c r="A269" s="37">
        <f>Données!A263</f>
        <v>5863</v>
      </c>
      <c r="B269" s="26" t="str">
        <f>Données!B263</f>
        <v>Vinzel</v>
      </c>
      <c r="C269" s="611">
        <f>Ecrêtage!C263</f>
        <v>20119.523999999998</v>
      </c>
      <c r="D269" s="604">
        <f>Données!Z263</f>
        <v>387</v>
      </c>
      <c r="E269" s="610">
        <f>Population!K266</f>
        <v>-51441.021126760555</v>
      </c>
      <c r="F269" s="604">
        <f>Solidarité!I263</f>
        <v>0</v>
      </c>
      <c r="G269" s="610">
        <f>+DT!O263</f>
        <v>0</v>
      </c>
      <c r="H269" s="604">
        <f>Effort!K263+Aide!I263+Taux!J263</f>
        <v>0</v>
      </c>
      <c r="I269" s="605">
        <f t="shared" ref="I269:I311" si="12">SUM(E269:H269)</f>
        <v>-51441.021126760555</v>
      </c>
      <c r="J269" s="624">
        <f t="shared" ref="J269:J311" si="13">C269*$J$11</f>
        <v>394736.09617571399</v>
      </c>
      <c r="K269" s="626">
        <f t="shared" ref="K269:K311" si="14">I269+J269</f>
        <v>343295.07504895341</v>
      </c>
    </row>
    <row r="270" spans="1:11" x14ac:dyDescent="0.25">
      <c r="A270" s="37">
        <f>Données!A264</f>
        <v>5871</v>
      </c>
      <c r="B270" s="26" t="str">
        <f>Données!B264</f>
        <v>L'Abbaye</v>
      </c>
      <c r="C270" s="611">
        <f>Ecrêtage!C264</f>
        <v>50137.027069032512</v>
      </c>
      <c r="D270" s="604">
        <f>Données!Z264</f>
        <v>1538</v>
      </c>
      <c r="E270" s="610">
        <f>Population!K267</f>
        <v>-333157.0422535211</v>
      </c>
      <c r="F270" s="604">
        <f>Solidarité!I264</f>
        <v>-636590.07404857292</v>
      </c>
      <c r="G270" s="610">
        <f>+DT!O264</f>
        <v>-251559.58532315394</v>
      </c>
      <c r="H270" s="604">
        <f>Effort!K264+Aide!I264+Taux!J264</f>
        <v>0</v>
      </c>
      <c r="I270" s="605">
        <f t="shared" si="12"/>
        <v>-1221306.701625248</v>
      </c>
      <c r="J270" s="624">
        <f t="shared" si="13"/>
        <v>983666.13141970942</v>
      </c>
      <c r="K270" s="626">
        <f t="shared" si="14"/>
        <v>-237640.57020553853</v>
      </c>
    </row>
    <row r="271" spans="1:11" x14ac:dyDescent="0.25">
      <c r="A271" s="37">
        <f>Données!A265</f>
        <v>5872</v>
      </c>
      <c r="B271" s="26" t="str">
        <f>Données!B265</f>
        <v>Le Chenit</v>
      </c>
      <c r="C271" s="611">
        <f>Ecrêtage!C265</f>
        <v>359580.06573194644</v>
      </c>
      <c r="D271" s="604">
        <f>Données!Z265</f>
        <v>4760</v>
      </c>
      <c r="E271" s="610">
        <f>Population!K268</f>
        <v>-1813063.3802816898</v>
      </c>
      <c r="F271" s="604">
        <f>Solidarité!I265</f>
        <v>0</v>
      </c>
      <c r="G271" s="610">
        <f>+DT!O265</f>
        <v>-205845.18247048886</v>
      </c>
      <c r="H271" s="604">
        <f>Effort!K265+Aide!I265+Taux!J265</f>
        <v>0</v>
      </c>
      <c r="I271" s="605">
        <f t="shared" si="12"/>
        <v>-2018908.5627521786</v>
      </c>
      <c r="J271" s="624">
        <f t="shared" si="13"/>
        <v>7054800.6707134414</v>
      </c>
      <c r="K271" s="626">
        <f t="shared" si="14"/>
        <v>5035892.1079612626</v>
      </c>
    </row>
    <row r="272" spans="1:11" x14ac:dyDescent="0.25">
      <c r="A272" s="37">
        <f>Données!A266</f>
        <v>5873</v>
      </c>
      <c r="B272" s="26" t="str">
        <f>Données!B266</f>
        <v>Le Lieu</v>
      </c>
      <c r="C272" s="611">
        <f>Ecrêtage!C266</f>
        <v>31550.524000000001</v>
      </c>
      <c r="D272" s="604">
        <f>Données!Z266</f>
        <v>925</v>
      </c>
      <c r="E272" s="610">
        <f>Population!K269</f>
        <v>-122953.34507042251</v>
      </c>
      <c r="F272" s="604">
        <f>Solidarité!I266</f>
        <v>-287338.75202162063</v>
      </c>
      <c r="G272" s="610">
        <f>+DT!O266</f>
        <v>-1562453.2827222999</v>
      </c>
      <c r="H272" s="604">
        <f>Effort!K266+Aide!I266+Taux!J266</f>
        <v>0</v>
      </c>
      <c r="I272" s="605">
        <f t="shared" si="12"/>
        <v>-1972745.3798143431</v>
      </c>
      <c r="J272" s="624">
        <f t="shared" si="13"/>
        <v>619007.22283778561</v>
      </c>
      <c r="K272" s="626">
        <f t="shared" si="14"/>
        <v>-1353738.1569765573</v>
      </c>
    </row>
    <row r="273" spans="1:11" x14ac:dyDescent="0.25">
      <c r="A273" s="37">
        <f>Données!A267</f>
        <v>5882</v>
      </c>
      <c r="B273" s="26" t="str">
        <f>Données!B267</f>
        <v>Chardonne</v>
      </c>
      <c r="C273" s="611">
        <f>Ecrêtage!C267</f>
        <v>202050.46544117649</v>
      </c>
      <c r="D273" s="604">
        <f>Données!Z267</f>
        <v>3340</v>
      </c>
      <c r="E273" s="610">
        <f>Population!K270</f>
        <v>-1058063.38028169</v>
      </c>
      <c r="F273" s="604">
        <f>Solidarité!I267</f>
        <v>0</v>
      </c>
      <c r="G273" s="610">
        <f>+DT!O267</f>
        <v>-282343.80617019668</v>
      </c>
      <c r="H273" s="604">
        <f>Effort!K267+Aide!I267+Taux!J267</f>
        <v>0</v>
      </c>
      <c r="I273" s="605">
        <f t="shared" si="12"/>
        <v>-1340407.1864518868</v>
      </c>
      <c r="J273" s="624">
        <f t="shared" si="13"/>
        <v>3964140.103848184</v>
      </c>
      <c r="K273" s="626">
        <f t="shared" si="14"/>
        <v>2623732.9173962972</v>
      </c>
    </row>
    <row r="274" spans="1:11" x14ac:dyDescent="0.25">
      <c r="A274" s="37">
        <f>Données!A268</f>
        <v>5883</v>
      </c>
      <c r="B274" s="26" t="str">
        <f>Données!B268</f>
        <v>Corseaux</v>
      </c>
      <c r="C274" s="611">
        <f>Ecrêtage!C268</f>
        <v>187748.47585185184</v>
      </c>
      <c r="D274" s="604">
        <f>Données!Z268</f>
        <v>2322</v>
      </c>
      <c r="E274" s="610">
        <f>Population!K271</f>
        <v>-624948.5915492957</v>
      </c>
      <c r="F274" s="604">
        <f>Solidarité!I268</f>
        <v>0</v>
      </c>
      <c r="G274" s="610">
        <f>+DT!O268</f>
        <v>0</v>
      </c>
      <c r="H274" s="604">
        <f>Effort!K268+Aide!I268+Taux!J268</f>
        <v>0</v>
      </c>
      <c r="I274" s="605">
        <f t="shared" si="12"/>
        <v>-624948.5915492957</v>
      </c>
      <c r="J274" s="624">
        <f t="shared" si="13"/>
        <v>3683541.4406772405</v>
      </c>
      <c r="K274" s="626">
        <f t="shared" si="14"/>
        <v>3058592.8491279446</v>
      </c>
    </row>
    <row r="275" spans="1:11" x14ac:dyDescent="0.25">
      <c r="A275" s="37">
        <f>Données!A269</f>
        <v>5884</v>
      </c>
      <c r="B275" s="26" t="str">
        <f>Données!B269</f>
        <v>Corsier-sur-Vevey</v>
      </c>
      <c r="C275" s="611">
        <f>Ecrêtage!C269</f>
        <v>160309.28653746771</v>
      </c>
      <c r="D275" s="604">
        <f>Données!Z269</f>
        <v>3389</v>
      </c>
      <c r="E275" s="610">
        <f>Population!K272</f>
        <v>-1084116.1971830984</v>
      </c>
      <c r="F275" s="604">
        <f>Solidarité!I269</f>
        <v>-150085.83730403477</v>
      </c>
      <c r="G275" s="610">
        <f>+DT!O269</f>
        <v>-1325061.6115580825</v>
      </c>
      <c r="H275" s="604">
        <f>Effort!K269+Aide!I269+Taux!J269</f>
        <v>0</v>
      </c>
      <c r="I275" s="605">
        <f t="shared" si="12"/>
        <v>-2559263.6460452154</v>
      </c>
      <c r="J275" s="624">
        <f t="shared" si="13"/>
        <v>3145196.7724740384</v>
      </c>
      <c r="K275" s="626">
        <f t="shared" si="14"/>
        <v>585933.12642882299</v>
      </c>
    </row>
    <row r="276" spans="1:11" x14ac:dyDescent="0.25">
      <c r="A276" s="37">
        <f>Données!A270</f>
        <v>5885</v>
      </c>
      <c r="B276" s="26" t="str">
        <f>Données!B270</f>
        <v>Jongny</v>
      </c>
      <c r="C276" s="611">
        <f>Ecrêtage!C270</f>
        <v>105153.24390887292</v>
      </c>
      <c r="D276" s="604">
        <f>Données!Z270</f>
        <v>1921</v>
      </c>
      <c r="E276" s="610">
        <f>Population!K273</f>
        <v>-475703.16901408444</v>
      </c>
      <c r="F276" s="604">
        <f>Solidarité!I270</f>
        <v>0</v>
      </c>
      <c r="G276" s="610">
        <f>+DT!O270</f>
        <v>-135319.4362444788</v>
      </c>
      <c r="H276" s="604">
        <f>Effort!K270+Aide!I270+Taux!J270</f>
        <v>0</v>
      </c>
      <c r="I276" s="605">
        <f t="shared" si="12"/>
        <v>-611022.6052585633</v>
      </c>
      <c r="J276" s="624">
        <f t="shared" si="13"/>
        <v>2063059.7921104485</v>
      </c>
      <c r="K276" s="626">
        <f t="shared" si="14"/>
        <v>1452037.1868518852</v>
      </c>
    </row>
    <row r="277" spans="1:11" x14ac:dyDescent="0.25">
      <c r="A277" s="37">
        <f>Données!A271</f>
        <v>5886</v>
      </c>
      <c r="B277" s="26" t="str">
        <f>Données!B271</f>
        <v>Montreux</v>
      </c>
      <c r="C277" s="611">
        <f>Ecrêtage!C271</f>
        <v>1120945.0450256411</v>
      </c>
      <c r="D277" s="604">
        <f>Données!Z271</f>
        <v>26964</v>
      </c>
      <c r="E277" s="610">
        <f>Population!K274</f>
        <v>-23752938.028169014</v>
      </c>
      <c r="F277" s="604">
        <f>Solidarité!I271</f>
        <v>-3822937.4563588197</v>
      </c>
      <c r="G277" s="610">
        <f>+DT!O271</f>
        <v>-6669355.1964440178</v>
      </c>
      <c r="H277" s="604">
        <f>Effort!K271+Aide!I271+Taux!J271</f>
        <v>0</v>
      </c>
      <c r="I277" s="605">
        <f t="shared" si="12"/>
        <v>-34245230.680971853</v>
      </c>
      <c r="J277" s="624">
        <f t="shared" si="13"/>
        <v>21992442.321246348</v>
      </c>
      <c r="K277" s="626">
        <f t="shared" si="14"/>
        <v>-12252788.359725505</v>
      </c>
    </row>
    <row r="278" spans="1:11" x14ac:dyDescent="0.25">
      <c r="A278" s="37">
        <f>Données!A272</f>
        <v>5889</v>
      </c>
      <c r="B278" s="26" t="str">
        <f>Données!B272</f>
        <v>La Tour-de-Peilz</v>
      </c>
      <c r="C278" s="611">
        <f>Ecrêtage!C272</f>
        <v>728841.71013020864</v>
      </c>
      <c r="D278" s="604">
        <f>Données!Z272</f>
        <v>12812</v>
      </c>
      <c r="E278" s="610">
        <f>Population!K275</f>
        <v>-8067866.1971830986</v>
      </c>
      <c r="F278" s="604">
        <f>Solidarité!I272</f>
        <v>0</v>
      </c>
      <c r="G278" s="610">
        <f>+DT!O272</f>
        <v>-989630.02237050049</v>
      </c>
      <c r="H278" s="604">
        <f>Effort!K272+Aide!I272+Taux!J272</f>
        <v>0</v>
      </c>
      <c r="I278" s="605">
        <f t="shared" si="12"/>
        <v>-9057496.2195535991</v>
      </c>
      <c r="J278" s="624">
        <f t="shared" si="13"/>
        <v>14299549.601015905</v>
      </c>
      <c r="K278" s="626">
        <f t="shared" si="14"/>
        <v>5242053.3814623058</v>
      </c>
    </row>
    <row r="279" spans="1:11" x14ac:dyDescent="0.25">
      <c r="A279" s="37">
        <f>Données!A273</f>
        <v>5890</v>
      </c>
      <c r="B279" s="26" t="str">
        <f>Données!B273</f>
        <v>Vevey</v>
      </c>
      <c r="C279" s="611">
        <f>Ecrêtage!C273</f>
        <v>1064325.313736018</v>
      </c>
      <c r="D279" s="604">
        <f>Données!Z273</f>
        <v>20146</v>
      </c>
      <c r="E279" s="610">
        <f>Population!K276</f>
        <v>-16140304.929577462</v>
      </c>
      <c r="F279" s="604">
        <f>Solidarité!I273</f>
        <v>0</v>
      </c>
      <c r="G279" s="610">
        <f>+DT!O273</f>
        <v>-2989663.7064915118</v>
      </c>
      <c r="H279" s="604">
        <f>Effort!K273+Aide!I273+Taux!J273</f>
        <v>0</v>
      </c>
      <c r="I279" s="605">
        <f t="shared" si="12"/>
        <v>-19129968.636068974</v>
      </c>
      <c r="J279" s="624">
        <f t="shared" si="13"/>
        <v>20881588.421532627</v>
      </c>
      <c r="K279" s="626">
        <f t="shared" si="14"/>
        <v>1751619.7854636535</v>
      </c>
    </row>
    <row r="280" spans="1:11" x14ac:dyDescent="0.25">
      <c r="A280" s="37">
        <f>Données!A274</f>
        <v>5891</v>
      </c>
      <c r="B280" s="26" t="str">
        <f>Données!B274</f>
        <v>Veytaux</v>
      </c>
      <c r="C280" s="611">
        <f>Ecrêtage!C274</f>
        <v>41068.156987654322</v>
      </c>
      <c r="D280" s="604">
        <f>Données!Z274</f>
        <v>1043</v>
      </c>
      <c r="E280" s="610">
        <f>Population!K277</f>
        <v>-148926.40845070421</v>
      </c>
      <c r="F280" s="604">
        <f>Solidarité!I274</f>
        <v>-201208.49079196807</v>
      </c>
      <c r="G280" s="610">
        <f>+DT!O274</f>
        <v>-598795.15299835103</v>
      </c>
      <c r="H280" s="604">
        <f>Effort!K274+Aide!I274+Taux!J274</f>
        <v>0</v>
      </c>
      <c r="I280" s="605">
        <f t="shared" si="12"/>
        <v>-948930.05224102328</v>
      </c>
      <c r="J280" s="624">
        <f t="shared" si="13"/>
        <v>805738.94126113714</v>
      </c>
      <c r="K280" s="626">
        <f t="shared" si="14"/>
        <v>-143191.11097988614</v>
      </c>
    </row>
    <row r="281" spans="1:11" x14ac:dyDescent="0.25">
      <c r="A281" s="37">
        <f>Données!A275</f>
        <v>5892</v>
      </c>
      <c r="B281" s="26" t="str">
        <f>Données!B275</f>
        <v>Blonay - Saint-Légier</v>
      </c>
      <c r="C281" s="611">
        <f>Ecrêtage!C275</f>
        <v>755904.99576642353</v>
      </c>
      <c r="D281" s="604">
        <f>Données!Z275</f>
        <v>12463</v>
      </c>
      <c r="E281" s="610">
        <f>Population!K278</f>
        <v>-7696746.4788732389</v>
      </c>
      <c r="F281" s="604">
        <f>Solidarité!I275</f>
        <v>0</v>
      </c>
      <c r="G281" s="610">
        <f>+DT!O275</f>
        <v>-2500762.5223664879</v>
      </c>
      <c r="H281" s="604">
        <f>Effort!K275+Aide!I275+Taux!J275</f>
        <v>0</v>
      </c>
      <c r="I281" s="605">
        <f t="shared" si="12"/>
        <v>-10197509.001239726</v>
      </c>
      <c r="J281" s="624">
        <f t="shared" si="13"/>
        <v>14830519.206545725</v>
      </c>
      <c r="K281" s="626">
        <f t="shared" si="14"/>
        <v>4633010.2053059991</v>
      </c>
    </row>
    <row r="282" spans="1:11" x14ac:dyDescent="0.25">
      <c r="A282" s="37">
        <f>Données!A276</f>
        <v>5902</v>
      </c>
      <c r="B282" s="26" t="str">
        <f>Données!B276</f>
        <v>Belmont-sur-Yverdon</v>
      </c>
      <c r="C282" s="611">
        <f>Ecrêtage!C276</f>
        <v>12357.530428571426</v>
      </c>
      <c r="D282" s="604">
        <f>Données!Z276</f>
        <v>445</v>
      </c>
      <c r="E282" s="610">
        <f>Population!K279</f>
        <v>-59150.528169014076</v>
      </c>
      <c r="F282" s="604">
        <f>Solidarité!I276</f>
        <v>-193493.75077446279</v>
      </c>
      <c r="G282" s="610">
        <f>+DT!O276</f>
        <v>-23146.55833345198</v>
      </c>
      <c r="H282" s="604">
        <f>Effort!K276+Aide!I276+Taux!J276</f>
        <v>0</v>
      </c>
      <c r="I282" s="605">
        <f t="shared" si="12"/>
        <v>-275790.83727692888</v>
      </c>
      <c r="J282" s="624">
        <f t="shared" si="13"/>
        <v>242449.2408342704</v>
      </c>
      <c r="K282" s="626">
        <f t="shared" si="14"/>
        <v>-33341.596442658483</v>
      </c>
    </row>
    <row r="283" spans="1:11" x14ac:dyDescent="0.25">
      <c r="A283" s="37">
        <f>Données!A277</f>
        <v>5903</v>
      </c>
      <c r="B283" s="26" t="str">
        <f>Données!B277</f>
        <v>Bioley-Magnoux</v>
      </c>
      <c r="C283" s="611">
        <f>Ecrêtage!C277</f>
        <v>7020.1331746031747</v>
      </c>
      <c r="D283" s="604">
        <f>Données!Z277</f>
        <v>257</v>
      </c>
      <c r="E283" s="610">
        <f>Population!K280</f>
        <v>-34161.091549295772</v>
      </c>
      <c r="F283" s="604">
        <f>Solidarité!I277</f>
        <v>-120643.32670162409</v>
      </c>
      <c r="G283" s="610">
        <f>+DT!O277</f>
        <v>-202888.09259240289</v>
      </c>
      <c r="H283" s="604">
        <f>Effort!K277+Aide!I277+Taux!J277</f>
        <v>0</v>
      </c>
      <c r="I283" s="605">
        <f t="shared" si="12"/>
        <v>-357692.51084332273</v>
      </c>
      <c r="J283" s="624">
        <f t="shared" si="13"/>
        <v>137731.88490823537</v>
      </c>
      <c r="K283" s="626">
        <f t="shared" si="14"/>
        <v>-219960.62593508736</v>
      </c>
    </row>
    <row r="284" spans="1:11" x14ac:dyDescent="0.25">
      <c r="A284" s="37">
        <f>Données!A278</f>
        <v>5904</v>
      </c>
      <c r="B284" s="26" t="str">
        <f>Données!B278</f>
        <v>Chamblon</v>
      </c>
      <c r="C284" s="611">
        <f>Ecrêtage!C278</f>
        <v>17094.436818181817</v>
      </c>
      <c r="D284" s="604">
        <f>Données!Z278</f>
        <v>554</v>
      </c>
      <c r="E284" s="610">
        <f>Population!K281</f>
        <v>-73639.084507042237</v>
      </c>
      <c r="F284" s="604">
        <f>Solidarité!I278</f>
        <v>-184365.08665386506</v>
      </c>
      <c r="G284" s="610">
        <f>+DT!O278</f>
        <v>-5123.3384652806535</v>
      </c>
      <c r="H284" s="604">
        <f>Effort!K278+Aide!I278+Taux!J278</f>
        <v>0</v>
      </c>
      <c r="I284" s="605">
        <f t="shared" si="12"/>
        <v>-263127.50962618797</v>
      </c>
      <c r="J284" s="624">
        <f t="shared" si="13"/>
        <v>335385.23356375057</v>
      </c>
      <c r="K284" s="626">
        <f t="shared" si="14"/>
        <v>72257.723937562609</v>
      </c>
    </row>
    <row r="285" spans="1:11" x14ac:dyDescent="0.25">
      <c r="A285" s="37">
        <f>Données!A279</f>
        <v>5905</v>
      </c>
      <c r="B285" s="26" t="str">
        <f>Données!B279</f>
        <v>Champvent</v>
      </c>
      <c r="C285" s="611">
        <f>Ecrêtage!C279</f>
        <v>21074.306571428569</v>
      </c>
      <c r="D285" s="604">
        <f>Données!Z279</f>
        <v>725</v>
      </c>
      <c r="E285" s="610">
        <f>Population!K282</f>
        <v>-96368.838028169004</v>
      </c>
      <c r="F285" s="604">
        <f>Solidarité!I279</f>
        <v>-296803.36026398308</v>
      </c>
      <c r="G285" s="610">
        <f>+DT!O279</f>
        <v>-115653.48540109258</v>
      </c>
      <c r="H285" s="604">
        <f>Effort!K279+Aide!I279+Taux!J279</f>
        <v>0</v>
      </c>
      <c r="I285" s="605">
        <f t="shared" si="12"/>
        <v>-508825.68369324465</v>
      </c>
      <c r="J285" s="624">
        <f t="shared" si="13"/>
        <v>413468.50480239547</v>
      </c>
      <c r="K285" s="626">
        <f t="shared" si="14"/>
        <v>-95357.178890849173</v>
      </c>
    </row>
    <row r="286" spans="1:11" x14ac:dyDescent="0.25">
      <c r="A286" s="37">
        <f>Données!A280</f>
        <v>5907</v>
      </c>
      <c r="B286" s="26" t="str">
        <f>Données!B280</f>
        <v>Chavannes-le-Chêne</v>
      </c>
      <c r="C286" s="611">
        <f>Ecrêtage!C280</f>
        <v>7797.3521333333319</v>
      </c>
      <c r="D286" s="604">
        <f>Données!Z280</f>
        <v>322</v>
      </c>
      <c r="E286" s="610">
        <f>Population!K283</f>
        <v>-42801.05633802816</v>
      </c>
      <c r="F286" s="604">
        <f>Solidarité!I280</f>
        <v>-186465.50780329874</v>
      </c>
      <c r="G286" s="610">
        <f>+DT!O280</f>
        <v>-69627.793384307864</v>
      </c>
      <c r="H286" s="604">
        <f>Effort!K280+Aide!I280+Taux!J280</f>
        <v>0</v>
      </c>
      <c r="I286" s="605">
        <f t="shared" si="12"/>
        <v>-298894.35752563475</v>
      </c>
      <c r="J286" s="624">
        <f t="shared" si="13"/>
        <v>152980.57457121625</v>
      </c>
      <c r="K286" s="626">
        <f t="shared" si="14"/>
        <v>-145913.78295441851</v>
      </c>
    </row>
    <row r="287" spans="1:11" x14ac:dyDescent="0.25">
      <c r="A287" s="37">
        <f>Données!A281</f>
        <v>5908</v>
      </c>
      <c r="B287" s="26" t="str">
        <f>Données!B281</f>
        <v>Chêne-Pâquier</v>
      </c>
      <c r="C287" s="611">
        <f>Ecrêtage!C281</f>
        <v>5664.0389333333333</v>
      </c>
      <c r="D287" s="604">
        <f>Données!Z281</f>
        <v>173</v>
      </c>
      <c r="E287" s="610">
        <f>Population!K284</f>
        <v>-22995.598591549293</v>
      </c>
      <c r="F287" s="604">
        <f>Solidarité!I281</f>
        <v>-67015.921801631004</v>
      </c>
      <c r="G287" s="610">
        <f>+DT!O281</f>
        <v>-26031.79721055146</v>
      </c>
      <c r="H287" s="604">
        <f>Effort!K281+Aide!I281+Taux!J281</f>
        <v>0</v>
      </c>
      <c r="I287" s="605">
        <f t="shared" si="12"/>
        <v>-116043.31760373176</v>
      </c>
      <c r="J287" s="624">
        <f t="shared" si="13"/>
        <v>111125.92013266594</v>
      </c>
      <c r="K287" s="626">
        <f t="shared" si="14"/>
        <v>-4917.3974710658222</v>
      </c>
    </row>
    <row r="288" spans="1:11" x14ac:dyDescent="0.25">
      <c r="A288" s="37">
        <f>Données!A282</f>
        <v>5909</v>
      </c>
      <c r="B288" s="26" t="str">
        <f>Données!B282</f>
        <v>Cheseaux-Noréaz</v>
      </c>
      <c r="C288" s="611">
        <f>Ecrêtage!C282</f>
        <v>31504.478358208951</v>
      </c>
      <c r="D288" s="604">
        <f>Données!Z282</f>
        <v>734</v>
      </c>
      <c r="E288" s="610">
        <f>Population!K285</f>
        <v>-97565.140845070404</v>
      </c>
      <c r="F288" s="604">
        <f>Solidarité!I282</f>
        <v>-92788.618885152231</v>
      </c>
      <c r="G288" s="610">
        <f>+DT!O282</f>
        <v>-97206.648074346071</v>
      </c>
      <c r="H288" s="604">
        <f>Effort!K282+Aide!I282+Taux!J282</f>
        <v>0</v>
      </c>
      <c r="I288" s="605">
        <f t="shared" si="12"/>
        <v>-287560.40780456871</v>
      </c>
      <c r="J288" s="624">
        <f t="shared" si="13"/>
        <v>618103.82786251162</v>
      </c>
      <c r="K288" s="626">
        <f t="shared" si="14"/>
        <v>330543.42005794292</v>
      </c>
    </row>
    <row r="289" spans="1:11" x14ac:dyDescent="0.25">
      <c r="A289" s="37">
        <f>Données!A283</f>
        <v>5910</v>
      </c>
      <c r="B289" s="26" t="str">
        <f>Données!B283</f>
        <v>Cronay</v>
      </c>
      <c r="C289" s="611">
        <f>Ecrêtage!C283</f>
        <v>11511.156533333333</v>
      </c>
      <c r="D289" s="604">
        <f>Données!Z283</f>
        <v>425</v>
      </c>
      <c r="E289" s="610">
        <f>Population!K286</f>
        <v>-56492.077464788723</v>
      </c>
      <c r="F289" s="604">
        <f>Solidarité!I283</f>
        <v>-218683.62272562648</v>
      </c>
      <c r="G289" s="610">
        <f>+DT!O283</f>
        <v>-142320.83427410066</v>
      </c>
      <c r="H289" s="604">
        <f>Effort!K283+Aide!I283+Taux!J283</f>
        <v>0</v>
      </c>
      <c r="I289" s="605">
        <f t="shared" si="12"/>
        <v>-417496.53446451586</v>
      </c>
      <c r="J289" s="624">
        <f t="shared" si="13"/>
        <v>225843.76213053378</v>
      </c>
      <c r="K289" s="626">
        <f t="shared" si="14"/>
        <v>-191652.77233398208</v>
      </c>
    </row>
    <row r="290" spans="1:11" x14ac:dyDescent="0.25">
      <c r="A290" s="37">
        <f>Données!A284</f>
        <v>5911</v>
      </c>
      <c r="B290" s="26" t="str">
        <f>Données!B284</f>
        <v>Cuarny</v>
      </c>
      <c r="C290" s="611">
        <f>Ecrêtage!C284</f>
        <v>7072.9457142857154</v>
      </c>
      <c r="D290" s="604">
        <f>Données!Z284</f>
        <v>241</v>
      </c>
      <c r="E290" s="610">
        <f>Population!K287</f>
        <v>-32034.330985915487</v>
      </c>
      <c r="F290" s="604">
        <f>Solidarité!I284</f>
        <v>-117779.10945556646</v>
      </c>
      <c r="G290" s="610">
        <f>+DT!O284</f>
        <v>-73207.44818170018</v>
      </c>
      <c r="H290" s="604">
        <f>Effort!K284+Aide!I284+Taux!J284</f>
        <v>0</v>
      </c>
      <c r="I290" s="605">
        <f t="shared" si="12"/>
        <v>-223020.88862318214</v>
      </c>
      <c r="J290" s="624">
        <f t="shared" si="13"/>
        <v>138768.04340499759</v>
      </c>
      <c r="K290" s="626">
        <f t="shared" si="14"/>
        <v>-84252.84521818455</v>
      </c>
    </row>
    <row r="291" spans="1:11" x14ac:dyDescent="0.25">
      <c r="A291" s="37">
        <f>Données!A285</f>
        <v>5912</v>
      </c>
      <c r="B291" s="26" t="str">
        <f>Données!B285</f>
        <v>Démoret</v>
      </c>
      <c r="C291" s="611">
        <f>Ecrêtage!C285</f>
        <v>4054.1132051282052</v>
      </c>
      <c r="D291" s="604">
        <f>Données!Z285</f>
        <v>172</v>
      </c>
      <c r="E291" s="610">
        <f>Population!K288</f>
        <v>-22862.676056338023</v>
      </c>
      <c r="F291" s="604">
        <f>Solidarité!I285</f>
        <v>-110428.56038697546</v>
      </c>
      <c r="G291" s="610">
        <f>+DT!O285</f>
        <v>-38980.503536770928</v>
      </c>
      <c r="H291" s="604">
        <f>Effort!K285+Aide!I285+Taux!J285</f>
        <v>0</v>
      </c>
      <c r="I291" s="605">
        <f t="shared" si="12"/>
        <v>-172271.73998008441</v>
      </c>
      <c r="J291" s="624">
        <f t="shared" si="13"/>
        <v>79539.894683727092</v>
      </c>
      <c r="K291" s="626">
        <f t="shared" si="14"/>
        <v>-92731.845296357322</v>
      </c>
    </row>
    <row r="292" spans="1:11" x14ac:dyDescent="0.25">
      <c r="A292" s="37">
        <f>Données!A286</f>
        <v>5913</v>
      </c>
      <c r="B292" s="26" t="str">
        <f>Données!B286</f>
        <v>Donneloye</v>
      </c>
      <c r="C292" s="611">
        <f>Ecrêtage!C286</f>
        <v>21866.794931506847</v>
      </c>
      <c r="D292" s="604">
        <f>Données!Z286</f>
        <v>917</v>
      </c>
      <c r="E292" s="610">
        <f>Population!K289</f>
        <v>-121889.96478873238</v>
      </c>
      <c r="F292" s="604">
        <f>Solidarité!I286</f>
        <v>-510294.08806359512</v>
      </c>
      <c r="G292" s="610">
        <f>+DT!O286</f>
        <v>-84262.122609228376</v>
      </c>
      <c r="H292" s="604">
        <f>Effort!K286+Aide!I286+Taux!J286</f>
        <v>0</v>
      </c>
      <c r="I292" s="605">
        <f t="shared" si="12"/>
        <v>-716446.17546155583</v>
      </c>
      <c r="J292" s="624">
        <f t="shared" si="13"/>
        <v>429016.77331620286</v>
      </c>
      <c r="K292" s="626">
        <f t="shared" si="14"/>
        <v>-287429.40214535297</v>
      </c>
    </row>
    <row r="293" spans="1:11" x14ac:dyDescent="0.25">
      <c r="A293" s="37">
        <f>Données!A287</f>
        <v>5914</v>
      </c>
      <c r="B293" s="26" t="str">
        <f>Données!B287</f>
        <v>Ependes</v>
      </c>
      <c r="C293" s="611">
        <f>Ecrêtage!C287</f>
        <v>10606.318639455782</v>
      </c>
      <c r="D293" s="604">
        <f>Données!Z287</f>
        <v>381</v>
      </c>
      <c r="E293" s="610">
        <f>Population!K290</f>
        <v>-50643.485915492951</v>
      </c>
      <c r="F293" s="604">
        <f>Solidarité!I287</f>
        <v>-182083.48943566199</v>
      </c>
      <c r="G293" s="610">
        <f>+DT!O287</f>
        <v>-74858.226423700195</v>
      </c>
      <c r="H293" s="604">
        <f>Effort!K287+Aide!I287+Taux!J287</f>
        <v>0</v>
      </c>
      <c r="I293" s="605">
        <f t="shared" si="12"/>
        <v>-307585.20177485514</v>
      </c>
      <c r="J293" s="624">
        <f t="shared" si="13"/>
        <v>208091.24582343429</v>
      </c>
      <c r="K293" s="626">
        <f t="shared" si="14"/>
        <v>-99493.955951420852</v>
      </c>
    </row>
    <row r="294" spans="1:11" x14ac:dyDescent="0.25">
      <c r="A294" s="37">
        <f>Données!A288</f>
        <v>5919</v>
      </c>
      <c r="B294" s="26" t="str">
        <f>Données!B288</f>
        <v>Mathod</v>
      </c>
      <c r="C294" s="611">
        <f>Ecrêtage!C288</f>
        <v>21430.97550925926</v>
      </c>
      <c r="D294" s="604">
        <f>Données!Z288</f>
        <v>725</v>
      </c>
      <c r="E294" s="610">
        <f>Population!K291</f>
        <v>-96368.838028169004</v>
      </c>
      <c r="F294" s="604">
        <f>Solidarité!I288</f>
        <v>-306613.66576026735</v>
      </c>
      <c r="G294" s="610">
        <f>+DT!O288</f>
        <v>-154245.41205893405</v>
      </c>
      <c r="H294" s="604">
        <f>Effort!K288+Aide!I288+Taux!J288</f>
        <v>0</v>
      </c>
      <c r="I294" s="605">
        <f t="shared" si="12"/>
        <v>-557227.9158473704</v>
      </c>
      <c r="J294" s="624">
        <f t="shared" si="13"/>
        <v>420466.19044080446</v>
      </c>
      <c r="K294" s="626">
        <f t="shared" si="14"/>
        <v>-136761.72540656594</v>
      </c>
    </row>
    <row r="295" spans="1:11" x14ac:dyDescent="0.25">
      <c r="A295" s="37">
        <f>Données!A289</f>
        <v>5921</v>
      </c>
      <c r="B295" s="26" t="str">
        <f>Données!B289</f>
        <v>Molondin</v>
      </c>
      <c r="C295" s="611">
        <f>Ecrêtage!C289</f>
        <v>8425.9467901234584</v>
      </c>
      <c r="D295" s="604">
        <f>Données!Z289</f>
        <v>269</v>
      </c>
      <c r="E295" s="610">
        <f>Population!K292</f>
        <v>-35756.161971830981</v>
      </c>
      <c r="F295" s="604">
        <f>Solidarité!I289</f>
        <v>-131541.17185178865</v>
      </c>
      <c r="G295" s="610">
        <f>+DT!O289</f>
        <v>-18805.739657012895</v>
      </c>
      <c r="H295" s="604">
        <f>Effort!K289+Aide!I289+Taux!J289</f>
        <v>0</v>
      </c>
      <c r="I295" s="605">
        <f t="shared" si="12"/>
        <v>-186103.07348063253</v>
      </c>
      <c r="J295" s="624">
        <f t="shared" si="13"/>
        <v>165313.32165301836</v>
      </c>
      <c r="K295" s="626">
        <f t="shared" si="14"/>
        <v>-20789.751827614178</v>
      </c>
    </row>
    <row r="296" spans="1:11" x14ac:dyDescent="0.25">
      <c r="A296" s="37">
        <f>Données!A290</f>
        <v>5922</v>
      </c>
      <c r="B296" s="26" t="str">
        <f>Données!B290</f>
        <v>Montagny-près-Yverdon</v>
      </c>
      <c r="C296" s="611">
        <f>Ecrêtage!C290</f>
        <v>40785.058217054269</v>
      </c>
      <c r="D296" s="604">
        <f>Données!Z290</f>
        <v>783</v>
      </c>
      <c r="E296" s="610">
        <f>Population!K293</f>
        <v>-104078.34507042253</v>
      </c>
      <c r="F296" s="604">
        <f>Solidarité!I290</f>
        <v>0</v>
      </c>
      <c r="G296" s="610">
        <f>+DT!O290</f>
        <v>-176036.96740894535</v>
      </c>
      <c r="H296" s="604">
        <f>Effort!K290+Aide!I290+Taux!J290</f>
        <v>0</v>
      </c>
      <c r="I296" s="605">
        <f t="shared" si="12"/>
        <v>-280115.31247936789</v>
      </c>
      <c r="J296" s="624">
        <f t="shared" si="13"/>
        <v>800184.66952295846</v>
      </c>
      <c r="K296" s="626">
        <f t="shared" si="14"/>
        <v>520069.35704359057</v>
      </c>
    </row>
    <row r="297" spans="1:11" x14ac:dyDescent="0.25">
      <c r="A297" s="37">
        <f>Données!A291</f>
        <v>5923</v>
      </c>
      <c r="B297" s="26" t="str">
        <f>Données!B291</f>
        <v>Oppens</v>
      </c>
      <c r="C297" s="611">
        <f>Ecrêtage!C291</f>
        <v>5683.6511392405064</v>
      </c>
      <c r="D297" s="604">
        <f>Données!Z291</f>
        <v>202</v>
      </c>
      <c r="E297" s="610">
        <f>Population!K294</f>
        <v>-26850.352112676053</v>
      </c>
      <c r="F297" s="604">
        <f>Solidarité!I291</f>
        <v>-110020.1763704402</v>
      </c>
      <c r="G297" s="610">
        <f>+DT!O291</f>
        <v>-113444.61885867536</v>
      </c>
      <c r="H297" s="604">
        <f>Effort!K291+Aide!I291+Taux!J291</f>
        <v>0</v>
      </c>
      <c r="I297" s="605">
        <f t="shared" si="12"/>
        <v>-250315.1473417916</v>
      </c>
      <c r="J297" s="624">
        <f t="shared" si="13"/>
        <v>111510.70287390731</v>
      </c>
      <c r="K297" s="626">
        <f t="shared" si="14"/>
        <v>-138804.44446788428</v>
      </c>
    </row>
    <row r="298" spans="1:11" x14ac:dyDescent="0.25">
      <c r="A298" s="37">
        <f>Données!A292</f>
        <v>5924</v>
      </c>
      <c r="B298" s="26" t="str">
        <f>Données!B292</f>
        <v>Orges</v>
      </c>
      <c r="C298" s="611">
        <f>Ecrêtage!C292</f>
        <v>13265.35135135135</v>
      </c>
      <c r="D298" s="604">
        <f>Données!Z292</f>
        <v>424</v>
      </c>
      <c r="E298" s="610">
        <f>Population!K295</f>
        <v>-56359.15492957746</v>
      </c>
      <c r="F298" s="604">
        <f>Solidarité!I292</f>
        <v>-173392.44529036499</v>
      </c>
      <c r="G298" s="610">
        <f>+DT!O292</f>
        <v>-91004.09833386731</v>
      </c>
      <c r="H298" s="604">
        <f>Effort!K292+Aide!I292+Taux!J292</f>
        <v>0</v>
      </c>
      <c r="I298" s="605">
        <f t="shared" si="12"/>
        <v>-320755.69855380978</v>
      </c>
      <c r="J298" s="624">
        <f t="shared" si="13"/>
        <v>260260.28283927913</v>
      </c>
      <c r="K298" s="626">
        <f t="shared" si="14"/>
        <v>-60495.415714530653</v>
      </c>
    </row>
    <row r="299" spans="1:11" x14ac:dyDescent="0.25">
      <c r="A299" s="37">
        <f>Données!A293</f>
        <v>5925</v>
      </c>
      <c r="B299" s="26" t="str">
        <f>Données!B293</f>
        <v>Orzens</v>
      </c>
      <c r="C299" s="611">
        <f>Ecrêtage!C293</f>
        <v>5055.3741772151898</v>
      </c>
      <c r="D299" s="604">
        <f>Données!Z293</f>
        <v>216</v>
      </c>
      <c r="E299" s="610">
        <f>Population!K296</f>
        <v>-28711.267605633799</v>
      </c>
      <c r="F299" s="604">
        <f>Solidarité!I293</f>
        <v>-143150.56466152266</v>
      </c>
      <c r="G299" s="610">
        <f>+DT!O293</f>
        <v>-6908.1508555824103</v>
      </c>
      <c r="H299" s="604">
        <f>Effort!K293+Aide!I293+Taux!J293</f>
        <v>0</v>
      </c>
      <c r="I299" s="605">
        <f t="shared" si="12"/>
        <v>-178769.98312273886</v>
      </c>
      <c r="J299" s="624">
        <f t="shared" si="13"/>
        <v>99184.188821834774</v>
      </c>
      <c r="K299" s="626">
        <f t="shared" si="14"/>
        <v>-79585.79430090409</v>
      </c>
    </row>
    <row r="300" spans="1:11" x14ac:dyDescent="0.25">
      <c r="A300" s="37">
        <f>Données!A294</f>
        <v>5926</v>
      </c>
      <c r="B300" s="26" t="str">
        <f>Données!B294</f>
        <v>Pomy</v>
      </c>
      <c r="C300" s="611">
        <f>Ecrêtage!C294</f>
        <v>26646.407887323945</v>
      </c>
      <c r="D300" s="604">
        <f>Données!Z294</f>
        <v>877</v>
      </c>
      <c r="E300" s="610">
        <f>Population!K297</f>
        <v>-116573.06338028167</v>
      </c>
      <c r="F300" s="604">
        <f>Solidarité!I294</f>
        <v>-346108.16409090685</v>
      </c>
      <c r="G300" s="610">
        <f>+DT!O294</f>
        <v>-99522.377076775665</v>
      </c>
      <c r="H300" s="604">
        <f>Effort!K294+Aide!I294+Taux!J294</f>
        <v>0</v>
      </c>
      <c r="I300" s="605">
        <f t="shared" si="12"/>
        <v>-562203.60454796418</v>
      </c>
      <c r="J300" s="624">
        <f t="shared" si="13"/>
        <v>522790.6498457921</v>
      </c>
      <c r="K300" s="626">
        <f t="shared" si="14"/>
        <v>-39412.954702172079</v>
      </c>
    </row>
    <row r="301" spans="1:11" x14ac:dyDescent="0.25">
      <c r="A301" s="37">
        <f>Données!A295</f>
        <v>5928</v>
      </c>
      <c r="B301" s="26" t="str">
        <f>Données!B295</f>
        <v>Rovray</v>
      </c>
      <c r="C301" s="611">
        <f>Ecrêtage!C295</f>
        <v>5997.0809589041082</v>
      </c>
      <c r="D301" s="604">
        <f>Données!Z295</f>
        <v>195</v>
      </c>
      <c r="E301" s="610">
        <f>Population!K298</f>
        <v>-25919.894366197179</v>
      </c>
      <c r="F301" s="604">
        <f>Solidarité!I295</f>
        <v>-79813.463934284257</v>
      </c>
      <c r="G301" s="610">
        <f>+DT!O295</f>
        <v>-14178.460381114201</v>
      </c>
      <c r="H301" s="604">
        <f>Effort!K295+Aide!I295+Taux!J295</f>
        <v>0</v>
      </c>
      <c r="I301" s="605">
        <f t="shared" si="12"/>
        <v>-119911.81868159563</v>
      </c>
      <c r="J301" s="624">
        <f t="shared" si="13"/>
        <v>117660.05628003503</v>
      </c>
      <c r="K301" s="626">
        <f t="shared" si="14"/>
        <v>-2251.7624015605979</v>
      </c>
    </row>
    <row r="302" spans="1:11" x14ac:dyDescent="0.25">
      <c r="A302" s="37">
        <f>Données!A296</f>
        <v>5929</v>
      </c>
      <c r="B302" s="26" t="str">
        <f>Données!B296</f>
        <v>Suchy</v>
      </c>
      <c r="C302" s="611">
        <f>Ecrêtage!C296</f>
        <v>22958.537249999998</v>
      </c>
      <c r="D302" s="604">
        <f>Données!Z296</f>
        <v>670</v>
      </c>
      <c r="E302" s="610">
        <f>Population!K299</f>
        <v>-89058.098591549278</v>
      </c>
      <c r="F302" s="604">
        <f>Solidarité!I296</f>
        <v>-206055.27216579526</v>
      </c>
      <c r="G302" s="610">
        <f>+DT!O296</f>
        <v>-10359.102593298509</v>
      </c>
      <c r="H302" s="604">
        <f>Effort!K296+Aide!I296+Taux!J296</f>
        <v>0</v>
      </c>
      <c r="I302" s="605">
        <f t="shared" si="12"/>
        <v>-305472.47335064306</v>
      </c>
      <c r="J302" s="624">
        <f t="shared" si="13"/>
        <v>450436.27115481027</v>
      </c>
      <c r="K302" s="626">
        <f t="shared" si="14"/>
        <v>144963.7978041672</v>
      </c>
    </row>
    <row r="303" spans="1:11" x14ac:dyDescent="0.25">
      <c r="A303" s="37">
        <f>Données!A297</f>
        <v>5930</v>
      </c>
      <c r="B303" s="26" t="str">
        <f>Données!B297</f>
        <v>Suscévaz</v>
      </c>
      <c r="C303" s="611">
        <f>Ecrêtage!C297</f>
        <v>5123.1661111111116</v>
      </c>
      <c r="D303" s="604">
        <f>Données!Z297</f>
        <v>237</v>
      </c>
      <c r="E303" s="610">
        <f>Population!K300</f>
        <v>-31502.640845070418</v>
      </c>
      <c r="F303" s="604">
        <f>Solidarité!I297</f>
        <v>-139247.82842334564</v>
      </c>
      <c r="G303" s="610">
        <f>+DT!O297</f>
        <v>-39102.843794835288</v>
      </c>
      <c r="H303" s="604">
        <f>Effort!K297+Aide!I297+Taux!J297</f>
        <v>0</v>
      </c>
      <c r="I303" s="605">
        <f t="shared" si="12"/>
        <v>-209853.31306325135</v>
      </c>
      <c r="J303" s="624">
        <f t="shared" si="13"/>
        <v>100514.23635865911</v>
      </c>
      <c r="K303" s="626">
        <f t="shared" si="14"/>
        <v>-109339.07670459224</v>
      </c>
    </row>
    <row r="304" spans="1:11" x14ac:dyDescent="0.25">
      <c r="A304" s="37">
        <f>Données!A298</f>
        <v>5931</v>
      </c>
      <c r="B304" s="26" t="str">
        <f>Données!B298</f>
        <v>Treycovagnes</v>
      </c>
      <c r="C304" s="611">
        <f>Ecrêtage!C298</f>
        <v>16489.594109589041</v>
      </c>
      <c r="D304" s="604">
        <f>Données!Z298</f>
        <v>513</v>
      </c>
      <c r="E304" s="610">
        <f>Population!K301</f>
        <v>-68189.260563380274</v>
      </c>
      <c r="F304" s="604">
        <f>Solidarité!I298</f>
        <v>-194787.41078317945</v>
      </c>
      <c r="G304" s="610">
        <f>+DT!O298</f>
        <v>-44933.714643681422</v>
      </c>
      <c r="H304" s="604">
        <f>Effort!K298+Aide!I298+Taux!J298</f>
        <v>0</v>
      </c>
      <c r="I304" s="605">
        <f t="shared" si="12"/>
        <v>-307910.38599024114</v>
      </c>
      <c r="J304" s="624">
        <f t="shared" si="13"/>
        <v>323518.48912236828</v>
      </c>
      <c r="K304" s="626">
        <f t="shared" si="14"/>
        <v>15608.103132127144</v>
      </c>
    </row>
    <row r="305" spans="1:11" x14ac:dyDescent="0.25">
      <c r="A305" s="37">
        <f>Données!A299</f>
        <v>5932</v>
      </c>
      <c r="B305" s="26" t="str">
        <f>Données!B299</f>
        <v>Ursins</v>
      </c>
      <c r="C305" s="611">
        <f>Ecrêtage!C299</f>
        <v>9309.2870666666695</v>
      </c>
      <c r="D305" s="604">
        <f>Données!Z299</f>
        <v>233</v>
      </c>
      <c r="E305" s="610">
        <f>Population!K302</f>
        <v>-30970.950704225346</v>
      </c>
      <c r="F305" s="604">
        <f>Solidarité!I299</f>
        <v>-52458.484731464545</v>
      </c>
      <c r="G305" s="610">
        <f>+DT!O299</f>
        <v>-15947.909466720643</v>
      </c>
      <c r="H305" s="604">
        <f>Effort!K299+Aide!I299+Taux!J299</f>
        <v>0</v>
      </c>
      <c r="I305" s="605">
        <f t="shared" si="12"/>
        <v>-99377.344902410536</v>
      </c>
      <c r="J305" s="624">
        <f t="shared" si="13"/>
        <v>182644.06428676273</v>
      </c>
      <c r="K305" s="626">
        <f t="shared" si="14"/>
        <v>83266.719384352196</v>
      </c>
    </row>
    <row r="306" spans="1:11" x14ac:dyDescent="0.25">
      <c r="A306" s="37">
        <f>Données!A300</f>
        <v>5933</v>
      </c>
      <c r="B306" s="26" t="str">
        <f>Données!B300</f>
        <v>Valeyres-sous-Montagny</v>
      </c>
      <c r="C306" s="611">
        <f>Ecrêtage!C300</f>
        <v>23289.682127659577</v>
      </c>
      <c r="D306" s="604">
        <f>Données!Z300</f>
        <v>706</v>
      </c>
      <c r="E306" s="610">
        <f>Population!K303</f>
        <v>-93843.309859154921</v>
      </c>
      <c r="F306" s="604">
        <f>Solidarité!I300</f>
        <v>-238172.35633873296</v>
      </c>
      <c r="G306" s="610">
        <f>+DT!O300</f>
        <v>-593539.13449044665</v>
      </c>
      <c r="H306" s="604">
        <f>Effort!K300+Aide!I300+Taux!J300</f>
        <v>0</v>
      </c>
      <c r="I306" s="605">
        <f t="shared" si="12"/>
        <v>-925554.80068833451</v>
      </c>
      <c r="J306" s="624">
        <f t="shared" si="13"/>
        <v>456933.18610547838</v>
      </c>
      <c r="K306" s="626">
        <f t="shared" si="14"/>
        <v>-468621.61458285613</v>
      </c>
    </row>
    <row r="307" spans="1:11" x14ac:dyDescent="0.25">
      <c r="A307" s="37">
        <f>Données!A301</f>
        <v>5934</v>
      </c>
      <c r="B307" s="26" t="str">
        <f>Données!B301</f>
        <v>Valeyres-sous-Ursins</v>
      </c>
      <c r="C307" s="611">
        <f>Ecrêtage!C301</f>
        <v>8590.653896103895</v>
      </c>
      <c r="D307" s="604">
        <f>Données!Z301</f>
        <v>236</v>
      </c>
      <c r="E307" s="610">
        <f>Population!K304</f>
        <v>-31369.718309859149</v>
      </c>
      <c r="F307" s="604">
        <f>Solidarité!I301</f>
        <v>-75881.280851590171</v>
      </c>
      <c r="G307" s="610">
        <f>+DT!O301</f>
        <v>-16855.890201395578</v>
      </c>
      <c r="H307" s="604">
        <f>Effort!K301+Aide!I301+Taux!J301</f>
        <v>0</v>
      </c>
      <c r="I307" s="605">
        <f t="shared" si="12"/>
        <v>-124106.8893628449</v>
      </c>
      <c r="J307" s="624">
        <f t="shared" si="13"/>
        <v>168544.80168341656</v>
      </c>
      <c r="K307" s="626">
        <f t="shared" si="14"/>
        <v>44437.912320571661</v>
      </c>
    </row>
    <row r="308" spans="1:11" x14ac:dyDescent="0.25">
      <c r="A308" s="37">
        <f>Données!A302</f>
        <v>5935</v>
      </c>
      <c r="B308" s="26" t="str">
        <f>Données!B302</f>
        <v>Villars-Epeney</v>
      </c>
      <c r="C308" s="611">
        <f>Ecrêtage!C302</f>
        <v>10030.652647058823</v>
      </c>
      <c r="D308" s="604">
        <f>Données!Z302</f>
        <v>108</v>
      </c>
      <c r="E308" s="610">
        <f>Population!K305</f>
        <v>-14355.633802816899</v>
      </c>
      <c r="F308" s="604">
        <f>Solidarité!I302</f>
        <v>0</v>
      </c>
      <c r="G308" s="610">
        <f>+DT!O302</f>
        <v>0</v>
      </c>
      <c r="H308" s="604">
        <f>Effort!K302+Aide!I302+Taux!J302</f>
        <v>0</v>
      </c>
      <c r="I308" s="605">
        <f t="shared" si="12"/>
        <v>-14355.633802816899</v>
      </c>
      <c r="J308" s="624">
        <f t="shared" si="13"/>
        <v>196796.93555347493</v>
      </c>
      <c r="K308" s="626">
        <f t="shared" si="14"/>
        <v>182441.30175065802</v>
      </c>
    </row>
    <row r="309" spans="1:11" x14ac:dyDescent="0.25">
      <c r="A309" s="37">
        <f>Données!A303</f>
        <v>5937</v>
      </c>
      <c r="B309" s="26" t="str">
        <f>Données!B303</f>
        <v>Vugelles-La Mothe</v>
      </c>
      <c r="C309" s="611">
        <f>Ecrêtage!C303</f>
        <v>4424.7368571428569</v>
      </c>
      <c r="D309" s="604">
        <f>Données!Z303</f>
        <v>147</v>
      </c>
      <c r="E309" s="610">
        <f>Population!K306</f>
        <v>-19539.612676056335</v>
      </c>
      <c r="F309" s="604">
        <f>Solidarité!I303</f>
        <v>-57206.838006060505</v>
      </c>
      <c r="G309" s="610">
        <f>+DT!O303</f>
        <v>-11212.055497816322</v>
      </c>
      <c r="H309" s="604">
        <f>Effort!K303+Aide!I303+Taux!J303</f>
        <v>0</v>
      </c>
      <c r="I309" s="605">
        <f t="shared" si="12"/>
        <v>-87958.506179933174</v>
      </c>
      <c r="J309" s="624">
        <f t="shared" si="13"/>
        <v>86811.365596590127</v>
      </c>
      <c r="K309" s="626">
        <f t="shared" si="14"/>
        <v>-1147.1405833430472</v>
      </c>
    </row>
    <row r="310" spans="1:11" x14ac:dyDescent="0.25">
      <c r="A310" s="37">
        <f>Données!A304</f>
        <v>5938</v>
      </c>
      <c r="B310" s="26" t="str">
        <f>Données!B304</f>
        <v>Yverdon-les-Bains</v>
      </c>
      <c r="C310" s="611">
        <f>Ecrêtage!C304</f>
        <v>801823.39555555547</v>
      </c>
      <c r="D310" s="604">
        <f>Données!Z304</f>
        <v>30332</v>
      </c>
      <c r="E310" s="610">
        <f>Population!K307</f>
        <v>-27513476.056338027</v>
      </c>
      <c r="F310" s="604">
        <f>Solidarité!I304</f>
        <v>-16050822.990553778</v>
      </c>
      <c r="G310" s="610">
        <f>+DT!O304</f>
        <v>-10415375.425027167</v>
      </c>
      <c r="H310" s="604">
        <f>Effort!K304+Aide!I304+Taux!J304</f>
        <v>5960026.935371493</v>
      </c>
      <c r="I310" s="605">
        <f t="shared" si="12"/>
        <v>-48019647.536547482</v>
      </c>
      <c r="J310" s="624">
        <f t="shared" si="13"/>
        <v>15731417.750437602</v>
      </c>
      <c r="K310" s="626">
        <f t="shared" si="14"/>
        <v>-32288229.78610988</v>
      </c>
    </row>
    <row r="311" spans="1:11" x14ac:dyDescent="0.25">
      <c r="A311" s="37">
        <f>Données!A305</f>
        <v>5939</v>
      </c>
      <c r="B311" s="26" t="str">
        <f>Données!B305</f>
        <v>Yvonand</v>
      </c>
      <c r="C311" s="611">
        <f>Ecrêtage!C305</f>
        <v>95983.007692307685</v>
      </c>
      <c r="D311" s="604">
        <f>Données!Z305</f>
        <v>3525</v>
      </c>
      <c r="E311" s="615">
        <f>Population!K308</f>
        <v>-1156426.0563380281</v>
      </c>
      <c r="F311" s="604">
        <f>Solidarité!I305</f>
        <v>-1638065.5152111854</v>
      </c>
      <c r="G311" s="615">
        <f>+DT!O305</f>
        <v>-569209.9243319229</v>
      </c>
      <c r="H311" s="604">
        <f>Effort!K305+Aide!I305+Taux!J305</f>
        <v>0</v>
      </c>
      <c r="I311" s="618">
        <f t="shared" si="12"/>
        <v>-3363701.4958811365</v>
      </c>
      <c r="J311" s="624">
        <f t="shared" si="13"/>
        <v>1883143.8435454571</v>
      </c>
      <c r="K311" s="627">
        <f t="shared" si="14"/>
        <v>-1480557.6523356794</v>
      </c>
    </row>
    <row r="312" spans="1:11" x14ac:dyDescent="0.25">
      <c r="A312" s="24"/>
      <c r="B312" s="71">
        <f>COUNTA(B12:B311)</f>
        <v>300</v>
      </c>
      <c r="C312" s="628">
        <f t="shared" ref="C312:H312" si="15">SUM(C12:C311)</f>
        <v>42757870.01587484</v>
      </c>
      <c r="D312" s="620">
        <f t="shared" si="15"/>
        <v>855749</v>
      </c>
      <c r="E312" s="615">
        <f t="shared" si="15"/>
        <v>-494181980.10563397</v>
      </c>
      <c r="F312" s="620">
        <f t="shared" si="15"/>
        <v>-155000245.16430962</v>
      </c>
      <c r="G312" s="615">
        <f>SUM(G12:G311)</f>
        <v>-192410415.0714367</v>
      </c>
      <c r="H312" s="620">
        <f t="shared" si="15"/>
        <v>3152282.3560198848</v>
      </c>
      <c r="I312" s="622">
        <f>SUM(E312:H312)</f>
        <v>-838440357.9853605</v>
      </c>
      <c r="J312" s="622">
        <f>C312*$J$11</f>
        <v>838890357.98536038</v>
      </c>
      <c r="K312" s="629">
        <f>SUM(K12:K311)</f>
        <v>450000.00000001653</v>
      </c>
    </row>
    <row r="313" spans="1:11" x14ac:dyDescent="0.25">
      <c r="C313" s="51"/>
      <c r="D313" s="51"/>
      <c r="E313" s="28"/>
      <c r="I313" s="28"/>
      <c r="J313" s="152"/>
      <c r="K313" s="152"/>
    </row>
    <row r="314" spans="1:11" x14ac:dyDescent="0.25">
      <c r="C314" s="135"/>
      <c r="D314" s="3"/>
      <c r="E314" s="4"/>
      <c r="F314" s="4"/>
      <c r="G314" s="4"/>
      <c r="H314" s="4"/>
      <c r="I314" s="4"/>
      <c r="J314" s="4"/>
      <c r="K314" s="152"/>
    </row>
    <row r="315" spans="1:11" x14ac:dyDescent="0.25">
      <c r="C315" s="159"/>
      <c r="G315" s="9"/>
      <c r="H315" s="9"/>
    </row>
    <row r="316" spans="1:11" x14ac:dyDescent="0.25">
      <c r="C316" s="145"/>
    </row>
    <row r="317" spans="1:11" x14ac:dyDescent="0.25">
      <c r="F317" s="9"/>
    </row>
    <row r="318" spans="1:11" x14ac:dyDescent="0.25">
      <c r="F318" s="9"/>
    </row>
    <row r="320" spans="1:11" x14ac:dyDescent="0.25">
      <c r="F320" s="68"/>
      <c r="G320" s="68"/>
      <c r="H320" s="68"/>
      <c r="I320" s="68"/>
      <c r="J320" s="68"/>
    </row>
    <row r="321" spans="3:10" x14ac:dyDescent="0.25">
      <c r="E321" s="68"/>
      <c r="F321" s="68"/>
      <c r="G321" s="68"/>
      <c r="H321" s="68"/>
      <c r="I321" s="68"/>
      <c r="J321" s="68"/>
    </row>
    <row r="322" spans="3:10" x14ac:dyDescent="0.25">
      <c r="E322" s="70"/>
      <c r="F322" s="70"/>
      <c r="G322" s="70"/>
      <c r="H322" s="70"/>
      <c r="I322" s="70"/>
      <c r="J322" s="70"/>
    </row>
    <row r="329" spans="3:10" x14ac:dyDescent="0.25">
      <c r="C329" s="36"/>
    </row>
    <row r="330" spans="3:10" x14ac:dyDescent="0.25">
      <c r="C330" s="36"/>
    </row>
    <row r="331" spans="3:10" x14ac:dyDescent="0.25">
      <c r="C331" s="36"/>
    </row>
  </sheetData>
  <sheetProtection sheet="1" objects="1" scenarios="1"/>
  <mergeCells count="8">
    <mergeCell ref="K10:K11"/>
    <mergeCell ref="A5:B5"/>
    <mergeCell ref="A6:B6"/>
    <mergeCell ref="A7:B7"/>
    <mergeCell ref="D10:D11"/>
    <mergeCell ref="C10:C11"/>
    <mergeCell ref="B10:B11"/>
    <mergeCell ref="A10:A11"/>
  </mergeCells>
  <phoneticPr fontId="21" type="noConversion"/>
  <hyperlinks>
    <hyperlink ref="C1" location="Ecrêtage!A1" display="← Précédent" xr:uid="{617DF37A-F812-48AD-A070-5ECCEB5FCAF3}"/>
    <hyperlink ref="E1" location="Population!A1" display="Suivant →" xr:uid="{88AC5A9E-3CD9-4E67-A12C-D58A70624CB5}"/>
    <hyperlink ref="D1" location="'Table des matières'!A1" display="Table des             matières" xr:uid="{0CC4E5F6-F04B-4697-A166-7DC7DA60803C}"/>
  </hyperlinks>
  <pageMargins left="0.25" right="0.25" top="0.75" bottom="0.75" header="0.3" footer="0.3"/>
  <pageSetup paperSize="9" orientation="landscape" horizontalDpi="4294967292" verticalDpi="4294967292"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18</vt:i4>
      </vt:variant>
      <vt:variant>
        <vt:lpstr>Plages nommées</vt:lpstr>
      </vt:variant>
      <vt:variant>
        <vt:i4>12</vt:i4>
      </vt:variant>
    </vt:vector>
  </HeadingPairs>
  <TitlesOfParts>
    <vt:vector size="30" baseType="lpstr">
      <vt:lpstr>Table des matières</vt:lpstr>
      <vt:lpstr>Paramètres</vt:lpstr>
      <vt:lpstr>Recherche</vt:lpstr>
      <vt:lpstr>Données</vt:lpstr>
      <vt:lpstr>Rendements</vt:lpstr>
      <vt:lpstr>VPI</vt:lpstr>
      <vt:lpstr>PCS</vt:lpstr>
      <vt:lpstr>Ecrêtage</vt:lpstr>
      <vt:lpstr>Péréquation directe</vt:lpstr>
      <vt:lpstr>Population</vt:lpstr>
      <vt:lpstr>Solidarité</vt:lpstr>
      <vt:lpstr>DT</vt:lpstr>
      <vt:lpstr>Effort</vt:lpstr>
      <vt:lpstr>Aide</vt:lpstr>
      <vt:lpstr>Taux</vt:lpstr>
      <vt:lpstr>Police</vt:lpstr>
      <vt:lpstr>Synthèse</vt:lpstr>
      <vt:lpstr>Décompte vs acomptes</vt:lpstr>
      <vt:lpstr>DT!Impression_des_titres</vt:lpstr>
      <vt:lpstr>Effort!Impression_des_titres</vt:lpstr>
      <vt:lpstr>PCS!Impression_des_titres</vt:lpstr>
      <vt:lpstr>Police!Impression_des_titres</vt:lpstr>
      <vt:lpstr>Synthèse!Impression_des_titres</vt:lpstr>
      <vt:lpstr>Taux!Impression_des_titres</vt:lpstr>
      <vt:lpstr>'Péréquation directe'!Zone_d_impression</vt:lpstr>
      <vt:lpstr>Police!Zone_d_impression</vt:lpstr>
      <vt:lpstr>Recherche!Zone_d_impression</vt:lpstr>
      <vt:lpstr>Rendements!Zone_d_impression</vt:lpstr>
      <vt:lpstr>Synthèse!Zone_d_impression</vt:lpstr>
      <vt:lpstr>Taux!Zone_d_impression</vt:lpstr>
    </vt:vector>
  </TitlesOfParts>
  <Manager>fabio.cappelletti@vd.ch</Manager>
  <Company>Etat de Vaud / ASFiCo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fabio.cappelletti@vd.ch</dc:creator>
  <cp:lastModifiedBy>Sheedy Emma</cp:lastModifiedBy>
  <cp:lastPrinted>2025-06-02T08:16:56Z</cp:lastPrinted>
  <dcterms:created xsi:type="dcterms:W3CDTF">2005-06-06T00:37:42Z</dcterms:created>
  <dcterms:modified xsi:type="dcterms:W3CDTF">2025-09-08T12:47:42Z</dcterms:modified>
</cp:coreProperties>
</file>